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eromesberg/Desktop/SCA Data/"/>
    </mc:Choice>
  </mc:AlternateContent>
  <xr:revisionPtr revIDLastSave="0" documentId="13_ncr:1_{509D0D3D-604A-B540-B360-18D3B746AFCE}" xr6:coauthVersionLast="36" xr6:coauthVersionMax="47" xr10:uidLastSave="{00000000-0000-0000-0000-000000000000}"/>
  <bookViews>
    <workbookView xWindow="0" yWindow="0" windowWidth="28800" windowHeight="18000" firstSheet="5" activeTab="5" xr2:uid="{00000000-000D-0000-FFFF-FFFF00000000}"/>
  </bookViews>
  <sheets>
    <sheet name="Site Data" sheetId="1" r:id="rId1"/>
    <sheet name="BREK" sheetId="2" r:id="rId2"/>
    <sheet name="CAV Bay" sheetId="3" r:id="rId3"/>
    <sheet name="COOL" sheetId="4" r:id="rId4"/>
    <sheet name="DIST" sheetId="5" r:id="rId5"/>
    <sheet name="GNAR" sheetId="6" r:id="rId6"/>
    <sheet name="HUCK" sheetId="7" r:id="rId7"/>
    <sheet name="INDI" sheetId="8" r:id="rId8"/>
    <sheet name="KALI" sheetId="9" r:id="rId9"/>
    <sheet name="LWPR" sheetId="10" r:id="rId10"/>
    <sheet name="LWQA-S" sheetId="11" r:id="rId11"/>
    <sheet name="MOSQ" sheetId="12" r:id="rId12"/>
    <sheet name="OUTL" sheetId="13" r:id="rId13"/>
    <sheet name="PLNO" sheetId="14" r:id="rId14"/>
    <sheet name="SQUA" sheetId="16" r:id="rId15"/>
    <sheet name="PLSO" sheetId="15" r:id="rId16"/>
    <sheet name="UPLK" sheetId="17" r:id="rId17"/>
    <sheet name="LUBY" sheetId="18" r:id="rId18"/>
    <sheet name="Sampling Frequency" sheetId="19" r:id="rId19"/>
    <sheet name="Rothrock Historic" sheetId="20" r:id="rId20"/>
  </sheets>
  <externalReferences>
    <externalReference r:id="rId21"/>
  </externalReferences>
  <definedNames>
    <definedName name="DvListSource1">[1]Sheet2!$A$1:$A$838</definedName>
  </definedNames>
  <calcPr calcId="181029"/>
</workbook>
</file>

<file path=xl/calcChain.xml><?xml version="1.0" encoding="utf-8"?>
<calcChain xmlns="http://schemas.openxmlformats.org/spreadsheetml/2006/main">
  <c r="C621" i="9" l="1"/>
  <c r="C650" i="9"/>
  <c r="C369" i="7"/>
  <c r="C368" i="7"/>
  <c r="I1142" i="15" l="1"/>
  <c r="I2434" i="14"/>
  <c r="I2419" i="14"/>
  <c r="I2406" i="14"/>
  <c r="I2366" i="14"/>
  <c r="I2303" i="14"/>
  <c r="I2288" i="14"/>
  <c r="I2247" i="14"/>
  <c r="I2231" i="14"/>
  <c r="I2216" i="14"/>
  <c r="I2199" i="14"/>
  <c r="I2182" i="14"/>
  <c r="I2170" i="14"/>
  <c r="I2145" i="14"/>
  <c r="J2142" i="14"/>
  <c r="I2129" i="14"/>
  <c r="I2108" i="14"/>
  <c r="C683" i="9"/>
  <c r="C682" i="9"/>
  <c r="C681" i="9"/>
  <c r="C679" i="9"/>
  <c r="C678" i="9"/>
  <c r="C677" i="9"/>
  <c r="C675" i="9"/>
  <c r="C674" i="9"/>
  <c r="C673" i="9"/>
  <c r="C672" i="9"/>
  <c r="C670" i="9"/>
  <c r="C669" i="9"/>
  <c r="C668" i="9"/>
  <c r="C667" i="9"/>
  <c r="C666" i="9"/>
  <c r="C665" i="9"/>
  <c r="C664" i="9"/>
  <c r="C663" i="9"/>
  <c r="C662" i="9"/>
  <c r="C661" i="9"/>
  <c r="C653" i="9"/>
  <c r="C652" i="9"/>
  <c r="C651" i="9"/>
  <c r="C649" i="9"/>
  <c r="C647" i="9"/>
  <c r="C645" i="9"/>
  <c r="C644" i="9"/>
  <c r="C643" i="9"/>
  <c r="C641" i="9"/>
  <c r="C640" i="9"/>
  <c r="C639" i="9"/>
  <c r="C637" i="9"/>
  <c r="C636" i="9"/>
  <c r="C635" i="9"/>
  <c r="C633" i="9"/>
  <c r="C632" i="9"/>
  <c r="C631" i="9"/>
  <c r="C629" i="9"/>
  <c r="C628" i="9"/>
  <c r="C627" i="9"/>
  <c r="C625" i="9"/>
  <c r="C624" i="9"/>
  <c r="C623" i="9"/>
  <c r="C620" i="9"/>
  <c r="C619" i="9"/>
  <c r="C618" i="9"/>
  <c r="C616" i="9"/>
  <c r="C615" i="9"/>
  <c r="C614" i="9"/>
  <c r="C612" i="9"/>
  <c r="C611" i="9"/>
  <c r="C610" i="9"/>
  <c r="C607" i="9"/>
  <c r="C605" i="9"/>
  <c r="C603" i="9"/>
  <c r="C602" i="9"/>
  <c r="C601" i="9"/>
  <c r="C598" i="9"/>
  <c r="C597" i="9"/>
  <c r="C596" i="9"/>
  <c r="C594" i="9"/>
  <c r="C593" i="9"/>
  <c r="C592" i="9"/>
  <c r="C590" i="9"/>
  <c r="C589" i="9"/>
  <c r="C588" i="9"/>
  <c r="C586" i="9"/>
  <c r="C585" i="9"/>
  <c r="C584" i="9"/>
  <c r="C582" i="9"/>
  <c r="C580" i="9"/>
  <c r="C579" i="9"/>
  <c r="C578" i="9"/>
  <c r="C576" i="9"/>
  <c r="C575" i="9"/>
  <c r="C574" i="9"/>
  <c r="C457" i="7"/>
  <c r="C455" i="7"/>
  <c r="C454" i="7"/>
  <c r="C453" i="7"/>
  <c r="C451" i="7"/>
  <c r="C450" i="7"/>
  <c r="C449" i="7"/>
  <c r="C447" i="7"/>
  <c r="C446" i="7"/>
  <c r="C445" i="7"/>
  <c r="C444" i="7"/>
  <c r="C443" i="7"/>
  <c r="C442" i="7"/>
  <c r="C441" i="7"/>
  <c r="C440" i="7"/>
  <c r="C439" i="7"/>
  <c r="C437" i="7"/>
  <c r="C436" i="7"/>
  <c r="C435" i="7"/>
  <c r="C434" i="7"/>
  <c r="C433" i="7"/>
  <c r="C432" i="7"/>
  <c r="C431" i="7"/>
  <c r="C430" i="7"/>
  <c r="C429" i="7"/>
  <c r="C428" i="7"/>
  <c r="C427" i="7"/>
  <c r="C426" i="7"/>
  <c r="C424" i="7"/>
  <c r="C423" i="7"/>
  <c r="C422" i="7"/>
  <c r="C420" i="7"/>
  <c r="C419" i="7"/>
  <c r="C418" i="7"/>
  <c r="C417" i="7"/>
  <c r="C416" i="7"/>
  <c r="C414" i="7"/>
  <c r="C413" i="7"/>
  <c r="C412" i="7"/>
  <c r="C411" i="7"/>
  <c r="C409" i="7"/>
  <c r="C408" i="7"/>
  <c r="C407" i="7"/>
  <c r="C405" i="7"/>
  <c r="C404" i="7"/>
  <c r="C403" i="7"/>
  <c r="C401" i="7"/>
  <c r="C400" i="7"/>
  <c r="C399" i="7"/>
  <c r="C393" i="7"/>
  <c r="C392" i="7"/>
  <c r="C391" i="7"/>
  <c r="C389" i="7"/>
  <c r="C388" i="7"/>
  <c r="C387" i="7"/>
  <c r="C382" i="7"/>
  <c r="C381" i="7"/>
  <c r="C380" i="7"/>
  <c r="C379" i="7"/>
  <c r="C377" i="7"/>
  <c r="C376" i="7"/>
  <c r="C375" i="7"/>
  <c r="C373" i="7"/>
  <c r="C372" i="7"/>
  <c r="C371" i="7"/>
  <c r="C367" i="7"/>
  <c r="C364" i="7"/>
  <c r="C362" i="7"/>
  <c r="C361" i="7"/>
  <c r="C360" i="7"/>
  <c r="C358" i="7"/>
  <c r="C357" i="7"/>
  <c r="C356" i="7"/>
  <c r="C354" i="7"/>
  <c r="C353" i="7"/>
  <c r="C352" i="7"/>
  <c r="C350" i="7"/>
  <c r="C349" i="7"/>
  <c r="C348" i="7"/>
  <c r="C346" i="7"/>
  <c r="C345" i="7"/>
  <c r="C344" i="7"/>
  <c r="C342" i="7"/>
  <c r="C341" i="7"/>
  <c r="C340" i="7"/>
  <c r="C338" i="7"/>
  <c r="C337" i="7"/>
  <c r="C336" i="7"/>
  <c r="B235" i="2"/>
  <c r="I1210" i="14"/>
  <c r="C793" i="9" l="1"/>
  <c r="C792" i="9"/>
  <c r="C791" i="9"/>
  <c r="C789" i="9"/>
  <c r="C788" i="9"/>
  <c r="C787" i="9"/>
  <c r="C785" i="9"/>
  <c r="C784" i="9"/>
  <c r="C783" i="9"/>
  <c r="C782" i="9"/>
  <c r="C780" i="9"/>
  <c r="C779" i="9"/>
  <c r="C778" i="9"/>
  <c r="C777" i="9"/>
  <c r="C776" i="9"/>
  <c r="C775" i="9"/>
  <c r="C774" i="9"/>
  <c r="C773" i="9"/>
  <c r="C772" i="9"/>
  <c r="C771" i="9"/>
  <c r="C763" i="9"/>
  <c r="C762" i="9"/>
  <c r="C761" i="9"/>
  <c r="C759" i="9"/>
  <c r="C758" i="9"/>
  <c r="C755" i="9"/>
  <c r="C754" i="9"/>
  <c r="C753" i="9"/>
  <c r="C750" i="9"/>
  <c r="C749" i="9"/>
  <c r="C748" i="9"/>
  <c r="C746" i="9"/>
  <c r="C745" i="9"/>
  <c r="C744" i="9"/>
  <c r="C741" i="9"/>
  <c r="C740" i="9"/>
  <c r="C739" i="9"/>
  <c r="C737" i="9"/>
  <c r="C736" i="9"/>
  <c r="C735" i="9"/>
  <c r="C733" i="9"/>
  <c r="C732" i="9"/>
  <c r="C731" i="9"/>
  <c r="C729" i="9"/>
  <c r="C728" i="9"/>
  <c r="C727" i="9"/>
  <c r="C726" i="9"/>
  <c r="C723" i="9"/>
  <c r="C722" i="9"/>
  <c r="C721" i="9"/>
  <c r="C719" i="9"/>
  <c r="C718" i="9"/>
  <c r="C717" i="9"/>
  <c r="C713" i="9"/>
  <c r="C712" i="9"/>
  <c r="C711" i="9"/>
  <c r="C708" i="9"/>
  <c r="C707" i="9"/>
  <c r="C706" i="9"/>
  <c r="C704" i="9"/>
  <c r="C703" i="9"/>
  <c r="C702" i="9"/>
  <c r="C700" i="9"/>
  <c r="C699" i="9"/>
  <c r="C698" i="9"/>
  <c r="C696" i="9"/>
  <c r="C695" i="9"/>
  <c r="C694" i="9"/>
  <c r="C691" i="9"/>
  <c r="C690" i="9"/>
  <c r="C689" i="9"/>
  <c r="C687" i="9"/>
  <c r="C686" i="9"/>
  <c r="C685" i="9"/>
  <c r="L712" i="20" l="1"/>
  <c r="M712" i="20" s="1"/>
  <c r="J712" i="20"/>
  <c r="C712" i="20"/>
  <c r="L711" i="20"/>
  <c r="M711" i="20" s="1"/>
  <c r="I711" i="20"/>
  <c r="C711" i="20"/>
  <c r="L710" i="20"/>
  <c r="M710" i="20" s="1"/>
  <c r="K710" i="20"/>
  <c r="J710" i="20"/>
  <c r="C710" i="20"/>
  <c r="J709" i="20"/>
  <c r="L709" i="20" s="1"/>
  <c r="I709" i="20"/>
  <c r="C709" i="20"/>
  <c r="L708" i="20"/>
  <c r="M708" i="20" s="1"/>
  <c r="J708" i="20"/>
  <c r="I708" i="20"/>
  <c r="C708" i="20"/>
  <c r="L707" i="20"/>
  <c r="M707" i="20" s="1"/>
  <c r="I707" i="20"/>
  <c r="G707" i="20"/>
  <c r="C707" i="20"/>
  <c r="M706" i="20"/>
  <c r="L706" i="20"/>
  <c r="I706" i="20"/>
  <c r="C706" i="20"/>
  <c r="J705" i="20"/>
  <c r="L705" i="20" s="1"/>
  <c r="I705" i="20"/>
  <c r="G705" i="20"/>
  <c r="C705" i="20"/>
  <c r="M704" i="20"/>
  <c r="L704" i="20"/>
  <c r="K704" i="20" s="1"/>
  <c r="I704" i="20"/>
  <c r="G704" i="20"/>
  <c r="C704" i="20"/>
  <c r="C692" i="20"/>
  <c r="C691" i="20"/>
  <c r="C690" i="20"/>
  <c r="C689" i="20"/>
  <c r="C688" i="20"/>
  <c r="C687" i="20"/>
  <c r="L683" i="20"/>
  <c r="K683" i="20" s="1"/>
  <c r="I683" i="20"/>
  <c r="G683" i="20"/>
  <c r="C683" i="20"/>
  <c r="L682" i="20"/>
  <c r="M682" i="20" s="1"/>
  <c r="I682" i="20"/>
  <c r="G682" i="20"/>
  <c r="C682" i="20"/>
  <c r="L681" i="20"/>
  <c r="M681" i="20" s="1"/>
  <c r="I681" i="20"/>
  <c r="C681" i="20"/>
  <c r="M680" i="20"/>
  <c r="L680" i="20"/>
  <c r="K680" i="20" s="1"/>
  <c r="C680" i="20"/>
  <c r="M679" i="20"/>
  <c r="L679" i="20"/>
  <c r="K679" i="20"/>
  <c r="C679" i="20"/>
  <c r="M678" i="20"/>
  <c r="L678" i="20"/>
  <c r="J678" i="20"/>
  <c r="I678" i="20"/>
  <c r="G678" i="20"/>
  <c r="C678" i="20"/>
  <c r="L677" i="20"/>
  <c r="M677" i="20" s="1"/>
  <c r="I677" i="20"/>
  <c r="C677" i="20"/>
  <c r="L676" i="20"/>
  <c r="M676" i="20" s="1"/>
  <c r="I676" i="20"/>
  <c r="K676" i="20" s="1"/>
  <c r="G676" i="20"/>
  <c r="C676" i="20"/>
  <c r="C672" i="20"/>
  <c r="C671" i="20"/>
  <c r="C670" i="20"/>
  <c r="C669" i="20"/>
  <c r="C668" i="20"/>
  <c r="C667" i="20"/>
  <c r="C666" i="20"/>
  <c r="L645" i="20"/>
  <c r="M645" i="20" s="1"/>
  <c r="I645" i="20"/>
  <c r="K645" i="20" s="1"/>
  <c r="C645" i="20"/>
  <c r="L644" i="20"/>
  <c r="M644" i="20" s="1"/>
  <c r="I644" i="20"/>
  <c r="K644" i="20" s="1"/>
  <c r="D644" i="20"/>
  <c r="C644" i="20"/>
  <c r="L642" i="20"/>
  <c r="I642" i="20"/>
  <c r="C642" i="20"/>
  <c r="L641" i="20"/>
  <c r="K641" i="20" s="1"/>
  <c r="I641" i="20"/>
  <c r="C641" i="20"/>
  <c r="L640" i="20"/>
  <c r="I640" i="20"/>
  <c r="K640" i="20" s="1"/>
  <c r="C640" i="20"/>
  <c r="M639" i="20"/>
  <c r="L639" i="20"/>
  <c r="I639" i="20"/>
  <c r="K639" i="20" s="1"/>
  <c r="C639" i="20"/>
  <c r="L638" i="20"/>
  <c r="I638" i="20"/>
  <c r="C638" i="20"/>
  <c r="L637" i="20"/>
  <c r="M637" i="20" s="1"/>
  <c r="K637" i="20"/>
  <c r="I637" i="20"/>
  <c r="C637" i="20"/>
  <c r="L636" i="20"/>
  <c r="K636" i="20"/>
  <c r="I636" i="20"/>
  <c r="C636" i="20"/>
  <c r="L635" i="20"/>
  <c r="M635" i="20" s="1"/>
  <c r="I635" i="20"/>
  <c r="C635" i="20"/>
  <c r="L634" i="20"/>
  <c r="K634" i="20" s="1"/>
  <c r="I634" i="20"/>
  <c r="C634" i="20"/>
  <c r="L633" i="20"/>
  <c r="M633" i="20" s="1"/>
  <c r="I633" i="20"/>
  <c r="K633" i="20" s="1"/>
  <c r="C633" i="20"/>
  <c r="L632" i="20"/>
  <c r="I632" i="20"/>
  <c r="C632" i="20"/>
  <c r="L631" i="20"/>
  <c r="M631" i="20" s="1"/>
  <c r="I631" i="20"/>
  <c r="C631" i="20"/>
  <c r="L622" i="20"/>
  <c r="I622" i="20"/>
  <c r="K622" i="20" s="1"/>
  <c r="C622" i="20"/>
  <c r="L621" i="20"/>
  <c r="M621" i="20" s="1"/>
  <c r="I621" i="20"/>
  <c r="C621" i="20"/>
  <c r="L620" i="20"/>
  <c r="I620" i="20"/>
  <c r="K620" i="20" s="1"/>
  <c r="C620" i="20"/>
  <c r="I619" i="20"/>
  <c r="C619" i="20"/>
  <c r="L617" i="20"/>
  <c r="K617" i="20" s="1"/>
  <c r="I617" i="20"/>
  <c r="C617" i="20"/>
  <c r="J616" i="20"/>
  <c r="L616" i="20" s="1"/>
  <c r="I616" i="20"/>
  <c r="C616" i="20"/>
  <c r="J615" i="20"/>
  <c r="L615" i="20" s="1"/>
  <c r="K615" i="20" s="1"/>
  <c r="I615" i="20"/>
  <c r="C615" i="20"/>
  <c r="L614" i="20"/>
  <c r="K614" i="20" s="1"/>
  <c r="J614" i="20"/>
  <c r="I614" i="20"/>
  <c r="C614" i="20"/>
  <c r="J613" i="20"/>
  <c r="L613" i="20" s="1"/>
  <c r="K613" i="20" s="1"/>
  <c r="I613" i="20"/>
  <c r="C613" i="20"/>
  <c r="J612" i="20"/>
  <c r="L612" i="20" s="1"/>
  <c r="M612" i="20" s="1"/>
  <c r="I612" i="20"/>
  <c r="C612" i="20"/>
  <c r="J611" i="20"/>
  <c r="L611" i="20" s="1"/>
  <c r="I611" i="20"/>
  <c r="C611" i="20"/>
  <c r="J610" i="20"/>
  <c r="L610" i="20" s="1"/>
  <c r="I610" i="20"/>
  <c r="C610" i="20"/>
  <c r="J609" i="20"/>
  <c r="L609" i="20" s="1"/>
  <c r="I609" i="20"/>
  <c r="C609" i="20"/>
  <c r="J608" i="20"/>
  <c r="L608" i="20" s="1"/>
  <c r="K608" i="20" s="1"/>
  <c r="I608" i="20"/>
  <c r="C608" i="20"/>
  <c r="J607" i="20"/>
  <c r="L607" i="20" s="1"/>
  <c r="M607" i="20" s="1"/>
  <c r="I607" i="20"/>
  <c r="C607" i="20"/>
  <c r="J605" i="20"/>
  <c r="L605" i="20" s="1"/>
  <c r="I605" i="20"/>
  <c r="C605" i="20"/>
  <c r="J604" i="20"/>
  <c r="L604" i="20" s="1"/>
  <c r="M604" i="20" s="1"/>
  <c r="G604" i="20"/>
  <c r="I604" i="20" s="1"/>
  <c r="C604" i="20"/>
  <c r="M603" i="20"/>
  <c r="L603" i="20"/>
  <c r="J603" i="20"/>
  <c r="I603" i="20"/>
  <c r="K603" i="20" s="1"/>
  <c r="C603" i="20"/>
  <c r="L602" i="20"/>
  <c r="K602" i="20" s="1"/>
  <c r="I602" i="20"/>
  <c r="G602" i="20"/>
  <c r="C602" i="20"/>
  <c r="L601" i="20"/>
  <c r="M601" i="20" s="1"/>
  <c r="G601" i="20"/>
  <c r="I601" i="20" s="1"/>
  <c r="K601" i="20" s="1"/>
  <c r="C601" i="20"/>
  <c r="L600" i="20"/>
  <c r="M600" i="20" s="1"/>
  <c r="K600" i="20"/>
  <c r="I600" i="20"/>
  <c r="G600" i="20"/>
  <c r="C600" i="20"/>
  <c r="L599" i="20"/>
  <c r="K599" i="20" s="1"/>
  <c r="J599" i="20"/>
  <c r="I599" i="20"/>
  <c r="G599" i="20"/>
  <c r="C599" i="20"/>
  <c r="J598" i="20"/>
  <c r="L598" i="20" s="1"/>
  <c r="K598" i="20" s="1"/>
  <c r="G598" i="20"/>
  <c r="I598" i="20" s="1"/>
  <c r="C598" i="20"/>
  <c r="J597" i="20"/>
  <c r="L597" i="20" s="1"/>
  <c r="I597" i="20"/>
  <c r="G597" i="20"/>
  <c r="C597" i="20"/>
  <c r="J596" i="20"/>
  <c r="L596" i="20" s="1"/>
  <c r="I596" i="20"/>
  <c r="C596" i="20"/>
  <c r="L595" i="20"/>
  <c r="M595" i="20" s="1"/>
  <c r="K595" i="20"/>
  <c r="J595" i="20"/>
  <c r="I595" i="20"/>
  <c r="G595" i="20"/>
  <c r="C595" i="20"/>
  <c r="L594" i="20"/>
  <c r="J594" i="20"/>
  <c r="I594" i="20"/>
  <c r="C594" i="20"/>
  <c r="J593" i="20"/>
  <c r="L593" i="20" s="1"/>
  <c r="I593" i="20"/>
  <c r="C593" i="20"/>
  <c r="J592" i="20"/>
  <c r="L592" i="20" s="1"/>
  <c r="I592" i="20"/>
  <c r="C592" i="20"/>
  <c r="J584" i="20"/>
  <c r="L584" i="20" s="1"/>
  <c r="G584" i="20"/>
  <c r="I584" i="20" s="1"/>
  <c r="C584" i="20"/>
  <c r="L583" i="20"/>
  <c r="K583" i="20" s="1"/>
  <c r="I583" i="20"/>
  <c r="C583" i="20"/>
  <c r="J582" i="20"/>
  <c r="L582" i="20" s="1"/>
  <c r="I582" i="20"/>
  <c r="D582" i="20"/>
  <c r="C582" i="20"/>
  <c r="J581" i="20"/>
  <c r="L581" i="20" s="1"/>
  <c r="G581" i="20"/>
  <c r="I581" i="20" s="1"/>
  <c r="C581" i="20"/>
  <c r="C580" i="20"/>
  <c r="C579" i="20"/>
  <c r="J578" i="20"/>
  <c r="L578" i="20" s="1"/>
  <c r="I578" i="20"/>
  <c r="G578" i="20"/>
  <c r="C578" i="20"/>
  <c r="J577" i="20"/>
  <c r="L577" i="20" s="1"/>
  <c r="G577" i="20"/>
  <c r="I577" i="20" s="1"/>
  <c r="C577" i="20"/>
  <c r="C576" i="20"/>
  <c r="C575" i="20"/>
  <c r="L574" i="20"/>
  <c r="M574" i="20" s="1"/>
  <c r="J574" i="20"/>
  <c r="I574" i="20"/>
  <c r="G574" i="20"/>
  <c r="C574" i="20"/>
  <c r="J573" i="20"/>
  <c r="L573" i="20" s="1"/>
  <c r="G573" i="20"/>
  <c r="I573" i="20" s="1"/>
  <c r="C573" i="20"/>
  <c r="C572" i="20"/>
  <c r="C571" i="20"/>
  <c r="L570" i="20"/>
  <c r="M570" i="20" s="1"/>
  <c r="J570" i="20"/>
  <c r="G570" i="20"/>
  <c r="I570" i="20" s="1"/>
  <c r="K570" i="20" s="1"/>
  <c r="D570" i="20"/>
  <c r="C570" i="20"/>
  <c r="L569" i="20"/>
  <c r="M569" i="20" s="1"/>
  <c r="G569" i="20"/>
  <c r="I569" i="20" s="1"/>
  <c r="K569" i="20" s="1"/>
  <c r="C569" i="20"/>
  <c r="L568" i="20"/>
  <c r="J568" i="20"/>
  <c r="I568" i="20"/>
  <c r="C568" i="20"/>
  <c r="C567" i="20"/>
  <c r="C566" i="20"/>
  <c r="L565" i="20"/>
  <c r="M565" i="20" s="1"/>
  <c r="I565" i="20"/>
  <c r="C565" i="20"/>
  <c r="L564" i="20"/>
  <c r="I564" i="20"/>
  <c r="C564" i="20"/>
  <c r="C563" i="20"/>
  <c r="C562" i="20"/>
  <c r="L561" i="20"/>
  <c r="M561" i="20" s="1"/>
  <c r="I561" i="20"/>
  <c r="G561" i="20"/>
  <c r="D561" i="20"/>
  <c r="C561" i="20"/>
  <c r="J559" i="20"/>
  <c r="L559" i="20" s="1"/>
  <c r="C559" i="20"/>
  <c r="J558" i="20"/>
  <c r="L558" i="20" s="1"/>
  <c r="C558" i="20"/>
  <c r="C557" i="20"/>
  <c r="C556" i="20"/>
  <c r="L555" i="20"/>
  <c r="M555" i="20" s="1"/>
  <c r="I555" i="20"/>
  <c r="K555" i="20" s="1"/>
  <c r="C555" i="20"/>
  <c r="J554" i="20"/>
  <c r="L554" i="20" s="1"/>
  <c r="I554" i="20"/>
  <c r="C554" i="20"/>
  <c r="L553" i="20"/>
  <c r="K553" i="20" s="1"/>
  <c r="J553" i="20"/>
  <c r="I553" i="20"/>
  <c r="C553" i="20"/>
  <c r="L543" i="20"/>
  <c r="I543" i="20"/>
  <c r="C543" i="20"/>
  <c r="L542" i="20"/>
  <c r="M542" i="20" s="1"/>
  <c r="K542" i="20"/>
  <c r="C542" i="20"/>
  <c r="L541" i="20"/>
  <c r="M541" i="20" s="1"/>
  <c r="C541" i="20"/>
  <c r="L540" i="20"/>
  <c r="M540" i="20" s="1"/>
  <c r="K540" i="20"/>
  <c r="C540" i="20"/>
  <c r="J539" i="20"/>
  <c r="L539" i="20" s="1"/>
  <c r="I539" i="20"/>
  <c r="G539" i="20"/>
  <c r="C539" i="20"/>
  <c r="M538" i="20"/>
  <c r="L538" i="20"/>
  <c r="I538" i="20"/>
  <c r="K538" i="20" s="1"/>
  <c r="G538" i="20"/>
  <c r="C538" i="20"/>
  <c r="J537" i="20"/>
  <c r="L537" i="20" s="1"/>
  <c r="M537" i="20" s="1"/>
  <c r="I537" i="20"/>
  <c r="C537" i="20"/>
  <c r="L536" i="20"/>
  <c r="M536" i="20" s="1"/>
  <c r="I536" i="20"/>
  <c r="K536" i="20" s="1"/>
  <c r="G536" i="20"/>
  <c r="C536" i="20"/>
  <c r="L535" i="20"/>
  <c r="M535" i="20" s="1"/>
  <c r="I535" i="20"/>
  <c r="C535" i="20"/>
  <c r="L533" i="20"/>
  <c r="I533" i="20"/>
  <c r="C533" i="20"/>
  <c r="L532" i="20"/>
  <c r="M532" i="20" s="1"/>
  <c r="I532" i="20"/>
  <c r="D532" i="20"/>
  <c r="C532" i="20"/>
  <c r="L531" i="20"/>
  <c r="M531" i="20" s="1"/>
  <c r="I531" i="20"/>
  <c r="G531" i="20"/>
  <c r="C531" i="20"/>
  <c r="L530" i="20"/>
  <c r="M530" i="20" s="1"/>
  <c r="C530" i="20"/>
  <c r="L529" i="20"/>
  <c r="M529" i="20" s="1"/>
  <c r="K529" i="20"/>
  <c r="D529" i="20"/>
  <c r="C529" i="20"/>
  <c r="L528" i="20"/>
  <c r="M528" i="20" s="1"/>
  <c r="J528" i="20"/>
  <c r="I528" i="20"/>
  <c r="G528" i="20"/>
  <c r="C528" i="20"/>
  <c r="C527" i="20"/>
  <c r="J523" i="20"/>
  <c r="L523" i="20" s="1"/>
  <c r="G523" i="20"/>
  <c r="I523" i="20" s="1"/>
  <c r="C523" i="20"/>
  <c r="M522" i="20"/>
  <c r="L522" i="20"/>
  <c r="J522" i="20"/>
  <c r="I522" i="20"/>
  <c r="K522" i="20" s="1"/>
  <c r="G522" i="20"/>
  <c r="C522" i="20"/>
  <c r="J521" i="20"/>
  <c r="L521" i="20" s="1"/>
  <c r="G521" i="20"/>
  <c r="I521" i="20" s="1"/>
  <c r="C521" i="20"/>
  <c r="J520" i="20"/>
  <c r="L520" i="20" s="1"/>
  <c r="M520" i="20" s="1"/>
  <c r="G520" i="20"/>
  <c r="I520" i="20" s="1"/>
  <c r="C520" i="20"/>
  <c r="L519" i="20"/>
  <c r="M519" i="20" s="1"/>
  <c r="J519" i="20"/>
  <c r="I519" i="20"/>
  <c r="C519" i="20"/>
  <c r="L518" i="20"/>
  <c r="K518" i="20" s="1"/>
  <c r="J518" i="20"/>
  <c r="I518" i="20"/>
  <c r="C518" i="20"/>
  <c r="J517" i="20"/>
  <c r="L517" i="20" s="1"/>
  <c r="G517" i="20"/>
  <c r="I517" i="20" s="1"/>
  <c r="C517" i="20"/>
  <c r="L516" i="20"/>
  <c r="M516" i="20" s="1"/>
  <c r="J516" i="20"/>
  <c r="I516" i="20"/>
  <c r="C516" i="20"/>
  <c r="L515" i="20"/>
  <c r="M515" i="20" s="1"/>
  <c r="G515" i="20"/>
  <c r="I515" i="20" s="1"/>
  <c r="C515" i="20"/>
  <c r="J514" i="20"/>
  <c r="L514" i="20" s="1"/>
  <c r="I514" i="20"/>
  <c r="C514" i="20"/>
  <c r="L505" i="20"/>
  <c r="M505" i="20" s="1"/>
  <c r="J505" i="20"/>
  <c r="C505" i="20"/>
  <c r="L504" i="20"/>
  <c r="M504" i="20" s="1"/>
  <c r="I504" i="20"/>
  <c r="K504" i="20" s="1"/>
  <c r="C504" i="20"/>
  <c r="N503" i="20"/>
  <c r="J503" i="20"/>
  <c r="L503" i="20" s="1"/>
  <c r="C503" i="20"/>
  <c r="J502" i="20"/>
  <c r="L502" i="20" s="1"/>
  <c r="M502" i="20" s="1"/>
  <c r="I502" i="20"/>
  <c r="G502" i="20"/>
  <c r="C502" i="20"/>
  <c r="J501" i="20"/>
  <c r="L501" i="20" s="1"/>
  <c r="I501" i="20"/>
  <c r="C501" i="20"/>
  <c r="J500" i="20"/>
  <c r="L500" i="20" s="1"/>
  <c r="I500" i="20"/>
  <c r="G500" i="20"/>
  <c r="C500" i="20"/>
  <c r="L499" i="20"/>
  <c r="M499" i="20" s="1"/>
  <c r="I499" i="20"/>
  <c r="C499" i="20"/>
  <c r="L498" i="20"/>
  <c r="I498" i="20"/>
  <c r="C498" i="20"/>
  <c r="J497" i="20"/>
  <c r="L497" i="20" s="1"/>
  <c r="I497" i="20"/>
  <c r="G497" i="20"/>
  <c r="C497" i="20"/>
  <c r="L496" i="20"/>
  <c r="M496" i="20" s="1"/>
  <c r="I496" i="20"/>
  <c r="K496" i="20" s="1"/>
  <c r="G496" i="20"/>
  <c r="C496" i="20"/>
  <c r="M494" i="20"/>
  <c r="L494" i="20"/>
  <c r="K494" i="20"/>
  <c r="I494" i="20"/>
  <c r="C494" i="20"/>
  <c r="L493" i="20"/>
  <c r="I493" i="20"/>
  <c r="C493" i="20"/>
  <c r="M492" i="20"/>
  <c r="L492" i="20"/>
  <c r="J492" i="20"/>
  <c r="I492" i="20"/>
  <c r="K492" i="20" s="1"/>
  <c r="G492" i="20"/>
  <c r="C492" i="20"/>
  <c r="L491" i="20"/>
  <c r="M491" i="20" s="1"/>
  <c r="I491" i="20"/>
  <c r="C491" i="20"/>
  <c r="L490" i="20"/>
  <c r="K490" i="20" s="1"/>
  <c r="I490" i="20"/>
  <c r="C490" i="20"/>
  <c r="L489" i="20"/>
  <c r="M489" i="20" s="1"/>
  <c r="I489" i="20"/>
  <c r="K489" i="20" s="1"/>
  <c r="G489" i="20"/>
  <c r="C489" i="20"/>
  <c r="L488" i="20"/>
  <c r="M488" i="20" s="1"/>
  <c r="J488" i="20"/>
  <c r="I488" i="20"/>
  <c r="G488" i="20"/>
  <c r="C488" i="20"/>
  <c r="M487" i="20"/>
  <c r="L487" i="20"/>
  <c r="G487" i="20"/>
  <c r="I487" i="20" s="1"/>
  <c r="K487" i="20" s="1"/>
  <c r="C487" i="20"/>
  <c r="C483" i="20"/>
  <c r="C482" i="20"/>
  <c r="C481" i="20"/>
  <c r="C480" i="20"/>
  <c r="C479" i="20"/>
  <c r="C478" i="20"/>
  <c r="C477" i="20"/>
  <c r="C476" i="20"/>
  <c r="M462" i="20"/>
  <c r="L462" i="20"/>
  <c r="I462" i="20"/>
  <c r="D462" i="20"/>
  <c r="C462" i="20"/>
  <c r="L461" i="20"/>
  <c r="M461" i="20" s="1"/>
  <c r="K461" i="20"/>
  <c r="I461" i="20"/>
  <c r="C461" i="20"/>
  <c r="L460" i="20"/>
  <c r="M460" i="20" s="1"/>
  <c r="I460" i="20"/>
  <c r="C460" i="20"/>
  <c r="M459" i="20"/>
  <c r="L459" i="20"/>
  <c r="I459" i="20"/>
  <c r="C459" i="20"/>
  <c r="L458" i="20"/>
  <c r="M458" i="20" s="1"/>
  <c r="I458" i="20"/>
  <c r="C458" i="20"/>
  <c r="L457" i="20"/>
  <c r="K457" i="20" s="1"/>
  <c r="I457" i="20"/>
  <c r="D457" i="20"/>
  <c r="C457" i="20"/>
  <c r="J455" i="20"/>
  <c r="L455" i="20" s="1"/>
  <c r="I455" i="20"/>
  <c r="C455" i="20"/>
  <c r="J454" i="20"/>
  <c r="L454" i="20" s="1"/>
  <c r="M454" i="20" s="1"/>
  <c r="I454" i="20"/>
  <c r="K454" i="20" s="1"/>
  <c r="C454" i="20"/>
  <c r="J453" i="20"/>
  <c r="L453" i="20" s="1"/>
  <c r="I453" i="20"/>
  <c r="C453" i="20"/>
  <c r="J452" i="20"/>
  <c r="L452" i="20" s="1"/>
  <c r="I452" i="20"/>
  <c r="C452" i="20"/>
  <c r="L451" i="20"/>
  <c r="K451" i="20" s="1"/>
  <c r="J451" i="20"/>
  <c r="I451" i="20"/>
  <c r="C451" i="20"/>
  <c r="J447" i="20"/>
  <c r="L447" i="20" s="1"/>
  <c r="K447" i="20" s="1"/>
  <c r="I447" i="20"/>
  <c r="C447" i="20"/>
  <c r="J446" i="20"/>
  <c r="L446" i="20" s="1"/>
  <c r="M446" i="20" s="1"/>
  <c r="G446" i="20"/>
  <c r="I446" i="20" s="1"/>
  <c r="C446" i="20"/>
  <c r="L445" i="20"/>
  <c r="M445" i="20" s="1"/>
  <c r="J445" i="20"/>
  <c r="I445" i="20"/>
  <c r="G445" i="20"/>
  <c r="C445" i="20"/>
  <c r="L444" i="20"/>
  <c r="K444" i="20" s="1"/>
  <c r="I444" i="20"/>
  <c r="C444" i="20"/>
  <c r="L443" i="20"/>
  <c r="M443" i="20" s="1"/>
  <c r="J443" i="20"/>
  <c r="I443" i="20"/>
  <c r="K443" i="20" s="1"/>
  <c r="C443" i="20"/>
  <c r="L442" i="20"/>
  <c r="M442" i="20" s="1"/>
  <c r="J442" i="20"/>
  <c r="I442" i="20"/>
  <c r="C442" i="20"/>
  <c r="L441" i="20"/>
  <c r="G441" i="20"/>
  <c r="I441" i="20" s="1"/>
  <c r="C441" i="20"/>
  <c r="J440" i="20"/>
  <c r="L440" i="20" s="1"/>
  <c r="G440" i="20"/>
  <c r="I440" i="20" s="1"/>
  <c r="C440" i="20"/>
  <c r="J439" i="20"/>
  <c r="L439" i="20" s="1"/>
  <c r="G439" i="20"/>
  <c r="I439" i="20" s="1"/>
  <c r="C439" i="20"/>
  <c r="J438" i="20"/>
  <c r="L438" i="20" s="1"/>
  <c r="M438" i="20" s="1"/>
  <c r="G438" i="20"/>
  <c r="I438" i="20" s="1"/>
  <c r="C438" i="20"/>
  <c r="L437" i="20"/>
  <c r="G437" i="20"/>
  <c r="I437" i="20" s="1"/>
  <c r="C437" i="20"/>
  <c r="J436" i="20"/>
  <c r="L436" i="20" s="1"/>
  <c r="M436" i="20" s="1"/>
  <c r="G436" i="20"/>
  <c r="I436" i="20" s="1"/>
  <c r="K436" i="20" s="1"/>
  <c r="C436" i="20"/>
  <c r="J428" i="20"/>
  <c r="L428" i="20" s="1"/>
  <c r="K428" i="20" s="1"/>
  <c r="G428" i="20"/>
  <c r="I428" i="20" s="1"/>
  <c r="C428" i="20"/>
  <c r="J427" i="20"/>
  <c r="L427" i="20" s="1"/>
  <c r="M427" i="20" s="1"/>
  <c r="G427" i="20"/>
  <c r="I427" i="20" s="1"/>
  <c r="C427" i="20"/>
  <c r="J426" i="20"/>
  <c r="L426" i="20" s="1"/>
  <c r="G426" i="20"/>
  <c r="I426" i="20" s="1"/>
  <c r="C426" i="20"/>
  <c r="J425" i="20"/>
  <c r="L425" i="20" s="1"/>
  <c r="M425" i="20" s="1"/>
  <c r="G425" i="20"/>
  <c r="I425" i="20" s="1"/>
  <c r="C425" i="20"/>
  <c r="J424" i="20"/>
  <c r="L424" i="20" s="1"/>
  <c r="G424" i="20"/>
  <c r="I424" i="20" s="1"/>
  <c r="C424" i="20"/>
  <c r="L423" i="20"/>
  <c r="I423" i="20"/>
  <c r="K423" i="20" s="1"/>
  <c r="C423" i="20"/>
  <c r="M422" i="20"/>
  <c r="L422" i="20"/>
  <c r="I422" i="20"/>
  <c r="K422" i="20" s="1"/>
  <c r="G422" i="20"/>
  <c r="C422" i="20"/>
  <c r="J421" i="20"/>
  <c r="L421" i="20" s="1"/>
  <c r="G421" i="20"/>
  <c r="I421" i="20" s="1"/>
  <c r="C421" i="20"/>
  <c r="J420" i="20"/>
  <c r="L420" i="20" s="1"/>
  <c r="M420" i="20" s="1"/>
  <c r="G420" i="20"/>
  <c r="I420" i="20" s="1"/>
  <c r="C420" i="20"/>
  <c r="L418" i="20"/>
  <c r="M418" i="20" s="1"/>
  <c r="J418" i="20"/>
  <c r="I418" i="20"/>
  <c r="K418" i="20" s="1"/>
  <c r="C418" i="20"/>
  <c r="J414" i="20"/>
  <c r="L414" i="20" s="1"/>
  <c r="I414" i="20"/>
  <c r="C414" i="20"/>
  <c r="L413" i="20"/>
  <c r="M413" i="20" s="1"/>
  <c r="J413" i="20"/>
  <c r="I413" i="20"/>
  <c r="C413" i="20"/>
  <c r="C412" i="20"/>
  <c r="C411" i="20"/>
  <c r="L410" i="20"/>
  <c r="I410" i="20"/>
  <c r="C410" i="20"/>
  <c r="L409" i="20"/>
  <c r="M409" i="20" s="1"/>
  <c r="J409" i="20"/>
  <c r="I409" i="20"/>
  <c r="G409" i="20"/>
  <c r="C409" i="20"/>
  <c r="M408" i="20"/>
  <c r="L408" i="20"/>
  <c r="J408" i="20"/>
  <c r="I408" i="20"/>
  <c r="K408" i="20" s="1"/>
  <c r="C408" i="20"/>
  <c r="J407" i="20"/>
  <c r="L407" i="20" s="1"/>
  <c r="G407" i="20"/>
  <c r="I407" i="20" s="1"/>
  <c r="C407" i="20"/>
  <c r="C403" i="20"/>
  <c r="C402" i="20"/>
  <c r="D401" i="20"/>
  <c r="C401" i="20"/>
  <c r="C400" i="20"/>
  <c r="C399" i="20"/>
  <c r="C398" i="20"/>
  <c r="L387" i="20"/>
  <c r="K387" i="20" s="1"/>
  <c r="I387" i="20"/>
  <c r="C387" i="20"/>
  <c r="L386" i="20"/>
  <c r="M386" i="20" s="1"/>
  <c r="J386" i="20"/>
  <c r="I386" i="20"/>
  <c r="K386" i="20" s="1"/>
  <c r="C386" i="20"/>
  <c r="L385" i="20"/>
  <c r="J385" i="20"/>
  <c r="I385" i="20"/>
  <c r="C385" i="20"/>
  <c r="L384" i="20"/>
  <c r="M384" i="20" s="1"/>
  <c r="K384" i="20"/>
  <c r="J384" i="20"/>
  <c r="I384" i="20"/>
  <c r="G384" i="20"/>
  <c r="C384" i="20"/>
  <c r="L383" i="20"/>
  <c r="J383" i="20"/>
  <c r="I383" i="20"/>
  <c r="C383" i="20"/>
  <c r="L382" i="20"/>
  <c r="J382" i="20"/>
  <c r="G382" i="20"/>
  <c r="I382" i="20" s="1"/>
  <c r="C382" i="20"/>
  <c r="J381" i="20"/>
  <c r="L381" i="20" s="1"/>
  <c r="M381" i="20" s="1"/>
  <c r="G381" i="20"/>
  <c r="I381" i="20" s="1"/>
  <c r="C381" i="20"/>
  <c r="L380" i="20"/>
  <c r="M380" i="20" s="1"/>
  <c r="I380" i="20"/>
  <c r="C380" i="20"/>
  <c r="L379" i="20"/>
  <c r="M379" i="20" s="1"/>
  <c r="I379" i="20"/>
  <c r="K379" i="20" s="1"/>
  <c r="C379" i="20"/>
  <c r="J378" i="20"/>
  <c r="L378" i="20" s="1"/>
  <c r="G378" i="20"/>
  <c r="I378" i="20" s="1"/>
  <c r="C378" i="20"/>
  <c r="L376" i="20"/>
  <c r="M376" i="20" s="1"/>
  <c r="K376" i="20"/>
  <c r="J376" i="20"/>
  <c r="C376" i="20"/>
  <c r="L375" i="20"/>
  <c r="M375" i="20" s="1"/>
  <c r="K375" i="20"/>
  <c r="I375" i="20"/>
  <c r="C375" i="20"/>
  <c r="L374" i="20"/>
  <c r="K374" i="20" s="1"/>
  <c r="J374" i="20"/>
  <c r="C374" i="20"/>
  <c r="L373" i="20"/>
  <c r="M373" i="20" s="1"/>
  <c r="C373" i="20"/>
  <c r="J372" i="20"/>
  <c r="L372" i="20" s="1"/>
  <c r="I372" i="20"/>
  <c r="C372" i="20"/>
  <c r="L371" i="20"/>
  <c r="I371" i="20"/>
  <c r="C371" i="20"/>
  <c r="J370" i="20"/>
  <c r="L370" i="20" s="1"/>
  <c r="I370" i="20"/>
  <c r="C370" i="20"/>
  <c r="L369" i="20"/>
  <c r="M369" i="20" s="1"/>
  <c r="I369" i="20"/>
  <c r="K369" i="20" s="1"/>
  <c r="G369" i="20"/>
  <c r="C369" i="20"/>
  <c r="L368" i="20"/>
  <c r="K368" i="20" s="1"/>
  <c r="I368" i="20"/>
  <c r="G368" i="20"/>
  <c r="C368" i="20"/>
  <c r="L366" i="20"/>
  <c r="M366" i="20" s="1"/>
  <c r="I366" i="20"/>
  <c r="C366" i="20"/>
  <c r="L365" i="20"/>
  <c r="M365" i="20" s="1"/>
  <c r="I365" i="20"/>
  <c r="C365" i="20"/>
  <c r="M364" i="20"/>
  <c r="L364" i="20"/>
  <c r="J364" i="20"/>
  <c r="I364" i="20"/>
  <c r="G364" i="20"/>
  <c r="C364" i="20"/>
  <c r="D363" i="20"/>
  <c r="C363" i="20"/>
  <c r="M362" i="20"/>
  <c r="L362" i="20"/>
  <c r="K362" i="20"/>
  <c r="C362" i="20"/>
  <c r="M361" i="20"/>
  <c r="L361" i="20"/>
  <c r="J361" i="20"/>
  <c r="I361" i="20"/>
  <c r="K361" i="20" s="1"/>
  <c r="G361" i="20"/>
  <c r="C361" i="20"/>
  <c r="L360" i="20"/>
  <c r="J360" i="20"/>
  <c r="I360" i="20"/>
  <c r="G360" i="20"/>
  <c r="C360" i="20"/>
  <c r="C359" i="20"/>
  <c r="L337" i="20"/>
  <c r="K337" i="20" s="1"/>
  <c r="I337" i="20"/>
  <c r="C337" i="20"/>
  <c r="M336" i="20"/>
  <c r="L336" i="20"/>
  <c r="K336" i="20" s="1"/>
  <c r="C336" i="20"/>
  <c r="L335" i="20"/>
  <c r="K335" i="20"/>
  <c r="I335" i="20"/>
  <c r="C335" i="20"/>
  <c r="L334" i="20"/>
  <c r="K334" i="20" s="1"/>
  <c r="I334" i="20"/>
  <c r="C334" i="20"/>
  <c r="L333" i="20"/>
  <c r="I333" i="20"/>
  <c r="C333" i="20"/>
  <c r="M332" i="20"/>
  <c r="L332" i="20"/>
  <c r="I332" i="20"/>
  <c r="D332" i="20"/>
  <c r="C332" i="20"/>
  <c r="L331" i="20"/>
  <c r="I331" i="20"/>
  <c r="C331" i="20"/>
  <c r="L329" i="20"/>
  <c r="K329" i="20" s="1"/>
  <c r="I329" i="20"/>
  <c r="C329" i="20"/>
  <c r="L328" i="20"/>
  <c r="I328" i="20"/>
  <c r="C328" i="20"/>
  <c r="L327" i="20"/>
  <c r="K327" i="20" s="1"/>
  <c r="I327" i="20"/>
  <c r="C327" i="20"/>
  <c r="L326" i="20"/>
  <c r="I326" i="20"/>
  <c r="C326" i="20"/>
  <c r="L325" i="20"/>
  <c r="I325" i="20"/>
  <c r="K325" i="20" s="1"/>
  <c r="C325" i="20"/>
  <c r="M324" i="20"/>
  <c r="L324" i="20"/>
  <c r="I324" i="20"/>
  <c r="K324" i="20" s="1"/>
  <c r="C324" i="20"/>
  <c r="L323" i="20"/>
  <c r="K323" i="20" s="1"/>
  <c r="I323" i="20"/>
  <c r="C323" i="20"/>
  <c r="L322" i="20"/>
  <c r="M322" i="20" s="1"/>
  <c r="I322" i="20"/>
  <c r="C322" i="20"/>
  <c r="L321" i="20"/>
  <c r="K321" i="20" s="1"/>
  <c r="I321" i="20"/>
  <c r="C321" i="20"/>
  <c r="L320" i="20"/>
  <c r="I320" i="20"/>
  <c r="C320" i="20"/>
  <c r="L311" i="20"/>
  <c r="I311" i="20"/>
  <c r="C311" i="20"/>
  <c r="L310" i="20"/>
  <c r="M310" i="20" s="1"/>
  <c r="I310" i="20"/>
  <c r="C310" i="20"/>
  <c r="L308" i="20"/>
  <c r="I308" i="20"/>
  <c r="C308" i="20"/>
  <c r="K307" i="20"/>
  <c r="J307" i="20"/>
  <c r="L307" i="20" s="1"/>
  <c r="M307" i="20" s="1"/>
  <c r="I307" i="20"/>
  <c r="C307" i="20"/>
  <c r="J306" i="20"/>
  <c r="L306" i="20" s="1"/>
  <c r="K306" i="20" s="1"/>
  <c r="I306" i="20"/>
  <c r="C306" i="20"/>
  <c r="J305" i="20"/>
  <c r="L305" i="20" s="1"/>
  <c r="I305" i="20"/>
  <c r="C305" i="20"/>
  <c r="J304" i="20"/>
  <c r="L304" i="20" s="1"/>
  <c r="I304" i="20"/>
  <c r="K304" i="20" s="1"/>
  <c r="C304" i="20"/>
  <c r="L303" i="20"/>
  <c r="J303" i="20"/>
  <c r="I303" i="20"/>
  <c r="C303" i="20"/>
  <c r="J302" i="20"/>
  <c r="L302" i="20" s="1"/>
  <c r="K302" i="20" s="1"/>
  <c r="I302" i="20"/>
  <c r="C302" i="20"/>
  <c r="J301" i="20"/>
  <c r="L301" i="20" s="1"/>
  <c r="I301" i="20"/>
  <c r="C301" i="20"/>
  <c r="J300" i="20"/>
  <c r="L300" i="20" s="1"/>
  <c r="I300" i="20"/>
  <c r="C300" i="20"/>
  <c r="J299" i="20"/>
  <c r="L299" i="20" s="1"/>
  <c r="I299" i="20"/>
  <c r="C299" i="20"/>
  <c r="L298" i="20"/>
  <c r="J298" i="20"/>
  <c r="I298" i="20"/>
  <c r="C298" i="20"/>
  <c r="J297" i="20"/>
  <c r="L297" i="20" s="1"/>
  <c r="I297" i="20"/>
  <c r="C297" i="20"/>
  <c r="J295" i="20"/>
  <c r="L295" i="20" s="1"/>
  <c r="G295" i="20"/>
  <c r="I295" i="20" s="1"/>
  <c r="C295" i="20"/>
  <c r="J294" i="20"/>
  <c r="L294" i="20" s="1"/>
  <c r="G294" i="20"/>
  <c r="I294" i="20" s="1"/>
  <c r="C294" i="20"/>
  <c r="L293" i="20"/>
  <c r="J293" i="20"/>
  <c r="I293" i="20"/>
  <c r="C293" i="20"/>
  <c r="L292" i="20"/>
  <c r="I292" i="20"/>
  <c r="K292" i="20" s="1"/>
  <c r="C292" i="20"/>
  <c r="L291" i="20"/>
  <c r="I291" i="20"/>
  <c r="C291" i="20"/>
  <c r="L290" i="20"/>
  <c r="M290" i="20" s="1"/>
  <c r="I290" i="20"/>
  <c r="C290" i="20"/>
  <c r="L289" i="20"/>
  <c r="K289" i="20" s="1"/>
  <c r="J289" i="20"/>
  <c r="I289" i="20"/>
  <c r="C289" i="20"/>
  <c r="L288" i="20"/>
  <c r="G288" i="20"/>
  <c r="I288" i="20" s="1"/>
  <c r="C288" i="20"/>
  <c r="L287" i="20"/>
  <c r="I287" i="20"/>
  <c r="C287" i="20"/>
  <c r="L286" i="20"/>
  <c r="G286" i="20"/>
  <c r="I286" i="20" s="1"/>
  <c r="C286" i="20"/>
  <c r="L285" i="20"/>
  <c r="M285" i="20" s="1"/>
  <c r="K285" i="20"/>
  <c r="J285" i="20"/>
  <c r="I285" i="20"/>
  <c r="G285" i="20"/>
  <c r="C285" i="20"/>
  <c r="J284" i="20"/>
  <c r="L284" i="20" s="1"/>
  <c r="G284" i="20"/>
  <c r="I284" i="20" s="1"/>
  <c r="C284" i="20"/>
  <c r="L283" i="20"/>
  <c r="M283" i="20" s="1"/>
  <c r="J283" i="20"/>
  <c r="G283" i="20"/>
  <c r="I283" i="20" s="1"/>
  <c r="K283" i="20" s="1"/>
  <c r="C283" i="20"/>
  <c r="J282" i="20"/>
  <c r="L282" i="20" s="1"/>
  <c r="G282" i="20"/>
  <c r="I282" i="20" s="1"/>
  <c r="C282" i="20"/>
  <c r="J281" i="20"/>
  <c r="L281" i="20" s="1"/>
  <c r="I281" i="20"/>
  <c r="C281" i="20"/>
  <c r="L272" i="20"/>
  <c r="G272" i="20"/>
  <c r="I272" i="20" s="1"/>
  <c r="C272" i="20"/>
  <c r="J271" i="20"/>
  <c r="L271" i="20" s="1"/>
  <c r="G271" i="20"/>
  <c r="I271" i="20" s="1"/>
  <c r="C271" i="20"/>
  <c r="L270" i="20"/>
  <c r="M270" i="20" s="1"/>
  <c r="K270" i="20"/>
  <c r="J270" i="20"/>
  <c r="I270" i="20"/>
  <c r="C270" i="20"/>
  <c r="J269" i="20"/>
  <c r="L269" i="20" s="1"/>
  <c r="G269" i="20"/>
  <c r="I269" i="20" s="1"/>
  <c r="C269" i="20"/>
  <c r="C268" i="20"/>
  <c r="C267" i="20"/>
  <c r="L266" i="20"/>
  <c r="M266" i="20" s="1"/>
  <c r="J266" i="20"/>
  <c r="I266" i="20"/>
  <c r="K266" i="20" s="1"/>
  <c r="G266" i="20"/>
  <c r="C266" i="20"/>
  <c r="J265" i="20"/>
  <c r="L265" i="20" s="1"/>
  <c r="K265" i="20" s="1"/>
  <c r="G265" i="20"/>
  <c r="I265" i="20" s="1"/>
  <c r="C265" i="20"/>
  <c r="C264" i="20"/>
  <c r="C263" i="20"/>
  <c r="M262" i="20"/>
  <c r="J262" i="20"/>
  <c r="L262" i="20" s="1"/>
  <c r="G262" i="20"/>
  <c r="I262" i="20" s="1"/>
  <c r="C262" i="20"/>
  <c r="J261" i="20"/>
  <c r="L261" i="20" s="1"/>
  <c r="K261" i="20" s="1"/>
  <c r="G261" i="20"/>
  <c r="I261" i="20" s="1"/>
  <c r="C261" i="20"/>
  <c r="C260" i="20"/>
  <c r="C259" i="20"/>
  <c r="J258" i="20"/>
  <c r="L258" i="20" s="1"/>
  <c r="G258" i="20"/>
  <c r="I258" i="20" s="1"/>
  <c r="C258" i="20"/>
  <c r="L257" i="20"/>
  <c r="I257" i="20"/>
  <c r="C257" i="20"/>
  <c r="L256" i="20"/>
  <c r="M256" i="20" s="1"/>
  <c r="I256" i="20"/>
  <c r="K256" i="20" s="1"/>
  <c r="C256" i="20"/>
  <c r="L255" i="20"/>
  <c r="K255" i="20"/>
  <c r="I255" i="20"/>
  <c r="C255" i="20"/>
  <c r="C254" i="20"/>
  <c r="C253" i="20"/>
  <c r="L252" i="20"/>
  <c r="M252" i="20" s="1"/>
  <c r="I252" i="20"/>
  <c r="C252" i="20"/>
  <c r="L251" i="20"/>
  <c r="I251" i="20"/>
  <c r="K251" i="20" s="1"/>
  <c r="C251" i="20"/>
  <c r="C250" i="20"/>
  <c r="C249" i="20"/>
  <c r="M248" i="20"/>
  <c r="J248" i="20"/>
  <c r="L248" i="20" s="1"/>
  <c r="G248" i="20"/>
  <c r="I248" i="20" s="1"/>
  <c r="C248" i="20"/>
  <c r="J246" i="20"/>
  <c r="L246" i="20" s="1"/>
  <c r="I246" i="20"/>
  <c r="C246" i="20"/>
  <c r="L245" i="20"/>
  <c r="K245" i="20" s="1"/>
  <c r="C245" i="20"/>
  <c r="J244" i="20"/>
  <c r="L244" i="20" s="1"/>
  <c r="C244" i="20"/>
  <c r="C243" i="20"/>
  <c r="C242" i="20"/>
  <c r="J234" i="20"/>
  <c r="L234" i="20" s="1"/>
  <c r="I234" i="20"/>
  <c r="G234" i="20"/>
  <c r="C234" i="20"/>
  <c r="J233" i="20"/>
  <c r="L233" i="20" s="1"/>
  <c r="I233" i="20"/>
  <c r="G233" i="20"/>
  <c r="C233" i="20"/>
  <c r="L232" i="20"/>
  <c r="M232" i="20" s="1"/>
  <c r="I232" i="20"/>
  <c r="C232" i="20"/>
  <c r="J231" i="20"/>
  <c r="L231" i="20" s="1"/>
  <c r="K231" i="20" s="1"/>
  <c r="C231" i="20"/>
  <c r="C230" i="20"/>
  <c r="C229" i="20"/>
  <c r="C228" i="20"/>
  <c r="J227" i="20"/>
  <c r="L227" i="20" s="1"/>
  <c r="C227" i="20"/>
  <c r="J226" i="20"/>
  <c r="L226" i="20" s="1"/>
  <c r="I226" i="20"/>
  <c r="G226" i="20"/>
  <c r="C226" i="20"/>
  <c r="J225" i="20"/>
  <c r="L225" i="20" s="1"/>
  <c r="K225" i="20" s="1"/>
  <c r="I225" i="20"/>
  <c r="G225" i="20"/>
  <c r="C225" i="20"/>
  <c r="L224" i="20"/>
  <c r="J224" i="20"/>
  <c r="I224" i="20"/>
  <c r="G224" i="20"/>
  <c r="C224" i="20"/>
  <c r="J223" i="20"/>
  <c r="L223" i="20" s="1"/>
  <c r="I223" i="20"/>
  <c r="G223" i="20"/>
  <c r="C223" i="20"/>
  <c r="J222" i="20"/>
  <c r="L222" i="20" s="1"/>
  <c r="I222" i="20"/>
  <c r="C222" i="20"/>
  <c r="L221" i="20"/>
  <c r="K221" i="20" s="1"/>
  <c r="I221" i="20"/>
  <c r="G221" i="20"/>
  <c r="C221" i="20"/>
  <c r="J220" i="20"/>
  <c r="L220" i="20" s="1"/>
  <c r="I220" i="20"/>
  <c r="G220" i="20"/>
  <c r="C220" i="20"/>
  <c r="J219" i="20"/>
  <c r="L219" i="20" s="1"/>
  <c r="I219" i="20"/>
  <c r="C219" i="20"/>
  <c r="L218" i="20"/>
  <c r="K218" i="20" s="1"/>
  <c r="I218" i="20"/>
  <c r="C218" i="20"/>
  <c r="L217" i="20"/>
  <c r="I217" i="20"/>
  <c r="G217" i="20"/>
  <c r="C217" i="20"/>
  <c r="L216" i="20"/>
  <c r="M216" i="20" s="1"/>
  <c r="I216" i="20"/>
  <c r="G216" i="20"/>
  <c r="C216" i="20"/>
  <c r="L215" i="20"/>
  <c r="I215" i="20"/>
  <c r="G215" i="20"/>
  <c r="C215" i="20"/>
  <c r="M214" i="20"/>
  <c r="L214" i="20"/>
  <c r="I214" i="20"/>
  <c r="C214" i="20"/>
  <c r="L212" i="20"/>
  <c r="M212" i="20" s="1"/>
  <c r="I212" i="20"/>
  <c r="K212" i="20" s="1"/>
  <c r="C212" i="20"/>
  <c r="M211" i="20"/>
  <c r="L211" i="20"/>
  <c r="I211" i="20"/>
  <c r="D211" i="20"/>
  <c r="C211" i="20"/>
  <c r="L210" i="20"/>
  <c r="M210" i="20" s="1"/>
  <c r="I210" i="20"/>
  <c r="G210" i="20"/>
  <c r="C210" i="20"/>
  <c r="C209" i="20"/>
  <c r="L208" i="20"/>
  <c r="I208" i="20"/>
  <c r="C208" i="20"/>
  <c r="M207" i="20"/>
  <c r="L207" i="20"/>
  <c r="I207" i="20"/>
  <c r="D207" i="20"/>
  <c r="C207" i="20"/>
  <c r="L206" i="20"/>
  <c r="M206" i="20" s="1"/>
  <c r="J206" i="20"/>
  <c r="I206" i="20"/>
  <c r="G206" i="20"/>
  <c r="D206" i="20"/>
  <c r="C206" i="20"/>
  <c r="J205" i="20"/>
  <c r="L205" i="20" s="1"/>
  <c r="G205" i="20"/>
  <c r="I205" i="20" s="1"/>
  <c r="C205" i="20"/>
  <c r="J204" i="20"/>
  <c r="L204" i="20" s="1"/>
  <c r="M204" i="20" s="1"/>
  <c r="I204" i="20"/>
  <c r="C204" i="20"/>
  <c r="C193" i="20"/>
  <c r="C192" i="20"/>
  <c r="C191" i="20"/>
  <c r="C190" i="20"/>
  <c r="C189" i="20"/>
  <c r="D188" i="20"/>
  <c r="C188" i="20"/>
  <c r="C187" i="20"/>
  <c r="L183" i="20"/>
  <c r="K183" i="20" s="1"/>
  <c r="I183" i="20"/>
  <c r="G183" i="20"/>
  <c r="C183" i="20"/>
  <c r="L182" i="20"/>
  <c r="M182" i="20" s="1"/>
  <c r="J182" i="20"/>
  <c r="I182" i="20"/>
  <c r="C182" i="20"/>
  <c r="J181" i="20"/>
  <c r="L181" i="20" s="1"/>
  <c r="I181" i="20"/>
  <c r="C181" i="20"/>
  <c r="J180" i="20"/>
  <c r="L180" i="20" s="1"/>
  <c r="M180" i="20" s="1"/>
  <c r="C180" i="20"/>
  <c r="J179" i="20"/>
  <c r="L179" i="20" s="1"/>
  <c r="M179" i="20" s="1"/>
  <c r="G179" i="20"/>
  <c r="I179" i="20" s="1"/>
  <c r="C179" i="20"/>
  <c r="J178" i="20"/>
  <c r="L178" i="20" s="1"/>
  <c r="M178" i="20" s="1"/>
  <c r="I178" i="20"/>
  <c r="C178" i="20"/>
  <c r="L177" i="20"/>
  <c r="M177" i="20" s="1"/>
  <c r="I177" i="20"/>
  <c r="G177" i="20"/>
  <c r="C177" i="20"/>
  <c r="L173" i="20"/>
  <c r="K173" i="20" s="1"/>
  <c r="J173" i="20"/>
  <c r="C173" i="20"/>
  <c r="J172" i="20"/>
  <c r="L172" i="20" s="1"/>
  <c r="M172" i="20" s="1"/>
  <c r="I172" i="20"/>
  <c r="G172" i="20"/>
  <c r="C172" i="20"/>
  <c r="L171" i="20"/>
  <c r="M171" i="20" s="1"/>
  <c r="K171" i="20"/>
  <c r="J171" i="20"/>
  <c r="C171" i="20"/>
  <c r="J170" i="20"/>
  <c r="L170" i="20" s="1"/>
  <c r="M170" i="20" s="1"/>
  <c r="C170" i="20"/>
  <c r="J169" i="20"/>
  <c r="L169" i="20" s="1"/>
  <c r="M169" i="20" s="1"/>
  <c r="I169" i="20"/>
  <c r="G169" i="20"/>
  <c r="C169" i="20"/>
  <c r="J168" i="20"/>
  <c r="L168" i="20" s="1"/>
  <c r="M168" i="20" s="1"/>
  <c r="I168" i="20"/>
  <c r="C168" i="20"/>
  <c r="J167" i="20"/>
  <c r="L167" i="20" s="1"/>
  <c r="I167" i="20"/>
  <c r="C167" i="20"/>
  <c r="J166" i="20"/>
  <c r="L166" i="20" s="1"/>
  <c r="M166" i="20" s="1"/>
  <c r="I166" i="20"/>
  <c r="K166" i="20" s="1"/>
  <c r="G166" i="20"/>
  <c r="C166" i="20"/>
  <c r="L165" i="20"/>
  <c r="M165" i="20" s="1"/>
  <c r="I165" i="20"/>
  <c r="G165" i="20"/>
  <c r="C165" i="20"/>
  <c r="L135" i="20"/>
  <c r="I135" i="20"/>
  <c r="C135" i="20"/>
  <c r="L134" i="20"/>
  <c r="M134" i="20" s="1"/>
  <c r="C134" i="20"/>
  <c r="L133" i="20"/>
  <c r="I133" i="20"/>
  <c r="K133" i="20" s="1"/>
  <c r="C133" i="20"/>
  <c r="L132" i="20"/>
  <c r="I132" i="20"/>
  <c r="C132" i="20"/>
  <c r="L131" i="20"/>
  <c r="I131" i="20"/>
  <c r="K131" i="20" s="1"/>
  <c r="C131" i="20"/>
  <c r="M130" i="20"/>
  <c r="L130" i="20"/>
  <c r="I130" i="20"/>
  <c r="C130" i="20"/>
  <c r="L128" i="20"/>
  <c r="I128" i="20"/>
  <c r="K128" i="20" s="1"/>
  <c r="C128" i="20"/>
  <c r="L127" i="20"/>
  <c r="M127" i="20" s="1"/>
  <c r="I127" i="20"/>
  <c r="C127" i="20"/>
  <c r="L126" i="20"/>
  <c r="I126" i="20"/>
  <c r="K126" i="20" s="1"/>
  <c r="C126" i="20"/>
  <c r="L125" i="20"/>
  <c r="M125" i="20" s="1"/>
  <c r="I125" i="20"/>
  <c r="C125" i="20"/>
  <c r="L116" i="20"/>
  <c r="I116" i="20"/>
  <c r="K116" i="20" s="1"/>
  <c r="C116" i="20"/>
  <c r="L115" i="20"/>
  <c r="M115" i="20" s="1"/>
  <c r="I115" i="20"/>
  <c r="C115" i="20"/>
  <c r="L114" i="20"/>
  <c r="K114" i="20"/>
  <c r="I114" i="20"/>
  <c r="C114" i="20"/>
  <c r="L113" i="20"/>
  <c r="M113" i="20" s="1"/>
  <c r="I113" i="20"/>
  <c r="K113" i="20" s="1"/>
  <c r="C113" i="20"/>
  <c r="L112" i="20"/>
  <c r="K112" i="20" s="1"/>
  <c r="I112" i="20"/>
  <c r="C112" i="20"/>
  <c r="L111" i="20"/>
  <c r="M111" i="20" s="1"/>
  <c r="I111" i="20"/>
  <c r="K111" i="20" s="1"/>
  <c r="C111" i="20"/>
  <c r="L110" i="20"/>
  <c r="I110" i="20"/>
  <c r="C110" i="20"/>
  <c r="L109" i="20"/>
  <c r="M109" i="20" s="1"/>
  <c r="I109" i="20"/>
  <c r="K109" i="20" s="1"/>
  <c r="C109" i="20"/>
  <c r="L108" i="20"/>
  <c r="I108" i="20"/>
  <c r="C108" i="20"/>
  <c r="L107" i="20"/>
  <c r="M107" i="20" s="1"/>
  <c r="I107" i="20"/>
  <c r="C107" i="20"/>
  <c r="L105" i="20"/>
  <c r="I105" i="20"/>
  <c r="C105" i="20"/>
  <c r="J104" i="20"/>
  <c r="L104" i="20" s="1"/>
  <c r="I104" i="20"/>
  <c r="C104" i="20"/>
  <c r="L103" i="20"/>
  <c r="K103" i="20" s="1"/>
  <c r="J103" i="20"/>
  <c r="I103" i="20"/>
  <c r="C103" i="20"/>
  <c r="J102" i="20"/>
  <c r="L102" i="20" s="1"/>
  <c r="I102" i="20"/>
  <c r="C102" i="20"/>
  <c r="J101" i="20"/>
  <c r="L101" i="20" s="1"/>
  <c r="K101" i="20" s="1"/>
  <c r="I101" i="20"/>
  <c r="C101" i="20"/>
  <c r="J100" i="20"/>
  <c r="L100" i="20" s="1"/>
  <c r="K100" i="20" s="1"/>
  <c r="I100" i="20"/>
  <c r="C100" i="20"/>
  <c r="J99" i="20"/>
  <c r="L99" i="20" s="1"/>
  <c r="I99" i="20"/>
  <c r="C99" i="20"/>
  <c r="J98" i="20"/>
  <c r="L98" i="20" s="1"/>
  <c r="I98" i="20"/>
  <c r="C98" i="20"/>
  <c r="L97" i="20"/>
  <c r="I97" i="20"/>
  <c r="C97" i="20"/>
  <c r="J96" i="20"/>
  <c r="L96" i="20" s="1"/>
  <c r="I96" i="20"/>
  <c r="C96" i="20"/>
  <c r="L95" i="20"/>
  <c r="I95" i="20"/>
  <c r="C95" i="20"/>
  <c r="J94" i="20"/>
  <c r="L94" i="20" s="1"/>
  <c r="I94" i="20"/>
  <c r="C94" i="20"/>
  <c r="J92" i="20"/>
  <c r="L92" i="20" s="1"/>
  <c r="G92" i="20"/>
  <c r="I92" i="20" s="1"/>
  <c r="C92" i="20"/>
  <c r="J91" i="20"/>
  <c r="L91" i="20" s="1"/>
  <c r="G91" i="20"/>
  <c r="I91" i="20" s="1"/>
  <c r="C91" i="20"/>
  <c r="J90" i="20"/>
  <c r="L90" i="20" s="1"/>
  <c r="M90" i="20" s="1"/>
  <c r="I90" i="20"/>
  <c r="C90" i="20"/>
  <c r="L89" i="20"/>
  <c r="I89" i="20"/>
  <c r="K89" i="20" s="1"/>
  <c r="C89" i="20"/>
  <c r="L88" i="20"/>
  <c r="M88" i="20" s="1"/>
  <c r="I88" i="20"/>
  <c r="C88" i="20"/>
  <c r="L87" i="20"/>
  <c r="M87" i="20" s="1"/>
  <c r="I87" i="20"/>
  <c r="K87" i="20" s="1"/>
  <c r="C87" i="20"/>
  <c r="L86" i="20"/>
  <c r="M86" i="20" s="1"/>
  <c r="I86" i="20"/>
  <c r="C86" i="20"/>
  <c r="L78" i="20"/>
  <c r="I78" i="20"/>
  <c r="C78" i="20"/>
  <c r="L77" i="20"/>
  <c r="M77" i="20" s="1"/>
  <c r="I77" i="20"/>
  <c r="C77" i="20"/>
  <c r="M76" i="20"/>
  <c r="L76" i="20"/>
  <c r="I76" i="20"/>
  <c r="K76" i="20" s="1"/>
  <c r="C76" i="20"/>
  <c r="M75" i="20"/>
  <c r="L75" i="20"/>
  <c r="K75" i="20"/>
  <c r="I75" i="20"/>
  <c r="C75" i="20"/>
  <c r="J74" i="20"/>
  <c r="L74" i="20" s="1"/>
  <c r="I74" i="20"/>
  <c r="C74" i="20"/>
  <c r="J73" i="20"/>
  <c r="L73" i="20" s="1"/>
  <c r="I73" i="20"/>
  <c r="C73" i="20"/>
  <c r="J72" i="20"/>
  <c r="L72" i="20" s="1"/>
  <c r="G72" i="20"/>
  <c r="I72" i="20" s="1"/>
  <c r="C72" i="20"/>
  <c r="L71" i="20"/>
  <c r="G71" i="20"/>
  <c r="I71" i="20" s="1"/>
  <c r="K71" i="20" s="1"/>
  <c r="C71" i="20"/>
  <c r="C70" i="20"/>
  <c r="C69" i="20"/>
  <c r="J68" i="20"/>
  <c r="L68" i="20" s="1"/>
  <c r="G68" i="20"/>
  <c r="I68" i="20" s="1"/>
  <c r="C68" i="20"/>
  <c r="J67" i="20"/>
  <c r="L67" i="20" s="1"/>
  <c r="I67" i="20"/>
  <c r="G67" i="20"/>
  <c r="C67" i="20"/>
  <c r="C66" i="20"/>
  <c r="C65" i="20"/>
  <c r="J64" i="20"/>
  <c r="L64" i="20" s="1"/>
  <c r="G64" i="20"/>
  <c r="I64" i="20" s="1"/>
  <c r="C64" i="20"/>
  <c r="J63" i="20"/>
  <c r="L63" i="20" s="1"/>
  <c r="G63" i="20"/>
  <c r="I63" i="20" s="1"/>
  <c r="C63" i="20"/>
  <c r="C62" i="20"/>
  <c r="C61" i="20"/>
  <c r="J60" i="20"/>
  <c r="L60" i="20" s="1"/>
  <c r="I60" i="20"/>
  <c r="G60" i="20"/>
  <c r="C60" i="20"/>
  <c r="J59" i="20"/>
  <c r="L59" i="20" s="1"/>
  <c r="G59" i="20"/>
  <c r="I59" i="20" s="1"/>
  <c r="C59" i="20"/>
  <c r="C58" i="20"/>
  <c r="C57" i="20"/>
  <c r="J56" i="20"/>
  <c r="L56" i="20" s="1"/>
  <c r="G56" i="20"/>
  <c r="I56" i="20" s="1"/>
  <c r="C56" i="20"/>
  <c r="L55" i="20"/>
  <c r="K55" i="20" s="1"/>
  <c r="I55" i="20"/>
  <c r="C55" i="20"/>
  <c r="C54" i="20"/>
  <c r="C53" i="20"/>
  <c r="L52" i="20"/>
  <c r="M52" i="20" s="1"/>
  <c r="I52" i="20"/>
  <c r="G52" i="20"/>
  <c r="C52" i="20"/>
  <c r="L50" i="20"/>
  <c r="M50" i="20" s="1"/>
  <c r="K50" i="20"/>
  <c r="J50" i="20"/>
  <c r="I50" i="20"/>
  <c r="G50" i="20"/>
  <c r="C50" i="20"/>
  <c r="J49" i="20"/>
  <c r="L49" i="20" s="1"/>
  <c r="I49" i="20"/>
  <c r="C49" i="20"/>
  <c r="J48" i="20"/>
  <c r="L48" i="20" s="1"/>
  <c r="C48" i="20"/>
  <c r="J47" i="20"/>
  <c r="L47" i="20" s="1"/>
  <c r="C47" i="20"/>
  <c r="L37" i="20"/>
  <c r="M37" i="20" s="1"/>
  <c r="I37" i="20"/>
  <c r="G37" i="20"/>
  <c r="C37" i="20"/>
  <c r="M36" i="20"/>
  <c r="L36" i="20"/>
  <c r="I36" i="20"/>
  <c r="K36" i="20" s="1"/>
  <c r="G36" i="20"/>
  <c r="C36" i="20"/>
  <c r="L35" i="20"/>
  <c r="M35" i="20" s="1"/>
  <c r="I35" i="20"/>
  <c r="C35" i="20"/>
  <c r="J34" i="20"/>
  <c r="L34" i="20" s="1"/>
  <c r="K34" i="20" s="1"/>
  <c r="C34" i="20"/>
  <c r="C33" i="20"/>
  <c r="J32" i="20"/>
  <c r="L32" i="20" s="1"/>
  <c r="C32" i="20"/>
  <c r="L31" i="20"/>
  <c r="M31" i="20" s="1"/>
  <c r="K31" i="20"/>
  <c r="C31" i="20"/>
  <c r="L30" i="20"/>
  <c r="I30" i="20"/>
  <c r="K30" i="20" s="1"/>
  <c r="C30" i="20"/>
  <c r="M29" i="20"/>
  <c r="L29" i="20"/>
  <c r="I29" i="20"/>
  <c r="K29" i="20" s="1"/>
  <c r="C29" i="20"/>
  <c r="J28" i="20"/>
  <c r="L28" i="20" s="1"/>
  <c r="I28" i="20"/>
  <c r="G28" i="20"/>
  <c r="C28" i="20"/>
  <c r="J27" i="20"/>
  <c r="L27" i="20" s="1"/>
  <c r="I27" i="20"/>
  <c r="G27" i="20"/>
  <c r="C27" i="20"/>
  <c r="J26" i="20"/>
  <c r="L26" i="20" s="1"/>
  <c r="I26" i="20"/>
  <c r="C26" i="20"/>
  <c r="L25" i="20"/>
  <c r="J25" i="20"/>
  <c r="I25" i="20"/>
  <c r="G25" i="20"/>
  <c r="C25" i="20"/>
  <c r="L24" i="20"/>
  <c r="M24" i="20" s="1"/>
  <c r="K24" i="20"/>
  <c r="I24" i="20"/>
  <c r="C24" i="20"/>
  <c r="J23" i="20"/>
  <c r="L23" i="20" s="1"/>
  <c r="I23" i="20"/>
  <c r="C23" i="20"/>
  <c r="J22" i="20"/>
  <c r="L22" i="20" s="1"/>
  <c r="I22" i="20"/>
  <c r="C22" i="20"/>
  <c r="L21" i="20"/>
  <c r="I21" i="20"/>
  <c r="K21" i="20" s="1"/>
  <c r="G21" i="20"/>
  <c r="C21" i="20"/>
  <c r="J20" i="20"/>
  <c r="L20" i="20" s="1"/>
  <c r="I20" i="20"/>
  <c r="G20" i="20"/>
  <c r="C20" i="20"/>
  <c r="L18" i="20"/>
  <c r="I18" i="20"/>
  <c r="C18" i="20"/>
  <c r="L17" i="20"/>
  <c r="K17" i="20" s="1"/>
  <c r="I17" i="20"/>
  <c r="D17" i="20"/>
  <c r="C17" i="20"/>
  <c r="L16" i="20"/>
  <c r="M16" i="20" s="1"/>
  <c r="K16" i="20"/>
  <c r="J16" i="20"/>
  <c r="I16" i="20"/>
  <c r="G16" i="20"/>
  <c r="C16" i="20"/>
  <c r="C15" i="20"/>
  <c r="L14" i="20"/>
  <c r="M14" i="20" s="1"/>
  <c r="I14" i="20"/>
  <c r="K14" i="20" s="1"/>
  <c r="D14" i="20"/>
  <c r="C14" i="20"/>
  <c r="L13" i="20"/>
  <c r="M13" i="20" s="1"/>
  <c r="I13" i="20"/>
  <c r="K13" i="20" s="1"/>
  <c r="D13" i="20"/>
  <c r="C13" i="20"/>
  <c r="J12" i="20"/>
  <c r="L12" i="20" s="1"/>
  <c r="M12" i="20" s="1"/>
  <c r="G12" i="20"/>
  <c r="I12" i="20" s="1"/>
  <c r="C12" i="20"/>
  <c r="J11" i="20"/>
  <c r="L11" i="20" s="1"/>
  <c r="I11" i="20"/>
  <c r="D11" i="20"/>
  <c r="C11" i="20"/>
  <c r="L10" i="20"/>
  <c r="G10" i="20"/>
  <c r="I10" i="20" s="1"/>
  <c r="D10" i="20"/>
  <c r="C10" i="20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C22" i="19"/>
  <c r="B22" i="19"/>
  <c r="S21" i="19"/>
  <c r="S20" i="19"/>
  <c r="S19" i="19"/>
  <c r="S18" i="19"/>
  <c r="S17" i="19"/>
  <c r="S16" i="19"/>
  <c r="S15" i="19"/>
  <c r="S14" i="19"/>
  <c r="S13" i="19"/>
  <c r="S12" i="19"/>
  <c r="S11" i="19"/>
  <c r="S10" i="19"/>
  <c r="S9" i="19"/>
  <c r="S8" i="19"/>
  <c r="S7" i="19"/>
  <c r="S6" i="19"/>
  <c r="S5" i="19"/>
  <c r="S4" i="19"/>
  <c r="S3" i="19"/>
  <c r="I1049" i="15"/>
  <c r="I976" i="15"/>
  <c r="I258" i="15"/>
  <c r="I204" i="15"/>
  <c r="I184" i="15"/>
  <c r="I129" i="15"/>
  <c r="I2742" i="14"/>
  <c r="I2722" i="14"/>
  <c r="I2708" i="14"/>
  <c r="I2650" i="14"/>
  <c r="I2606" i="14"/>
  <c r="I2590" i="14"/>
  <c r="I2565" i="14"/>
  <c r="I2552" i="14"/>
  <c r="I2536" i="14"/>
  <c r="I2521" i="14"/>
  <c r="I2502" i="14"/>
  <c r="I2491" i="14"/>
  <c r="I2019" i="14"/>
  <c r="I1985" i="14"/>
  <c r="I1956" i="14"/>
  <c r="I1876" i="14"/>
  <c r="I1846" i="14"/>
  <c r="I1822" i="14"/>
  <c r="I1740" i="14"/>
  <c r="I1706" i="14"/>
  <c r="I1620" i="14"/>
  <c r="I1508" i="14"/>
  <c r="I1364" i="14"/>
  <c r="I1339" i="14"/>
  <c r="I1246" i="14"/>
  <c r="I1175" i="14"/>
  <c r="I1097" i="14"/>
  <c r="I1051" i="14"/>
  <c r="I1003" i="14"/>
  <c r="I946" i="14"/>
  <c r="I916" i="14"/>
  <c r="I890" i="14"/>
  <c r="I863" i="14"/>
  <c r="AB792" i="14"/>
  <c r="AB791" i="14"/>
  <c r="AB790" i="14"/>
  <c r="AB789" i="14"/>
  <c r="AB787" i="14"/>
  <c r="AB786" i="14"/>
  <c r="I777" i="14"/>
  <c r="I740" i="14"/>
  <c r="I706" i="14"/>
  <c r="I681" i="14"/>
  <c r="I656" i="14"/>
  <c r="I619" i="14"/>
  <c r="I587" i="14"/>
  <c r="I560" i="14"/>
  <c r="I525" i="14"/>
  <c r="I489" i="14"/>
  <c r="I455" i="14"/>
  <c r="I405" i="14"/>
  <c r="I341" i="14"/>
  <c r="I307" i="14"/>
  <c r="I274" i="14"/>
  <c r="I110" i="14"/>
  <c r="I588" i="12"/>
  <c r="I239" i="11"/>
  <c r="I204" i="11"/>
  <c r="I171" i="11"/>
  <c r="I139" i="11"/>
  <c r="I83" i="9"/>
  <c r="C490" i="7"/>
  <c r="C489" i="7"/>
  <c r="C488" i="7"/>
  <c r="E487" i="7"/>
  <c r="C487" i="7"/>
  <c r="C486" i="7"/>
  <c r="C485" i="7"/>
  <c r="C484" i="7"/>
  <c r="C483" i="7"/>
  <c r="C480" i="7"/>
  <c r="C479" i="7"/>
  <c r="C478" i="7"/>
  <c r="C477" i="7"/>
  <c r="C476" i="7"/>
  <c r="C475" i="7"/>
  <c r="C474" i="7"/>
  <c r="C473" i="7"/>
  <c r="C472" i="7"/>
  <c r="C469" i="7"/>
  <c r="C468" i="7"/>
  <c r="C467" i="7"/>
  <c r="C466" i="7"/>
  <c r="C465" i="7"/>
  <c r="C464" i="7"/>
  <c r="C463" i="7"/>
  <c r="C462" i="7"/>
  <c r="C461" i="7"/>
  <c r="C460" i="7"/>
  <c r="I137" i="5"/>
  <c r="I121" i="5"/>
  <c r="I123" i="4"/>
  <c r="I110" i="4"/>
  <c r="I97" i="4"/>
  <c r="I84" i="4"/>
  <c r="I312" i="3"/>
  <c r="I279" i="3"/>
  <c r="I257" i="3"/>
  <c r="I137" i="3"/>
  <c r="I147" i="3" s="1"/>
  <c r="I123" i="3"/>
  <c r="I134" i="3" s="1"/>
  <c r="M68" i="20" l="1"/>
  <c r="K68" i="20"/>
  <c r="M554" i="20"/>
  <c r="K554" i="20"/>
  <c r="M503" i="20"/>
  <c r="K503" i="20"/>
  <c r="K455" i="20"/>
  <c r="M455" i="20"/>
  <c r="K22" i="20"/>
  <c r="M22" i="20"/>
  <c r="K104" i="20"/>
  <c r="M104" i="20"/>
  <c r="M709" i="20"/>
  <c r="K709" i="20"/>
  <c r="M11" i="20"/>
  <c r="K11" i="20"/>
  <c r="M94" i="20"/>
  <c r="K94" i="20"/>
  <c r="K234" i="20"/>
  <c r="M234" i="20"/>
  <c r="M205" i="20"/>
  <c r="K205" i="20"/>
  <c r="M407" i="20"/>
  <c r="K407" i="20"/>
  <c r="K284" i="20"/>
  <c r="K272" i="20"/>
  <c r="M414" i="20"/>
  <c r="K414" i="20"/>
  <c r="M452" i="20"/>
  <c r="K452" i="20"/>
  <c r="K10" i="20"/>
  <c r="K604" i="20"/>
  <c r="K18" i="20"/>
  <c r="K99" i="20"/>
  <c r="K226" i="20"/>
  <c r="K297" i="20"/>
  <c r="K328" i="20"/>
  <c r="K333" i="20"/>
  <c r="K410" i="20"/>
  <c r="M451" i="20"/>
  <c r="M457" i="20"/>
  <c r="M518" i="20"/>
  <c r="M553" i="20"/>
  <c r="M614" i="20"/>
  <c r="M18" i="20"/>
  <c r="M173" i="20"/>
  <c r="K215" i="20"/>
  <c r="K219" i="20"/>
  <c r="M297" i="20"/>
  <c r="K311" i="20"/>
  <c r="K326" i="20"/>
  <c r="M328" i="20"/>
  <c r="K383" i="20"/>
  <c r="M410" i="20"/>
  <c r="K427" i="20"/>
  <c r="K498" i="20"/>
  <c r="K533" i="20"/>
  <c r="K573" i="20"/>
  <c r="M599" i="20"/>
  <c r="K610" i="20"/>
  <c r="K642" i="20"/>
  <c r="K23" i="20"/>
  <c r="K27" i="20"/>
  <c r="K37" i="20"/>
  <c r="K74" i="20"/>
  <c r="K78" i="20"/>
  <c r="K97" i="20"/>
  <c r="K135" i="20"/>
  <c r="K179" i="20"/>
  <c r="K217" i="20"/>
  <c r="K223" i="20"/>
  <c r="K232" i="20"/>
  <c r="K288" i="20"/>
  <c r="K290" i="20"/>
  <c r="K308" i="20"/>
  <c r="K322" i="20"/>
  <c r="M326" i="20"/>
  <c r="K365" i="20"/>
  <c r="M374" i="20"/>
  <c r="M383" i="20"/>
  <c r="K438" i="20"/>
  <c r="K445" i="20"/>
  <c r="K458" i="20"/>
  <c r="K462" i="20"/>
  <c r="M498" i="20"/>
  <c r="M533" i="20"/>
  <c r="K543" i="20"/>
  <c r="K564" i="20"/>
  <c r="K577" i="20"/>
  <c r="K631" i="20"/>
  <c r="K638" i="20"/>
  <c r="S22" i="19"/>
  <c r="K25" i="20"/>
  <c r="K132" i="20"/>
  <c r="K568" i="20"/>
  <c r="K594" i="20"/>
  <c r="K52" i="20"/>
  <c r="K86" i="20"/>
  <c r="K88" i="20"/>
  <c r="K95" i="20"/>
  <c r="K108" i="20"/>
  <c r="K130" i="20"/>
  <c r="K170" i="20"/>
  <c r="M183" i="20"/>
  <c r="K211" i="20"/>
  <c r="K214" i="20"/>
  <c r="K216" i="20"/>
  <c r="M225" i="20"/>
  <c r="K310" i="20"/>
  <c r="K332" i="20"/>
  <c r="M334" i="20"/>
  <c r="M368" i="20"/>
  <c r="K373" i="20"/>
  <c r="K380" i="20"/>
  <c r="K409" i="20"/>
  <c r="M490" i="20"/>
  <c r="K519" i="20"/>
  <c r="K528" i="20"/>
  <c r="K530" i="20"/>
  <c r="K532" i="20"/>
  <c r="K541" i="20"/>
  <c r="K561" i="20"/>
  <c r="K605" i="20"/>
  <c r="K621" i="20"/>
  <c r="M683" i="20"/>
  <c r="K293" i="20"/>
  <c r="K298" i="20"/>
  <c r="K516" i="20"/>
  <c r="K67" i="20"/>
  <c r="K77" i="20"/>
  <c r="K105" i="20"/>
  <c r="K125" i="20"/>
  <c r="K165" i="20"/>
  <c r="K182" i="20"/>
  <c r="M218" i="20"/>
  <c r="M245" i="20"/>
  <c r="K287" i="20"/>
  <c r="K291" i="20"/>
  <c r="M293" i="20"/>
  <c r="K364" i="20"/>
  <c r="K366" i="20"/>
  <c r="M387" i="20"/>
  <c r="K420" i="20"/>
  <c r="K459" i="20"/>
  <c r="M583" i="20"/>
  <c r="K632" i="20"/>
  <c r="M641" i="20"/>
  <c r="K678" i="20"/>
  <c r="K682" i="20"/>
  <c r="K706" i="20"/>
  <c r="M60" i="20"/>
  <c r="K60" i="20"/>
  <c r="M64" i="20"/>
  <c r="K64" i="20"/>
  <c r="M96" i="20"/>
  <c r="K96" i="20"/>
  <c r="M49" i="20"/>
  <c r="K49" i="20"/>
  <c r="M102" i="20"/>
  <c r="K102" i="20"/>
  <c r="M73" i="20"/>
  <c r="K73" i="20"/>
  <c r="M91" i="20"/>
  <c r="K91" i="20"/>
  <c r="K92" i="20"/>
  <c r="M48" i="20"/>
  <c r="K48" i="20"/>
  <c r="K72" i="20"/>
  <c r="M72" i="20"/>
  <c r="M20" i="20"/>
  <c r="K20" i="20"/>
  <c r="K47" i="20"/>
  <c r="M47" i="20"/>
  <c r="K63" i="20"/>
  <c r="M98" i="20"/>
  <c r="K98" i="20"/>
  <c r="M32" i="20"/>
  <c r="K32" i="20"/>
  <c r="K59" i="20"/>
  <c r="M26" i="20"/>
  <c r="K26" i="20"/>
  <c r="M28" i="20"/>
  <c r="K28" i="20"/>
  <c r="M56" i="20"/>
  <c r="K56" i="20"/>
  <c r="M244" i="20"/>
  <c r="K244" i="20"/>
  <c r="K539" i="20"/>
  <c r="M539" i="20"/>
  <c r="M559" i="20"/>
  <c r="K559" i="20"/>
  <c r="K593" i="20"/>
  <c r="M593" i="20"/>
  <c r="M10" i="20"/>
  <c r="M17" i="20"/>
  <c r="M100" i="20"/>
  <c r="M132" i="20"/>
  <c r="K257" i="20"/>
  <c r="M294" i="20"/>
  <c r="K294" i="20"/>
  <c r="M372" i="20"/>
  <c r="K372" i="20"/>
  <c r="K381" i="20"/>
  <c r="K437" i="20"/>
  <c r="M493" i="20"/>
  <c r="K493" i="20"/>
  <c r="M514" i="20"/>
  <c r="K514" i="20"/>
  <c r="M578" i="20"/>
  <c r="K578" i="20"/>
  <c r="K597" i="20"/>
  <c r="M597" i="20"/>
  <c r="K616" i="20"/>
  <c r="M616" i="20"/>
  <c r="K167" i="20"/>
  <c r="K172" i="20"/>
  <c r="K204" i="20"/>
  <c r="K207" i="20"/>
  <c r="M220" i="20"/>
  <c r="K220" i="20"/>
  <c r="M222" i="20"/>
  <c r="K222" i="20"/>
  <c r="K269" i="20"/>
  <c r="K286" i="20"/>
  <c r="K421" i="20"/>
  <c r="K425" i="20"/>
  <c r="K439" i="20"/>
  <c r="M453" i="20"/>
  <c r="K453" i="20"/>
  <c r="M500" i="20"/>
  <c r="K500" i="20"/>
  <c r="K584" i="20"/>
  <c r="K110" i="20"/>
  <c r="M167" i="20"/>
  <c r="K181" i="20"/>
  <c r="K210" i="20"/>
  <c r="M224" i="20"/>
  <c r="K224" i="20"/>
  <c r="K248" i="20"/>
  <c r="K300" i="20"/>
  <c r="M320" i="20"/>
  <c r="K320" i="20"/>
  <c r="M370" i="20"/>
  <c r="K370" i="20"/>
  <c r="K582" i="20"/>
  <c r="M582" i="20"/>
  <c r="K169" i="20"/>
  <c r="M181" i="20"/>
  <c r="K252" i="20"/>
  <c r="M271" i="20"/>
  <c r="K271" i="20"/>
  <c r="M281" i="20"/>
  <c r="K281" i="20"/>
  <c r="K295" i="20"/>
  <c r="M360" i="20"/>
  <c r="K360" i="20"/>
  <c r="K517" i="20"/>
  <c r="M517" i="20"/>
  <c r="K705" i="20"/>
  <c r="M705" i="20"/>
  <c r="K12" i="20"/>
  <c r="K35" i="20"/>
  <c r="K90" i="20"/>
  <c r="K107" i="20"/>
  <c r="K206" i="20"/>
  <c r="M258" i="20"/>
  <c r="K258" i="20"/>
  <c r="M305" i="20"/>
  <c r="K305" i="20"/>
  <c r="M378" i="20"/>
  <c r="K378" i="20"/>
  <c r="M382" i="20"/>
  <c r="K382" i="20"/>
  <c r="M385" i="20"/>
  <c r="K385" i="20"/>
  <c r="K501" i="20"/>
  <c r="M501" i="20"/>
  <c r="M592" i="20"/>
  <c r="K592" i="20"/>
  <c r="M596" i="20"/>
  <c r="K596" i="20"/>
  <c r="M611" i="20"/>
  <c r="K611" i="20"/>
  <c r="M208" i="20"/>
  <c r="K208" i="20"/>
  <c r="M233" i="20"/>
  <c r="K233" i="20"/>
  <c r="M303" i="20"/>
  <c r="K303" i="20"/>
  <c r="M371" i="20"/>
  <c r="K371" i="20"/>
  <c r="M424" i="20"/>
  <c r="K424" i="20"/>
  <c r="K440" i="20"/>
  <c r="M440" i="20"/>
  <c r="M521" i="20"/>
  <c r="K521" i="20"/>
  <c r="K558" i="20"/>
  <c r="M558" i="20"/>
  <c r="K115" i="20"/>
  <c r="K127" i="20"/>
  <c r="K134" i="20"/>
  <c r="K168" i="20"/>
  <c r="K178" i="20"/>
  <c r="K180" i="20"/>
  <c r="M227" i="20"/>
  <c r="K227" i="20"/>
  <c r="M246" i="20"/>
  <c r="K246" i="20"/>
  <c r="K262" i="20"/>
  <c r="M282" i="20"/>
  <c r="K282" i="20"/>
  <c r="M299" i="20"/>
  <c r="K299" i="20"/>
  <c r="M301" i="20"/>
  <c r="K301" i="20"/>
  <c r="M331" i="20"/>
  <c r="K331" i="20"/>
  <c r="K413" i="20"/>
  <c r="K426" i="20"/>
  <c r="K497" i="20"/>
  <c r="M497" i="20"/>
  <c r="K523" i="20"/>
  <c r="M523" i="20"/>
  <c r="K581" i="20"/>
  <c r="M609" i="20"/>
  <c r="K609" i="20"/>
  <c r="K708" i="20"/>
  <c r="K711" i="20"/>
  <c r="K442" i="20"/>
  <c r="K446" i="20"/>
  <c r="K460" i="20"/>
  <c r="K488" i="20"/>
  <c r="K491" i="20"/>
  <c r="K499" i="20"/>
  <c r="K515" i="20"/>
  <c r="K520" i="20"/>
  <c r="K537" i="20"/>
  <c r="K574" i="20"/>
  <c r="K612" i="20"/>
  <c r="K635" i="20"/>
  <c r="K707" i="20"/>
  <c r="K502" i="20"/>
  <c r="K505" i="20"/>
  <c r="K531" i="20"/>
  <c r="K535" i="20"/>
  <c r="K565" i="20"/>
  <c r="K607" i="20"/>
  <c r="K677" i="20"/>
  <c r="K712" i="20"/>
</calcChain>
</file>

<file path=xl/sharedStrings.xml><?xml version="1.0" encoding="utf-8"?>
<sst xmlns="http://schemas.openxmlformats.org/spreadsheetml/2006/main" count="4360" uniqueCount="628">
  <si>
    <t>Site Name</t>
  </si>
  <si>
    <t xml:space="preserve">Site Designation  </t>
  </si>
  <si>
    <t>Total Depth m</t>
  </si>
  <si>
    <t>GPS Coordinates</t>
  </si>
  <si>
    <t>Lat</t>
  </si>
  <si>
    <t>Long</t>
  </si>
  <si>
    <t>Priest Lake South</t>
  </si>
  <si>
    <t>PLSO</t>
  </si>
  <si>
    <t>Priest Lake North</t>
  </si>
  <si>
    <t>PLNO</t>
  </si>
  <si>
    <t>Lake Water Quality Site South</t>
  </si>
  <si>
    <t>LWQA-S</t>
  </si>
  <si>
    <t>Upper Priest Lake</t>
  </si>
  <si>
    <t>UPLK</t>
  </si>
  <si>
    <t>Granite Narrows</t>
  </si>
  <si>
    <t>GNAR</t>
  </si>
  <si>
    <t>South of Breakwater</t>
  </si>
  <si>
    <t>BREK</t>
  </si>
  <si>
    <t>Cavanaugh Bay</t>
  </si>
  <si>
    <t>CAVA</t>
  </si>
  <si>
    <t>Coolin Bay</t>
  </si>
  <si>
    <t>COOL</t>
  </si>
  <si>
    <t>Distillery Bay</t>
  </si>
  <si>
    <t>DIST</t>
  </si>
  <si>
    <t>Huckelberry Bay</t>
  </si>
  <si>
    <t>HUCK</t>
  </si>
  <si>
    <t>Indian Creek Bay</t>
  </si>
  <si>
    <t>INDI</t>
  </si>
  <si>
    <t>Kalispell Bay</t>
  </si>
  <si>
    <t>KALI</t>
  </si>
  <si>
    <t>Lower Priest River (Match Bay)</t>
  </si>
  <si>
    <t>LWPR</t>
  </si>
  <si>
    <t>Luby Bay</t>
  </si>
  <si>
    <t>LUBY</t>
  </si>
  <si>
    <t>Mosquito Bay</t>
  </si>
  <si>
    <t>MOSQ</t>
  </si>
  <si>
    <t>Outlet Bay</t>
  </si>
  <si>
    <t>OUTL</t>
  </si>
  <si>
    <t>Squaw Bay</t>
  </si>
  <si>
    <t>SQUA</t>
  </si>
  <si>
    <t>Data Entry Notes:</t>
  </si>
  <si>
    <t>Data is entered with the newest data at the top of the sheet.</t>
  </si>
  <si>
    <t>Less than (&lt;) data is entered as a negative value.</t>
  </si>
  <si>
    <t>The depth of the photic zone is 2 tiems the secchi depth.</t>
  </si>
  <si>
    <t>Each sample date has 2 time stamps: the first is when you arrive at</t>
  </si>
  <si>
    <t>the site and is used for chemistry data entry. The second is the</t>
  </si>
  <si>
    <t>time that the DO/Temp profile is started and is used for all depths.</t>
  </si>
  <si>
    <t xml:space="preserve">Time stamps entered in italics are estimates and need to be verified </t>
  </si>
  <si>
    <t>from data sheets,</t>
  </si>
  <si>
    <t>Site</t>
  </si>
  <si>
    <t>Date</t>
  </si>
  <si>
    <t>Time</t>
  </si>
  <si>
    <t>Depth</t>
  </si>
  <si>
    <t>DO   mgDO/L</t>
  </si>
  <si>
    <t>% DO</t>
  </si>
  <si>
    <t>Temp *C</t>
  </si>
  <si>
    <t>Ave T Epilimnion</t>
  </si>
  <si>
    <t>Secchi w/o meters</t>
  </si>
  <si>
    <t>Secchi w/ meters</t>
  </si>
  <si>
    <t>Site Depth</t>
  </si>
  <si>
    <t>Nominal</t>
  </si>
  <si>
    <t>12 m</t>
  </si>
  <si>
    <t>Time of Sample</t>
  </si>
  <si>
    <t>6/xx/18</t>
  </si>
  <si>
    <t>7/xx/18</t>
  </si>
  <si>
    <t>8/xx/18</t>
  </si>
  <si>
    <t>9/xx/18</t>
  </si>
  <si>
    <t>5/xx/17</t>
  </si>
  <si>
    <t>6/xx/17</t>
  </si>
  <si>
    <t>7/xx/17</t>
  </si>
  <si>
    <t>8/xx/17</t>
  </si>
  <si>
    <t>bottom</t>
  </si>
  <si>
    <t>9/xx/17</t>
  </si>
  <si>
    <t>10/xx/17</t>
  </si>
  <si>
    <t>15 m</t>
  </si>
  <si>
    <t>0.01 - 22</t>
  </si>
  <si>
    <t>8 m</t>
  </si>
  <si>
    <t>AVE</t>
  </si>
  <si>
    <t>SUMMER AVE</t>
  </si>
  <si>
    <t>0.5-11.5</t>
  </si>
  <si>
    <t>0.5-12.0</t>
  </si>
  <si>
    <t>0.5-13.0</t>
  </si>
  <si>
    <t>0.5-10.5</t>
  </si>
  <si>
    <t>0.5-10.0</t>
  </si>
  <si>
    <t>--</t>
  </si>
  <si>
    <t>0.5-11.0</t>
  </si>
  <si>
    <t>0.5-15.0</t>
  </si>
  <si>
    <t>0.5 - 20m</t>
  </si>
  <si>
    <t>0.5 - 17m</t>
  </si>
  <si>
    <t>0.5 - 16m</t>
  </si>
  <si>
    <t>0.5 - 12.5m</t>
  </si>
  <si>
    <t>0.5 - 9m</t>
  </si>
  <si>
    <t>0.5 - 10m</t>
  </si>
  <si>
    <t>0.5 - 14m</t>
  </si>
  <si>
    <t>0.5 - 13m</t>
  </si>
  <si>
    <t>0.5 - 15.0</t>
  </si>
  <si>
    <t>0.5 - 17.5</t>
  </si>
  <si>
    <t>0.5 - 14.0</t>
  </si>
  <si>
    <t>0.5 - 10.0</t>
  </si>
  <si>
    <t>10 m</t>
  </si>
  <si>
    <t>2 m</t>
  </si>
  <si>
    <t>45 m</t>
  </si>
  <si>
    <t>11 m</t>
  </si>
  <si>
    <t>8,79</t>
  </si>
  <si>
    <t>7/23/2018</t>
  </si>
  <si>
    <t>0.1</t>
  </si>
  <si>
    <t>22.7</t>
  </si>
  <si>
    <t>1</t>
  </si>
  <si>
    <t>22.5</t>
  </si>
  <si>
    <t>8/22/2018</t>
  </si>
  <si>
    <t>20.9</t>
  </si>
  <si>
    <t>20.8</t>
  </si>
  <si>
    <t>9/23/2018</t>
  </si>
  <si>
    <t>16.4</t>
  </si>
  <si>
    <t>16.5</t>
  </si>
  <si>
    <t>5/22/2017</t>
  </si>
  <si>
    <t>12.6</t>
  </si>
  <si>
    <t>12</t>
  </si>
  <si>
    <t>6/19/2017</t>
  </si>
  <si>
    <t>15.4</t>
  </si>
  <si>
    <t>15.2</t>
  </si>
  <si>
    <t>7/17/2017</t>
  </si>
  <si>
    <t>8/21/2017</t>
  </si>
  <si>
    <t>21.9</t>
  </si>
  <si>
    <t>21.8</t>
  </si>
  <si>
    <t>9/25/2017</t>
  </si>
  <si>
    <t>16.3</t>
  </si>
  <si>
    <t>10/16/2017</t>
  </si>
  <si>
    <t>12.7</t>
  </si>
  <si>
    <t>6/13/2016</t>
  </si>
  <si>
    <t>17.3</t>
  </si>
  <si>
    <t>17.2</t>
  </si>
  <si>
    <t>2</t>
  </si>
  <si>
    <t>17.1</t>
  </si>
  <si>
    <t>7/18/2016</t>
  </si>
  <si>
    <t>19.6</t>
  </si>
  <si>
    <t>8/15/2016</t>
  </si>
  <si>
    <t>21.7</t>
  </si>
  <si>
    <t>21.6</t>
  </si>
  <si>
    <t>6/15/2015</t>
  </si>
  <si>
    <t>19.3</t>
  </si>
  <si>
    <t>7/21/2015</t>
  </si>
  <si>
    <t>9/22/2015</t>
  </si>
  <si>
    <t>16.6</t>
  </si>
  <si>
    <t>10/13/2015</t>
  </si>
  <si>
    <t>14.9</t>
  </si>
  <si>
    <t>5/20/2014</t>
  </si>
  <si>
    <t>12.4</t>
  </si>
  <si>
    <t>12.2</t>
  </si>
  <si>
    <t>6/17/2014</t>
  </si>
  <si>
    <t>14.7</t>
  </si>
  <si>
    <t>7/21/2014</t>
  </si>
  <si>
    <t>8/26/2014</t>
  </si>
  <si>
    <t>20.7</t>
  </si>
  <si>
    <t>20.5</t>
  </si>
  <si>
    <t>9/15/2014</t>
  </si>
  <si>
    <t>6/4/2013</t>
  </si>
  <si>
    <t>14.5</t>
  </si>
  <si>
    <t>13.9</t>
  </si>
  <si>
    <t>7/24/2013</t>
  </si>
  <si>
    <t>23.3</t>
  </si>
  <si>
    <t>23.1</t>
  </si>
  <si>
    <t>5/28/2012</t>
  </si>
  <si>
    <t>9.7</t>
  </si>
  <si>
    <t>6/20/2012</t>
  </si>
  <si>
    <t>12.3</t>
  </si>
  <si>
    <t>7/25/2012</t>
  </si>
  <si>
    <t>19.9</t>
  </si>
  <si>
    <t>19.7</t>
  </si>
  <si>
    <t>8/26/2012</t>
  </si>
  <si>
    <t>5/17/2011</t>
  </si>
  <si>
    <t>7.3</t>
  </si>
  <si>
    <t>6/14/2011</t>
  </si>
  <si>
    <t>12.5</t>
  </si>
  <si>
    <t>7/26/2011</t>
  </si>
  <si>
    <t>18.4</t>
  </si>
  <si>
    <t>8/23/2011</t>
  </si>
  <si>
    <t>21.2</t>
  </si>
  <si>
    <t>9/20/2011</t>
  </si>
  <si>
    <t>18.3</t>
  </si>
  <si>
    <t>9/28/2010</t>
  </si>
  <si>
    <t>16</t>
  </si>
  <si>
    <t>11</t>
  </si>
  <si>
    <t>24.8.</t>
  </si>
  <si>
    <t>5/23/2010</t>
  </si>
  <si>
    <t>10.1</t>
  </si>
  <si>
    <t>10</t>
  </si>
  <si>
    <t>3</t>
  </si>
  <si>
    <t>4</t>
  </si>
  <si>
    <t>5</t>
  </si>
  <si>
    <t>6</t>
  </si>
  <si>
    <t>9.9</t>
  </si>
  <si>
    <t>7</t>
  </si>
  <si>
    <t>9.6</t>
  </si>
  <si>
    <t>8</t>
  </si>
  <si>
    <t>9.5</t>
  </si>
  <si>
    <t>9</t>
  </si>
  <si>
    <t>9.4</t>
  </si>
  <si>
    <t>9.2</t>
  </si>
  <si>
    <t>9.1</t>
  </si>
  <si>
    <t>13</t>
  </si>
  <si>
    <t>8.7</t>
  </si>
  <si>
    <t>14</t>
  </si>
  <si>
    <t>8.5</t>
  </si>
  <si>
    <t>15</t>
  </si>
  <si>
    <t>8.3</t>
  </si>
  <si>
    <t>8.2</t>
  </si>
  <si>
    <t>17</t>
  </si>
  <si>
    <t>7.8</t>
  </si>
  <si>
    <t>18</t>
  </si>
  <si>
    <t>19</t>
  </si>
  <si>
    <t>7.5</t>
  </si>
  <si>
    <t>20</t>
  </si>
  <si>
    <t>6.6</t>
  </si>
  <si>
    <t>21</t>
  </si>
  <si>
    <t>6.5</t>
  </si>
  <si>
    <t>22</t>
  </si>
  <si>
    <t>6.3</t>
  </si>
  <si>
    <t>23</t>
  </si>
  <si>
    <t>6.2</t>
  </si>
  <si>
    <t>24</t>
  </si>
  <si>
    <t>25</t>
  </si>
  <si>
    <t>5.9</t>
  </si>
  <si>
    <t>6/17/2010</t>
  </si>
  <si>
    <t>11.7</t>
  </si>
  <si>
    <t>11.1</t>
  </si>
  <si>
    <t>9.3</t>
  </si>
  <si>
    <t>8.1</t>
  </si>
  <si>
    <t>7.6</t>
  </si>
  <si>
    <t>6.9</t>
  </si>
  <si>
    <t>6.8</t>
  </si>
  <si>
    <t>6.4</t>
  </si>
  <si>
    <t>7/28/2010</t>
  </si>
  <si>
    <t>19.4</t>
  </si>
  <si>
    <t>17.5</t>
  </si>
  <si>
    <t>15.5</t>
  </si>
  <si>
    <t>13.2</t>
  </si>
  <si>
    <t>10.2</t>
  </si>
  <si>
    <t>8.6</t>
  </si>
  <si>
    <t>7.9</t>
  </si>
  <si>
    <t>7.4</t>
  </si>
  <si>
    <t>7.2</t>
  </si>
  <si>
    <t>7.1</t>
  </si>
  <si>
    <t>8/30/2010</t>
  </si>
  <si>
    <t>14.3</t>
  </si>
  <si>
    <t>10.3</t>
  </si>
  <si>
    <t>5.8</t>
  </si>
  <si>
    <t>5.7</t>
  </si>
  <si>
    <t>5.6</t>
  </si>
  <si>
    <t>5.5</t>
  </si>
  <si>
    <t>5.4</t>
  </si>
  <si>
    <t>15.9</t>
  </si>
  <si>
    <t>15.8</t>
  </si>
  <si>
    <t>15.6</t>
  </si>
  <si>
    <t>7.7</t>
  </si>
  <si>
    <t>6.7</t>
  </si>
  <si>
    <t>6.1</t>
  </si>
  <si>
    <t>nd</t>
  </si>
  <si>
    <t>0.5</t>
  </si>
  <si>
    <t>20.2</t>
  </si>
  <si>
    <t>19.8</t>
  </si>
  <si>
    <t>13.1</t>
  </si>
  <si>
    <t>30</t>
  </si>
  <si>
    <t>40</t>
  </si>
  <si>
    <t>5.2</t>
  </si>
  <si>
    <t>46</t>
  </si>
  <si>
    <t>5.1</t>
  </si>
  <si>
    <t>DO     mg DO/L</t>
  </si>
  <si>
    <t>88 m</t>
  </si>
  <si>
    <t>11.3</t>
  </si>
  <si>
    <t>35</t>
  </si>
  <si>
    <t>7/29/2015</t>
  </si>
  <si>
    <t>11.4</t>
  </si>
  <si>
    <t>26</t>
  </si>
  <si>
    <t>27</t>
  </si>
  <si>
    <t>28</t>
  </si>
  <si>
    <t>29</t>
  </si>
  <si>
    <t>5.3</t>
  </si>
  <si>
    <t>45</t>
  </si>
  <si>
    <t>50</t>
  </si>
  <si>
    <t>55</t>
  </si>
  <si>
    <t>epi</t>
  </si>
  <si>
    <t>1 m</t>
  </si>
  <si>
    <t>60</t>
  </si>
  <si>
    <t>65</t>
  </si>
  <si>
    <t>70</t>
  </si>
  <si>
    <t>75</t>
  </si>
  <si>
    <t>4.9</t>
  </si>
  <si>
    <t>80</t>
  </si>
  <si>
    <t>85</t>
  </si>
  <si>
    <t>90</t>
  </si>
  <si>
    <t>95</t>
  </si>
  <si>
    <t>18.1</t>
  </si>
  <si>
    <t>17.9</t>
  </si>
  <si>
    <t>17.8</t>
  </si>
  <si>
    <t>17.7</t>
  </si>
  <si>
    <t>13.3</t>
  </si>
  <si>
    <t>8.8</t>
  </si>
  <si>
    <t>4.8</t>
  </si>
  <si>
    <t>4.7</t>
  </si>
  <si>
    <t>22.6</t>
  </si>
  <si>
    <t>22.3</t>
  </si>
  <si>
    <t>22.1</t>
  </si>
  <si>
    <t>21.4</t>
  </si>
  <si>
    <t>21.3</t>
  </si>
  <si>
    <t>21.1</t>
  </si>
  <si>
    <t>22.2</t>
  </si>
  <si>
    <t>Photic Zone Depth m</t>
  </si>
  <si>
    <t>? M</t>
  </si>
  <si>
    <t>30  m</t>
  </si>
  <si>
    <t>SITE NAME</t>
  </si>
  <si>
    <t>TOTALS</t>
  </si>
  <si>
    <t>?</t>
  </si>
  <si>
    <t>X</t>
  </si>
  <si>
    <r>
      <rPr>
        <sz val="11"/>
        <color theme="1"/>
        <rFont val="Trebuchet MS"/>
        <family val="2"/>
      </rPr>
      <t xml:space="preserve">NGRA </t>
    </r>
    <r>
      <rPr>
        <sz val="8"/>
        <color theme="1"/>
        <rFont val="Trebuchet MS"/>
        <family val="2"/>
      </rPr>
      <t>(or GRAN)</t>
    </r>
  </si>
  <si>
    <r>
      <rPr>
        <sz val="11"/>
        <color theme="1"/>
        <rFont val="Trebuchet MS"/>
        <family val="2"/>
      </rPr>
      <t>NREE</t>
    </r>
    <r>
      <rPr>
        <sz val="8"/>
        <color theme="1"/>
        <rFont val="Trebuchet MS"/>
        <family val="2"/>
      </rPr>
      <t xml:space="preserve"> (or PLMD)</t>
    </r>
  </si>
  <si>
    <t>Totals/Year</t>
  </si>
  <si>
    <t>Priest Lake Water Quality Listing of Sample Data Since 1993</t>
  </si>
  <si>
    <t xml:space="preserve">When Nitrogen values less than MDL, estimates made with information from QA/QC </t>
  </si>
  <si>
    <t xml:space="preserve">      Total</t>
  </si>
  <si>
    <t>Station/</t>
  </si>
  <si>
    <t>Water</t>
  </si>
  <si>
    <t>Secchi</t>
  </si>
  <si>
    <t>Total</t>
  </si>
  <si>
    <r>
      <rPr>
        <b/>
        <sz val="10"/>
        <color theme="1"/>
        <rFont val="Times New Roman"/>
        <family val="1"/>
      </rPr>
      <t xml:space="preserve">       NO</t>
    </r>
    <r>
      <rPr>
        <b/>
        <vertAlign val="subscript"/>
        <sz val="10"/>
        <color theme="1"/>
        <rFont val="Times New Roman"/>
        <family val="1"/>
      </rPr>
      <t>2</t>
    </r>
    <r>
      <rPr>
        <b/>
        <sz val="10"/>
        <color theme="1"/>
        <rFont val="Times New Roman"/>
        <family val="1"/>
      </rPr>
      <t>+</t>
    </r>
  </si>
  <si>
    <t>Sample</t>
  </si>
  <si>
    <t>Total P</t>
  </si>
  <si>
    <r>
      <rPr>
        <b/>
        <sz val="10"/>
        <color theme="1"/>
        <rFont val="Times New Roman"/>
        <family val="1"/>
      </rPr>
      <t>NH</t>
    </r>
    <r>
      <rPr>
        <b/>
        <vertAlign val="subscript"/>
        <sz val="10"/>
        <color theme="1"/>
        <rFont val="Times New Roman"/>
        <family val="1"/>
      </rPr>
      <t>4</t>
    </r>
  </si>
  <si>
    <r>
      <rPr>
        <b/>
        <sz val="10"/>
        <color theme="1"/>
        <rFont val="Times New Roman"/>
        <family val="1"/>
      </rPr>
      <t xml:space="preserve">       NO</t>
    </r>
    <r>
      <rPr>
        <b/>
        <vertAlign val="subscript"/>
        <sz val="10"/>
        <color theme="1"/>
        <rFont val="Times New Roman"/>
        <family val="1"/>
      </rPr>
      <t>3</t>
    </r>
  </si>
  <si>
    <t>Inorg. N</t>
  </si>
  <si>
    <t>TKN</t>
  </si>
  <si>
    <t>Organ. N</t>
  </si>
  <si>
    <t>Total N</t>
  </si>
  <si>
    <t>Chl. a</t>
  </si>
  <si>
    <t>Depths (m)</t>
  </si>
  <si>
    <t xml:space="preserve">Date  </t>
  </si>
  <si>
    <t>(m)</t>
  </si>
  <si>
    <t>(mg/L)</t>
  </si>
  <si>
    <t>TN/TP</t>
  </si>
  <si>
    <t>(ug/L)</t>
  </si>
  <si>
    <t xml:space="preserve">Upper Priest Lake (UPLK) </t>
  </si>
  <si>
    <t>&lt;0.05</t>
  </si>
  <si>
    <t>0.5 - 7.5</t>
  </si>
  <si>
    <t>&lt;0.005</t>
  </si>
  <si>
    <t>0.5 - 12.5</t>
  </si>
  <si>
    <t>0.5 - 8.0</t>
  </si>
  <si>
    <t>25.0</t>
  </si>
  <si>
    <t>0.5 - 11m</t>
  </si>
  <si>
    <t>28m</t>
  </si>
  <si>
    <t>0.5 - 13.5m</t>
  </si>
  <si>
    <t>27m</t>
  </si>
  <si>
    <t>0.5 - 18.5m</t>
  </si>
  <si>
    <t>0.5m</t>
  </si>
  <si>
    <t>30m</t>
  </si>
  <si>
    <t>PZ</t>
  </si>
  <si>
    <t>0.5 - 5m</t>
  </si>
  <si>
    <t>6 - 18.5m</t>
  </si>
  <si>
    <t>6 - 10m</t>
  </si>
  <si>
    <t>11 - 20m</t>
  </si>
  <si>
    <t>0.5 - 8m</t>
  </si>
  <si>
    <t>9 - 13m</t>
  </si>
  <si>
    <t>14 - 28m</t>
  </si>
  <si>
    <r>
      <rPr>
        <b/>
        <sz val="10"/>
        <color theme="1"/>
        <rFont val="Times New Roman"/>
        <family val="1"/>
      </rPr>
      <t xml:space="preserve">       NO</t>
    </r>
    <r>
      <rPr>
        <b/>
        <vertAlign val="subscript"/>
        <sz val="10"/>
        <color theme="1"/>
        <rFont val="Times New Roman"/>
        <family val="1"/>
      </rPr>
      <t>2</t>
    </r>
    <r>
      <rPr>
        <b/>
        <sz val="10"/>
        <color theme="1"/>
        <rFont val="Times New Roman"/>
        <family val="1"/>
      </rPr>
      <t>+</t>
    </r>
  </si>
  <si>
    <r>
      <rPr>
        <b/>
        <sz val="10"/>
        <color theme="1"/>
        <rFont val="Times New Roman"/>
        <family val="1"/>
      </rPr>
      <t>NH</t>
    </r>
    <r>
      <rPr>
        <b/>
        <vertAlign val="subscript"/>
        <sz val="10"/>
        <color theme="1"/>
        <rFont val="Times New Roman"/>
        <family val="1"/>
      </rPr>
      <t>4</t>
    </r>
  </si>
  <si>
    <r>
      <rPr>
        <b/>
        <sz val="10"/>
        <color theme="1"/>
        <rFont val="Times New Roman"/>
        <family val="1"/>
      </rPr>
      <t xml:space="preserve">       NO</t>
    </r>
    <r>
      <rPr>
        <b/>
        <vertAlign val="subscript"/>
        <sz val="10"/>
        <color theme="1"/>
        <rFont val="Times New Roman"/>
        <family val="1"/>
      </rPr>
      <t>3</t>
    </r>
  </si>
  <si>
    <t>Upper Priest Lake (UPLK) - cont.</t>
  </si>
  <si>
    <t>12 - 27.5m</t>
  </si>
  <si>
    <t>0.5 - 22.5m</t>
  </si>
  <si>
    <t>0.5-15.5</t>
  </si>
  <si>
    <t>0.5-6.0</t>
  </si>
  <si>
    <t>6.5-15.5</t>
  </si>
  <si>
    <t>23.0</t>
  </si>
  <si>
    <t>0.5-13.5</t>
  </si>
  <si>
    <t>0.5-5.5</t>
  </si>
  <si>
    <t>6.0-13.5</t>
  </si>
  <si>
    <t>29.0</t>
  </si>
  <si>
    <t>0.5-4.5</t>
  </si>
  <si>
    <t>5.0-10.5</t>
  </si>
  <si>
    <t>27.0</t>
  </si>
  <si>
    <t>5.0-11.0</t>
  </si>
  <si>
    <t>28.5</t>
  </si>
  <si>
    <t>28.0</t>
  </si>
  <si>
    <t>11.0-20.0</t>
  </si>
  <si>
    <t>30.0</t>
  </si>
  <si>
    <t>0.5-8.0</t>
  </si>
  <si>
    <t>8.5-14.0</t>
  </si>
  <si>
    <t>14.5-21.0</t>
  </si>
  <si>
    <r>
      <rPr>
        <b/>
        <sz val="10"/>
        <color theme="1"/>
        <rFont val="Times New Roman"/>
        <family val="1"/>
      </rPr>
      <t xml:space="preserve">       NO</t>
    </r>
    <r>
      <rPr>
        <b/>
        <vertAlign val="subscript"/>
        <sz val="10"/>
        <color theme="1"/>
        <rFont val="Times New Roman"/>
        <family val="1"/>
      </rPr>
      <t>2</t>
    </r>
    <r>
      <rPr>
        <b/>
        <sz val="10"/>
        <color theme="1"/>
        <rFont val="Times New Roman"/>
        <family val="1"/>
      </rPr>
      <t>+</t>
    </r>
  </si>
  <si>
    <r>
      <rPr>
        <b/>
        <sz val="10"/>
        <color theme="1"/>
        <rFont val="Times New Roman"/>
        <family val="1"/>
      </rPr>
      <t>NH</t>
    </r>
    <r>
      <rPr>
        <b/>
        <vertAlign val="subscript"/>
        <sz val="10"/>
        <color theme="1"/>
        <rFont val="Times New Roman"/>
        <family val="1"/>
      </rPr>
      <t>4</t>
    </r>
  </si>
  <si>
    <r>
      <rPr>
        <b/>
        <sz val="10"/>
        <color theme="1"/>
        <rFont val="Times New Roman"/>
        <family val="1"/>
      </rPr>
      <t xml:space="preserve">       NO</t>
    </r>
    <r>
      <rPr>
        <b/>
        <vertAlign val="subscript"/>
        <sz val="10"/>
        <color theme="1"/>
        <rFont val="Times New Roman"/>
        <family val="1"/>
      </rPr>
      <t>3</t>
    </r>
  </si>
  <si>
    <t>&lt;0.002</t>
  </si>
  <si>
    <t>10.5-16.0</t>
  </si>
  <si>
    <t>16.5-28.0</t>
  </si>
  <si>
    <t>0.5-9.5</t>
  </si>
  <si>
    <t>10.0-15.0</t>
  </si>
  <si>
    <t>&lt;.05</t>
  </si>
  <si>
    <t>0.5-6.5</t>
  </si>
  <si>
    <t>31.0</t>
  </si>
  <si>
    <t>&lt;0.010</t>
  </si>
  <si>
    <t>0.5-12.5</t>
  </si>
  <si>
    <t>0.5-14.0</t>
  </si>
  <si>
    <t>29.5</t>
  </si>
  <si>
    <r>
      <rPr>
        <b/>
        <sz val="10"/>
        <color theme="1"/>
        <rFont val="Times New Roman"/>
        <family val="1"/>
      </rPr>
      <t xml:space="preserve">       NO</t>
    </r>
    <r>
      <rPr>
        <b/>
        <vertAlign val="subscript"/>
        <sz val="10"/>
        <color theme="1"/>
        <rFont val="Times New Roman"/>
        <family val="1"/>
      </rPr>
      <t>2</t>
    </r>
    <r>
      <rPr>
        <b/>
        <sz val="10"/>
        <color theme="1"/>
        <rFont val="Times New Roman"/>
        <family val="1"/>
      </rPr>
      <t>+</t>
    </r>
  </si>
  <si>
    <r>
      <rPr>
        <b/>
        <sz val="10"/>
        <color theme="1"/>
        <rFont val="Times New Roman"/>
        <family val="1"/>
      </rPr>
      <t>NH</t>
    </r>
    <r>
      <rPr>
        <b/>
        <vertAlign val="subscript"/>
        <sz val="10"/>
        <color theme="1"/>
        <rFont val="Times New Roman"/>
        <family val="1"/>
      </rPr>
      <t>4</t>
    </r>
  </si>
  <si>
    <r>
      <rPr>
        <b/>
        <sz val="10"/>
        <color theme="1"/>
        <rFont val="Times New Roman"/>
        <family val="1"/>
      </rPr>
      <t xml:space="preserve">       NO</t>
    </r>
    <r>
      <rPr>
        <b/>
        <vertAlign val="subscript"/>
        <sz val="10"/>
        <color theme="1"/>
        <rFont val="Times New Roman"/>
        <family val="1"/>
      </rPr>
      <t>3</t>
    </r>
  </si>
  <si>
    <t>Upper Priest Lake (UPLK) - 1998 cont.</t>
  </si>
  <si>
    <r>
      <rPr>
        <b/>
        <sz val="10"/>
        <color theme="1"/>
        <rFont val="Times New Roman"/>
        <family val="1"/>
      </rPr>
      <t xml:space="preserve">       NO</t>
    </r>
    <r>
      <rPr>
        <b/>
        <vertAlign val="subscript"/>
        <sz val="10"/>
        <color theme="1"/>
        <rFont val="Times New Roman"/>
        <family val="1"/>
      </rPr>
      <t>2</t>
    </r>
    <r>
      <rPr>
        <b/>
        <sz val="10"/>
        <color theme="1"/>
        <rFont val="Times New Roman"/>
        <family val="1"/>
      </rPr>
      <t>+</t>
    </r>
  </si>
  <si>
    <r>
      <rPr>
        <b/>
        <sz val="10"/>
        <color theme="1"/>
        <rFont val="Times New Roman"/>
        <family val="1"/>
      </rPr>
      <t>NH</t>
    </r>
    <r>
      <rPr>
        <b/>
        <vertAlign val="subscript"/>
        <sz val="10"/>
        <color theme="1"/>
        <rFont val="Times New Roman"/>
        <family val="1"/>
      </rPr>
      <t>4</t>
    </r>
  </si>
  <si>
    <r>
      <rPr>
        <b/>
        <sz val="10"/>
        <color theme="1"/>
        <rFont val="Times New Roman"/>
        <family val="1"/>
      </rPr>
      <t xml:space="preserve">       NO</t>
    </r>
    <r>
      <rPr>
        <b/>
        <vertAlign val="subscript"/>
        <sz val="10"/>
        <color theme="1"/>
        <rFont val="Times New Roman"/>
        <family val="1"/>
      </rPr>
      <t>3</t>
    </r>
  </si>
  <si>
    <t>Mosquito Bay (MOSQ)</t>
  </si>
  <si>
    <t>0.5 - 11.5m</t>
  </si>
  <si>
    <t>South of Breakwater (BREK)</t>
  </si>
  <si>
    <t>0.5 - 14</t>
  </si>
  <si>
    <t>0.5-7.0</t>
  </si>
  <si>
    <t>0.5-9.0</t>
  </si>
  <si>
    <t>Squaw Bay (SQUA)</t>
  </si>
  <si>
    <t>0.5 - 9.0</t>
  </si>
  <si>
    <t>0.5 - 11.5</t>
  </si>
  <si>
    <t>0.5 - 13.5</t>
  </si>
  <si>
    <t>0.5 - 12.0</t>
  </si>
  <si>
    <t>0.5 - 8.5</t>
  </si>
  <si>
    <t>0.5 - 9.5</t>
  </si>
  <si>
    <r>
      <rPr>
        <b/>
        <sz val="10"/>
        <color theme="1"/>
        <rFont val="Times New Roman"/>
        <family val="1"/>
      </rPr>
      <t xml:space="preserve">       NO</t>
    </r>
    <r>
      <rPr>
        <b/>
        <vertAlign val="subscript"/>
        <sz val="10"/>
        <color theme="1"/>
        <rFont val="Times New Roman"/>
        <family val="1"/>
      </rPr>
      <t>2</t>
    </r>
    <r>
      <rPr>
        <b/>
        <sz val="10"/>
        <color theme="1"/>
        <rFont val="Times New Roman"/>
        <family val="1"/>
      </rPr>
      <t>+</t>
    </r>
  </si>
  <si>
    <r>
      <rPr>
        <b/>
        <sz val="10"/>
        <color theme="1"/>
        <rFont val="Times New Roman"/>
        <family val="1"/>
      </rPr>
      <t>NH</t>
    </r>
    <r>
      <rPr>
        <b/>
        <vertAlign val="subscript"/>
        <sz val="10"/>
        <color theme="1"/>
        <rFont val="Times New Roman"/>
        <family val="1"/>
      </rPr>
      <t>4</t>
    </r>
  </si>
  <si>
    <r>
      <rPr>
        <b/>
        <sz val="10"/>
        <color theme="1"/>
        <rFont val="Times New Roman"/>
        <family val="1"/>
      </rPr>
      <t xml:space="preserve">       NO</t>
    </r>
    <r>
      <rPr>
        <b/>
        <vertAlign val="subscript"/>
        <sz val="10"/>
        <color theme="1"/>
        <rFont val="Times New Roman"/>
        <family val="1"/>
      </rPr>
      <t>3</t>
    </r>
  </si>
  <si>
    <t>Priest Lake North (PLNO)</t>
  </si>
  <si>
    <t>0.5 - 22.5</t>
  </si>
  <si>
    <t>50.0</t>
  </si>
  <si>
    <t>0.5 - 28m</t>
  </si>
  <si>
    <t>45m</t>
  </si>
  <si>
    <t>0.5 - 15m</t>
  </si>
  <si>
    <t>0.5 - 21m</t>
  </si>
  <si>
    <t>0.5 - 6m</t>
  </si>
  <si>
    <t>7 - 24m</t>
  </si>
  <si>
    <t>47m</t>
  </si>
  <si>
    <t>0.5 - 28.5m</t>
  </si>
  <si>
    <t>10 - 16m</t>
  </si>
  <si>
    <t>17 - 28m</t>
  </si>
  <si>
    <t>46m</t>
  </si>
  <si>
    <t>11 - 15m</t>
  </si>
  <si>
    <t>16 - 30.5m</t>
  </si>
  <si>
    <r>
      <rPr>
        <b/>
        <sz val="10"/>
        <color theme="1"/>
        <rFont val="Times New Roman"/>
        <family val="1"/>
      </rPr>
      <t xml:space="preserve">       NO</t>
    </r>
    <r>
      <rPr>
        <b/>
        <vertAlign val="subscript"/>
        <sz val="10"/>
        <color theme="1"/>
        <rFont val="Times New Roman"/>
        <family val="1"/>
      </rPr>
      <t>2</t>
    </r>
    <r>
      <rPr>
        <b/>
        <sz val="10"/>
        <color theme="1"/>
        <rFont val="Times New Roman"/>
        <family val="1"/>
      </rPr>
      <t>+</t>
    </r>
  </si>
  <si>
    <r>
      <rPr>
        <b/>
        <sz val="10"/>
        <color theme="1"/>
        <rFont val="Times New Roman"/>
        <family val="1"/>
      </rPr>
      <t>NH</t>
    </r>
    <r>
      <rPr>
        <b/>
        <vertAlign val="subscript"/>
        <sz val="10"/>
        <color theme="1"/>
        <rFont val="Times New Roman"/>
        <family val="1"/>
      </rPr>
      <t>4</t>
    </r>
  </si>
  <si>
    <r>
      <rPr>
        <b/>
        <sz val="10"/>
        <color theme="1"/>
        <rFont val="Times New Roman"/>
        <family val="1"/>
      </rPr>
      <t xml:space="preserve">       NO</t>
    </r>
    <r>
      <rPr>
        <b/>
        <vertAlign val="subscript"/>
        <sz val="10"/>
        <color theme="1"/>
        <rFont val="Times New Roman"/>
        <family val="1"/>
      </rPr>
      <t>3</t>
    </r>
  </si>
  <si>
    <t>Priest Lake North (PLNO) - cont.</t>
  </si>
  <si>
    <t>15 - 32.5m</t>
  </si>
  <si>
    <t>0.5 - 32.5m</t>
  </si>
  <si>
    <t>44m</t>
  </si>
  <si>
    <t>0.5-26.5m</t>
  </si>
  <si>
    <t>0.5-23.5</t>
  </si>
  <si>
    <t>10-23.5</t>
  </si>
  <si>
    <t>34.0</t>
  </si>
  <si>
    <t>0.5-26.0</t>
  </si>
  <si>
    <t>11-26.0</t>
  </si>
  <si>
    <t>43.0</t>
  </si>
  <si>
    <t>0.5-18.5</t>
  </si>
  <si>
    <t>45.0</t>
  </si>
  <si>
    <t>0.5-22.5</t>
  </si>
  <si>
    <t>10.0-22.5</t>
  </si>
  <si>
    <t>7.0-15.5</t>
  </si>
  <si>
    <t>44.0</t>
  </si>
  <si>
    <t>0.5-5.0</t>
  </si>
  <si>
    <t>6.0-13.0</t>
  </si>
  <si>
    <t>0.5-8.5</t>
  </si>
  <si>
    <t>9.0-21.0</t>
  </si>
  <si>
    <r>
      <rPr>
        <b/>
        <sz val="10"/>
        <color theme="1"/>
        <rFont val="Times New Roman"/>
        <family val="1"/>
      </rPr>
      <t xml:space="preserve">       NO</t>
    </r>
    <r>
      <rPr>
        <b/>
        <vertAlign val="subscript"/>
        <sz val="10"/>
        <color theme="1"/>
        <rFont val="Times New Roman"/>
        <family val="1"/>
      </rPr>
      <t>2</t>
    </r>
    <r>
      <rPr>
        <b/>
        <sz val="10"/>
        <color theme="1"/>
        <rFont val="Times New Roman"/>
        <family val="1"/>
      </rPr>
      <t>+</t>
    </r>
  </si>
  <si>
    <r>
      <rPr>
        <b/>
        <sz val="10"/>
        <color theme="1"/>
        <rFont val="Times New Roman"/>
        <family val="1"/>
      </rPr>
      <t>NH</t>
    </r>
    <r>
      <rPr>
        <b/>
        <vertAlign val="subscript"/>
        <sz val="10"/>
        <color theme="1"/>
        <rFont val="Times New Roman"/>
        <family val="1"/>
      </rPr>
      <t>4</t>
    </r>
  </si>
  <si>
    <r>
      <rPr>
        <b/>
        <sz val="10"/>
        <color theme="1"/>
        <rFont val="Times New Roman"/>
        <family val="1"/>
      </rPr>
      <t xml:space="preserve">       NO</t>
    </r>
    <r>
      <rPr>
        <b/>
        <vertAlign val="subscript"/>
        <sz val="10"/>
        <color theme="1"/>
        <rFont val="Times New Roman"/>
        <family val="1"/>
      </rPr>
      <t>3</t>
    </r>
  </si>
  <si>
    <t>11.0-16.0</t>
  </si>
  <si>
    <t>17.0-30.0</t>
  </si>
  <si>
    <t>11.0-18.0</t>
  </si>
  <si>
    <t>19.0-26.0</t>
  </si>
  <si>
    <t>46.0</t>
  </si>
  <si>
    <t>12.5-18.0</t>
  </si>
  <si>
    <t>18.5-33.0</t>
  </si>
  <si>
    <t>12.0-19.0</t>
  </si>
  <si>
    <t>42.0</t>
  </si>
  <si>
    <t>48.0</t>
  </si>
  <si>
    <t>39.0</t>
  </si>
  <si>
    <t>35.0</t>
  </si>
  <si>
    <t>0.5-14.5</t>
  </si>
  <si>
    <t>32.0</t>
  </si>
  <si>
    <r>
      <rPr>
        <b/>
        <sz val="10"/>
        <color theme="1"/>
        <rFont val="Times New Roman"/>
        <family val="1"/>
      </rPr>
      <t xml:space="preserve">       NO</t>
    </r>
    <r>
      <rPr>
        <b/>
        <vertAlign val="subscript"/>
        <sz val="10"/>
        <color theme="1"/>
        <rFont val="Times New Roman"/>
        <family val="1"/>
      </rPr>
      <t>2</t>
    </r>
    <r>
      <rPr>
        <b/>
        <sz val="10"/>
        <color theme="1"/>
        <rFont val="Times New Roman"/>
        <family val="1"/>
      </rPr>
      <t>+</t>
    </r>
  </si>
  <si>
    <r>
      <rPr>
        <b/>
        <sz val="10"/>
        <color theme="1"/>
        <rFont val="Times New Roman"/>
        <family val="1"/>
      </rPr>
      <t>NH</t>
    </r>
    <r>
      <rPr>
        <b/>
        <vertAlign val="subscript"/>
        <sz val="10"/>
        <color theme="1"/>
        <rFont val="Times New Roman"/>
        <family val="1"/>
      </rPr>
      <t>4</t>
    </r>
  </si>
  <si>
    <r>
      <rPr>
        <b/>
        <sz val="10"/>
        <color theme="1"/>
        <rFont val="Times New Roman"/>
        <family val="1"/>
      </rPr>
      <t xml:space="preserve">       NO</t>
    </r>
    <r>
      <rPr>
        <b/>
        <vertAlign val="subscript"/>
        <sz val="10"/>
        <color theme="1"/>
        <rFont val="Times New Roman"/>
        <family val="1"/>
      </rPr>
      <t>3</t>
    </r>
  </si>
  <si>
    <t>40.0</t>
  </si>
  <si>
    <t>38.0</t>
  </si>
  <si>
    <t>0.5-16.0</t>
  </si>
  <si>
    <r>
      <rPr>
        <b/>
        <sz val="10"/>
        <color theme="1"/>
        <rFont val="Times New Roman"/>
        <family val="1"/>
      </rPr>
      <t xml:space="preserve">       NO</t>
    </r>
    <r>
      <rPr>
        <b/>
        <vertAlign val="subscript"/>
        <sz val="10"/>
        <color theme="1"/>
        <rFont val="Times New Roman"/>
        <family val="1"/>
      </rPr>
      <t>2</t>
    </r>
    <r>
      <rPr>
        <b/>
        <sz val="10"/>
        <color theme="1"/>
        <rFont val="Times New Roman"/>
        <family val="1"/>
      </rPr>
      <t>+</t>
    </r>
  </si>
  <si>
    <r>
      <rPr>
        <b/>
        <sz val="10"/>
        <color theme="1"/>
        <rFont val="Times New Roman"/>
        <family val="1"/>
      </rPr>
      <t>NH</t>
    </r>
    <r>
      <rPr>
        <b/>
        <vertAlign val="subscript"/>
        <sz val="10"/>
        <color theme="1"/>
        <rFont val="Times New Roman"/>
        <family val="1"/>
      </rPr>
      <t>4</t>
    </r>
  </si>
  <si>
    <r>
      <rPr>
        <b/>
        <sz val="10"/>
        <color theme="1"/>
        <rFont val="Times New Roman"/>
        <family val="1"/>
      </rPr>
      <t xml:space="preserve">       NO</t>
    </r>
    <r>
      <rPr>
        <b/>
        <vertAlign val="subscript"/>
        <sz val="10"/>
        <color theme="1"/>
        <rFont val="Times New Roman"/>
        <family val="1"/>
      </rPr>
      <t>3</t>
    </r>
  </si>
  <si>
    <t>Huckleberry Bay (HUCK)</t>
  </si>
  <si>
    <t>LE</t>
  </si>
  <si>
    <t>&lt;0.4</t>
  </si>
  <si>
    <r>
      <rPr>
        <b/>
        <sz val="10"/>
        <color theme="1"/>
        <rFont val="Times New Roman"/>
        <family val="1"/>
      </rPr>
      <t xml:space="preserve">       NO</t>
    </r>
    <r>
      <rPr>
        <b/>
        <vertAlign val="subscript"/>
        <sz val="10"/>
        <color theme="1"/>
        <rFont val="Times New Roman"/>
        <family val="1"/>
      </rPr>
      <t>2</t>
    </r>
    <r>
      <rPr>
        <b/>
        <sz val="10"/>
        <color theme="1"/>
        <rFont val="Times New Roman"/>
        <family val="1"/>
      </rPr>
      <t>+</t>
    </r>
  </si>
  <si>
    <r>
      <rPr>
        <b/>
        <sz val="10"/>
        <color theme="1"/>
        <rFont val="Times New Roman"/>
        <family val="1"/>
      </rPr>
      <t>NH</t>
    </r>
    <r>
      <rPr>
        <b/>
        <vertAlign val="subscript"/>
        <sz val="10"/>
        <color theme="1"/>
        <rFont val="Times New Roman"/>
        <family val="1"/>
      </rPr>
      <t>4</t>
    </r>
  </si>
  <si>
    <r>
      <rPr>
        <b/>
        <sz val="10"/>
        <color theme="1"/>
        <rFont val="Times New Roman"/>
        <family val="1"/>
      </rPr>
      <t xml:space="preserve">       NO</t>
    </r>
    <r>
      <rPr>
        <b/>
        <vertAlign val="subscript"/>
        <sz val="10"/>
        <color theme="1"/>
        <rFont val="Times New Roman"/>
        <family val="1"/>
      </rPr>
      <t>3</t>
    </r>
  </si>
  <si>
    <t>Distillery Bay (DIST)</t>
  </si>
  <si>
    <t>0.5 - 5.0</t>
  </si>
  <si>
    <t>&gt;10.0</t>
  </si>
  <si>
    <t>&gt;10.6</t>
  </si>
  <si>
    <t>North Granite Creek Bay (GRAN)</t>
  </si>
  <si>
    <t>&gt;10.5</t>
  </si>
  <si>
    <t>0.5 - 4.0</t>
  </si>
  <si>
    <t>&gt;4.5</t>
  </si>
  <si>
    <t>0.5 - 5.5</t>
  </si>
  <si>
    <t>&gt;6.2</t>
  </si>
  <si>
    <t>0.5 - 6.0</t>
  </si>
  <si>
    <t>&gt;6.7</t>
  </si>
  <si>
    <t>Granite Narrows (GNAR)</t>
  </si>
  <si>
    <t>33.0</t>
  </si>
  <si>
    <t>0.5-19.0</t>
  </si>
  <si>
    <r>
      <rPr>
        <b/>
        <sz val="10"/>
        <color theme="1"/>
        <rFont val="Times New Roman"/>
        <family val="1"/>
      </rPr>
      <t xml:space="preserve">       NO</t>
    </r>
    <r>
      <rPr>
        <b/>
        <vertAlign val="subscript"/>
        <sz val="10"/>
        <color theme="1"/>
        <rFont val="Times New Roman"/>
        <family val="1"/>
      </rPr>
      <t>2</t>
    </r>
    <r>
      <rPr>
        <b/>
        <sz val="10"/>
        <color theme="1"/>
        <rFont val="Times New Roman"/>
        <family val="1"/>
      </rPr>
      <t>+</t>
    </r>
  </si>
  <si>
    <r>
      <rPr>
        <b/>
        <sz val="10"/>
        <color theme="1"/>
        <rFont val="Times New Roman"/>
        <family val="1"/>
      </rPr>
      <t>NH</t>
    </r>
    <r>
      <rPr>
        <b/>
        <vertAlign val="subscript"/>
        <sz val="10"/>
        <color theme="1"/>
        <rFont val="Times New Roman"/>
        <family val="1"/>
      </rPr>
      <t>4</t>
    </r>
  </si>
  <si>
    <r>
      <rPr>
        <b/>
        <sz val="10"/>
        <color theme="1"/>
        <rFont val="Times New Roman"/>
        <family val="1"/>
      </rPr>
      <t xml:space="preserve">       NO</t>
    </r>
    <r>
      <rPr>
        <b/>
        <vertAlign val="subscript"/>
        <sz val="10"/>
        <color theme="1"/>
        <rFont val="Times New Roman"/>
        <family val="1"/>
      </rPr>
      <t>3</t>
    </r>
  </si>
  <si>
    <t>Granite Narrows (GNAR) - cont.</t>
  </si>
  <si>
    <t>0.5-17.0</t>
  </si>
  <si>
    <t>36.0</t>
  </si>
  <si>
    <t>0.5-27.5</t>
  </si>
  <si>
    <t>0.5-18.0</t>
  </si>
  <si>
    <t>36.5</t>
  </si>
  <si>
    <t>13.0-18.0</t>
  </si>
  <si>
    <t>35.5</t>
  </si>
  <si>
    <t>Mid Reeder Bay (PLMD)</t>
  </si>
  <si>
    <r>
      <rPr>
        <b/>
        <sz val="10"/>
        <color theme="1"/>
        <rFont val="Times New Roman"/>
        <family val="1"/>
      </rPr>
      <t xml:space="preserve">       NO</t>
    </r>
    <r>
      <rPr>
        <b/>
        <vertAlign val="subscript"/>
        <sz val="10"/>
        <color theme="1"/>
        <rFont val="Times New Roman"/>
        <family val="1"/>
      </rPr>
      <t>2</t>
    </r>
    <r>
      <rPr>
        <b/>
        <sz val="10"/>
        <color theme="1"/>
        <rFont val="Times New Roman"/>
        <family val="1"/>
      </rPr>
      <t>+</t>
    </r>
  </si>
  <si>
    <r>
      <rPr>
        <b/>
        <sz val="10"/>
        <color theme="1"/>
        <rFont val="Times New Roman"/>
        <family val="1"/>
      </rPr>
      <t>NH</t>
    </r>
    <r>
      <rPr>
        <b/>
        <vertAlign val="subscript"/>
        <sz val="10"/>
        <color theme="1"/>
        <rFont val="Times New Roman"/>
        <family val="1"/>
      </rPr>
      <t>4</t>
    </r>
  </si>
  <si>
    <r>
      <rPr>
        <b/>
        <sz val="10"/>
        <color theme="1"/>
        <rFont val="Times New Roman"/>
        <family val="1"/>
      </rPr>
      <t xml:space="preserve">       NO</t>
    </r>
    <r>
      <rPr>
        <b/>
        <vertAlign val="subscript"/>
        <sz val="10"/>
        <color theme="1"/>
        <rFont val="Times New Roman"/>
        <family val="1"/>
      </rPr>
      <t>3</t>
    </r>
  </si>
  <si>
    <t>Indian Creek Bay (INDC)</t>
  </si>
  <si>
    <t>0.5 - 6.5</t>
  </si>
  <si>
    <t>0.5 - 11.0</t>
  </si>
  <si>
    <t>Kalispell Bay (KALI)</t>
  </si>
  <si>
    <t>0.5 - 7.5m</t>
  </si>
  <si>
    <t>0.5 - 8.5m</t>
  </si>
  <si>
    <t>0.5 - 9.5m</t>
  </si>
  <si>
    <t>0.5 - 10.5</t>
  </si>
  <si>
    <r>
      <rPr>
        <b/>
        <sz val="10"/>
        <color theme="1"/>
        <rFont val="Times New Roman"/>
        <family val="1"/>
      </rPr>
      <t xml:space="preserve">       NO</t>
    </r>
    <r>
      <rPr>
        <b/>
        <vertAlign val="subscript"/>
        <sz val="10"/>
        <color theme="1"/>
        <rFont val="Times New Roman"/>
        <family val="1"/>
      </rPr>
      <t>2</t>
    </r>
    <r>
      <rPr>
        <b/>
        <sz val="10"/>
        <color theme="1"/>
        <rFont val="Times New Roman"/>
        <family val="1"/>
      </rPr>
      <t>+</t>
    </r>
  </si>
  <si>
    <r>
      <rPr>
        <b/>
        <sz val="10"/>
        <color theme="1"/>
        <rFont val="Times New Roman"/>
        <family val="1"/>
      </rPr>
      <t>NH</t>
    </r>
    <r>
      <rPr>
        <b/>
        <vertAlign val="subscript"/>
        <sz val="10"/>
        <color theme="1"/>
        <rFont val="Times New Roman"/>
        <family val="1"/>
      </rPr>
      <t>4</t>
    </r>
  </si>
  <si>
    <r>
      <rPr>
        <b/>
        <sz val="10"/>
        <color theme="1"/>
        <rFont val="Times New Roman"/>
        <family val="1"/>
      </rPr>
      <t xml:space="preserve">       NO</t>
    </r>
    <r>
      <rPr>
        <b/>
        <vertAlign val="subscript"/>
        <sz val="10"/>
        <color theme="1"/>
        <rFont val="Times New Roman"/>
        <family val="1"/>
      </rPr>
      <t>3</t>
    </r>
  </si>
  <si>
    <t>Kalispell Bay (KALI) - cont.</t>
  </si>
  <si>
    <t>Priest Lake South (PLSO)</t>
  </si>
  <si>
    <t>0.5 - 18m</t>
  </si>
  <si>
    <t>0.5 - 12m</t>
  </si>
  <si>
    <t>0.5 - 30m</t>
  </si>
  <si>
    <t>0.5 - 23.5</t>
  </si>
  <si>
    <t>11 - 30m</t>
  </si>
  <si>
    <t>0.5 - 27.5m</t>
  </si>
  <si>
    <t>70m</t>
  </si>
  <si>
    <r>
      <rPr>
        <b/>
        <sz val="10"/>
        <color theme="1"/>
        <rFont val="Times New Roman"/>
        <family val="1"/>
      </rPr>
      <t xml:space="preserve">       NO</t>
    </r>
    <r>
      <rPr>
        <b/>
        <vertAlign val="subscript"/>
        <sz val="10"/>
        <color theme="1"/>
        <rFont val="Times New Roman"/>
        <family val="1"/>
      </rPr>
      <t>2</t>
    </r>
    <r>
      <rPr>
        <b/>
        <sz val="10"/>
        <color theme="1"/>
        <rFont val="Times New Roman"/>
        <family val="1"/>
      </rPr>
      <t>+</t>
    </r>
  </si>
  <si>
    <r>
      <rPr>
        <b/>
        <sz val="10"/>
        <color theme="1"/>
        <rFont val="Times New Roman"/>
        <family val="1"/>
      </rPr>
      <t>NH</t>
    </r>
    <r>
      <rPr>
        <b/>
        <vertAlign val="subscript"/>
        <sz val="10"/>
        <color theme="1"/>
        <rFont val="Times New Roman"/>
        <family val="1"/>
      </rPr>
      <t>4</t>
    </r>
  </si>
  <si>
    <r>
      <rPr>
        <b/>
        <sz val="10"/>
        <color theme="1"/>
        <rFont val="Times New Roman"/>
        <family val="1"/>
      </rPr>
      <t xml:space="preserve">       NO</t>
    </r>
    <r>
      <rPr>
        <b/>
        <vertAlign val="subscript"/>
        <sz val="10"/>
        <color theme="1"/>
        <rFont val="Times New Roman"/>
        <family val="1"/>
      </rPr>
      <t>3</t>
    </r>
  </si>
  <si>
    <t>Priest Lake South (PLSO) - cont.</t>
  </si>
  <si>
    <t>12 - 17m</t>
  </si>
  <si>
    <t>18 - 27m</t>
  </si>
  <si>
    <t>0.5-32.5</t>
  </si>
  <si>
    <t>14.0-32.5</t>
  </si>
  <si>
    <t>70.0</t>
  </si>
  <si>
    <t>0.5-28.5</t>
  </si>
  <si>
    <t>12.0-28.5</t>
  </si>
  <si>
    <t>0.5-20.0</t>
  </si>
  <si>
    <t>0.5-21.0</t>
  </si>
  <si>
    <t>7.0-16.0</t>
  </si>
  <si>
    <t>7.0-15.0</t>
  </si>
  <si>
    <r>
      <rPr>
        <b/>
        <sz val="10"/>
        <color theme="1"/>
        <rFont val="Times New Roman"/>
        <family val="1"/>
      </rPr>
      <t xml:space="preserve">       NO</t>
    </r>
    <r>
      <rPr>
        <b/>
        <vertAlign val="subscript"/>
        <sz val="10"/>
        <color theme="1"/>
        <rFont val="Times New Roman"/>
        <family val="1"/>
      </rPr>
      <t>2</t>
    </r>
    <r>
      <rPr>
        <b/>
        <sz val="10"/>
        <color theme="1"/>
        <rFont val="Times New Roman"/>
        <family val="1"/>
      </rPr>
      <t>+</t>
    </r>
  </si>
  <si>
    <r>
      <rPr>
        <b/>
        <sz val="10"/>
        <color theme="1"/>
        <rFont val="Times New Roman"/>
        <family val="1"/>
      </rPr>
      <t>NH</t>
    </r>
    <r>
      <rPr>
        <b/>
        <vertAlign val="subscript"/>
        <sz val="10"/>
        <color theme="1"/>
        <rFont val="Times New Roman"/>
        <family val="1"/>
      </rPr>
      <t>4</t>
    </r>
  </si>
  <si>
    <r>
      <rPr>
        <b/>
        <sz val="10"/>
        <color theme="1"/>
        <rFont val="Times New Roman"/>
        <family val="1"/>
      </rPr>
      <t xml:space="preserve">       NO</t>
    </r>
    <r>
      <rPr>
        <b/>
        <vertAlign val="subscript"/>
        <sz val="10"/>
        <color theme="1"/>
        <rFont val="Times New Roman"/>
        <family val="1"/>
      </rPr>
      <t>3</t>
    </r>
  </si>
  <si>
    <t>12.5-19.0</t>
  </si>
  <si>
    <t>20.0-31.0</t>
  </si>
  <si>
    <t>12.5-18.5</t>
  </si>
  <si>
    <t>19.0-31.0</t>
  </si>
  <si>
    <t>&lt;0.6</t>
  </si>
  <si>
    <t>0.5-14.8</t>
  </si>
  <si>
    <r>
      <rPr>
        <b/>
        <sz val="10"/>
        <color theme="1"/>
        <rFont val="Times New Roman"/>
        <family val="1"/>
      </rPr>
      <t xml:space="preserve">       NO</t>
    </r>
    <r>
      <rPr>
        <b/>
        <vertAlign val="subscript"/>
        <sz val="10"/>
        <color theme="1"/>
        <rFont val="Times New Roman"/>
        <family val="1"/>
      </rPr>
      <t>2</t>
    </r>
    <r>
      <rPr>
        <b/>
        <sz val="10"/>
        <color theme="1"/>
        <rFont val="Times New Roman"/>
        <family val="1"/>
      </rPr>
      <t>+</t>
    </r>
  </si>
  <si>
    <r>
      <rPr>
        <b/>
        <sz val="10"/>
        <color theme="1"/>
        <rFont val="Times New Roman"/>
        <family val="1"/>
      </rPr>
      <t>NH</t>
    </r>
    <r>
      <rPr>
        <b/>
        <vertAlign val="subscript"/>
        <sz val="10"/>
        <color theme="1"/>
        <rFont val="Times New Roman"/>
        <family val="1"/>
      </rPr>
      <t>4</t>
    </r>
  </si>
  <si>
    <r>
      <rPr>
        <b/>
        <sz val="10"/>
        <color theme="1"/>
        <rFont val="Times New Roman"/>
        <family val="1"/>
      </rPr>
      <t xml:space="preserve">       NO</t>
    </r>
    <r>
      <rPr>
        <b/>
        <vertAlign val="subscript"/>
        <sz val="10"/>
        <color theme="1"/>
        <rFont val="Times New Roman"/>
        <family val="1"/>
      </rPr>
      <t>3</t>
    </r>
  </si>
  <si>
    <r>
      <rPr>
        <b/>
        <sz val="10"/>
        <color theme="1"/>
        <rFont val="Times New Roman"/>
        <family val="1"/>
      </rPr>
      <t xml:space="preserve">       NO</t>
    </r>
    <r>
      <rPr>
        <b/>
        <vertAlign val="subscript"/>
        <sz val="10"/>
        <color theme="1"/>
        <rFont val="Times New Roman"/>
        <family val="1"/>
      </rPr>
      <t>2</t>
    </r>
    <r>
      <rPr>
        <b/>
        <sz val="10"/>
        <color theme="1"/>
        <rFont val="Times New Roman"/>
        <family val="1"/>
      </rPr>
      <t>+</t>
    </r>
  </si>
  <si>
    <r>
      <rPr>
        <b/>
        <sz val="10"/>
        <color theme="1"/>
        <rFont val="Times New Roman"/>
        <family val="1"/>
      </rPr>
      <t>NH</t>
    </r>
    <r>
      <rPr>
        <b/>
        <vertAlign val="subscript"/>
        <sz val="10"/>
        <color theme="1"/>
        <rFont val="Times New Roman"/>
        <family val="1"/>
      </rPr>
      <t>4</t>
    </r>
  </si>
  <si>
    <r>
      <rPr>
        <b/>
        <sz val="10"/>
        <color theme="1"/>
        <rFont val="Times New Roman"/>
        <family val="1"/>
      </rPr>
      <t xml:space="preserve">       NO</t>
    </r>
    <r>
      <rPr>
        <b/>
        <vertAlign val="subscript"/>
        <sz val="10"/>
        <color theme="1"/>
        <rFont val="Times New Roman"/>
        <family val="1"/>
      </rPr>
      <t>3</t>
    </r>
  </si>
  <si>
    <t>Cavanaugh Bay (CAVA)</t>
  </si>
  <si>
    <t>Outlet Bay (OUTB)</t>
  </si>
  <si>
    <t>0.5 - 4m</t>
  </si>
  <si>
    <t>0.5 - 6.5m</t>
  </si>
  <si>
    <t>&gt;7.2</t>
  </si>
  <si>
    <t>&gt;10.3</t>
  </si>
  <si>
    <t>Coolin Bay (COOL)</t>
  </si>
  <si>
    <t>&gt;7.0</t>
  </si>
  <si>
    <t>&gt;9.2</t>
  </si>
  <si>
    <t>&gt;5.7</t>
  </si>
  <si>
    <r>
      <rPr>
        <b/>
        <sz val="10"/>
        <color theme="1"/>
        <rFont val="Times New Roman"/>
        <family val="1"/>
      </rPr>
      <t xml:space="preserve">       NO</t>
    </r>
    <r>
      <rPr>
        <b/>
        <vertAlign val="subscript"/>
        <sz val="10"/>
        <color theme="1"/>
        <rFont val="Times New Roman"/>
        <family val="1"/>
      </rPr>
      <t>2</t>
    </r>
    <r>
      <rPr>
        <b/>
        <sz val="10"/>
        <color theme="1"/>
        <rFont val="Times New Roman"/>
        <family val="1"/>
      </rPr>
      <t>+</t>
    </r>
  </si>
  <si>
    <r>
      <rPr>
        <b/>
        <sz val="10"/>
        <color theme="1"/>
        <rFont val="Times New Roman"/>
        <family val="1"/>
      </rPr>
      <t>NH</t>
    </r>
    <r>
      <rPr>
        <b/>
        <vertAlign val="subscript"/>
        <sz val="10"/>
        <color theme="1"/>
        <rFont val="Times New Roman"/>
        <family val="1"/>
      </rPr>
      <t>4</t>
    </r>
  </si>
  <si>
    <r>
      <rPr>
        <b/>
        <sz val="10"/>
        <color theme="1"/>
        <rFont val="Times New Roman"/>
        <family val="1"/>
      </rPr>
      <t xml:space="preserve">       NO</t>
    </r>
    <r>
      <rPr>
        <b/>
        <vertAlign val="subscript"/>
        <sz val="10"/>
        <color theme="1"/>
        <rFont val="Times New Roman"/>
        <family val="1"/>
      </rPr>
      <t>3</t>
    </r>
  </si>
  <si>
    <t>Coolin Bay (COOL) - cont.</t>
  </si>
  <si>
    <t>0.5 - 7m</t>
  </si>
  <si>
    <t>&gt;8.0</t>
  </si>
  <si>
    <t>&gt;8.2</t>
  </si>
  <si>
    <t>&gt;8.8</t>
  </si>
  <si>
    <t>&gt;8.5</t>
  </si>
  <si>
    <t>&gt;8.1</t>
  </si>
  <si>
    <t>&gt;7.5</t>
  </si>
  <si>
    <t>10::20</t>
  </si>
  <si>
    <t>n/d</t>
  </si>
  <si>
    <t>no data</t>
  </si>
  <si>
    <t>+</t>
  </si>
  <si>
    <t>battery died</t>
  </si>
  <si>
    <t>no profile</t>
  </si>
  <si>
    <t>ave</t>
  </si>
  <si>
    <t>No Data</t>
  </si>
  <si>
    <t>No Profile</t>
  </si>
  <si>
    <t>Hydrolab Froze up</t>
  </si>
  <si>
    <t>different spot</t>
  </si>
  <si>
    <t>avg</t>
  </si>
  <si>
    <t>looks like they went back to get the 9m data</t>
  </si>
  <si>
    <t>??</t>
  </si>
  <si>
    <t>Boat Drifting</t>
  </si>
  <si>
    <t>percent DO in margin</t>
  </si>
  <si>
    <t>Only found Chem data for the 90's</t>
  </si>
  <si>
    <t>moved</t>
  </si>
  <si>
    <t>80?</t>
  </si>
  <si>
    <t>1`1.21</t>
  </si>
  <si>
    <t>312/95</t>
  </si>
  <si>
    <t>Drifting</t>
  </si>
  <si>
    <t>301/97.8</t>
  </si>
  <si>
    <t>301/91.8</t>
  </si>
  <si>
    <t>301/93.6</t>
  </si>
  <si>
    <t>Hydrolab error</t>
  </si>
  <si>
    <t>297/90.5</t>
  </si>
  <si>
    <t>10.,3</t>
  </si>
  <si>
    <t>10..3</t>
  </si>
  <si>
    <t>row not labeled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</si>
</sst>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0.0"/>
    <numFmt numFmtId="165" formatCode="mm/dd/yy"/>
    <numFmt numFmtId="166" formatCode="[$-F400]h:mm:ss\ AM/PM"/>
    <numFmt numFmtId="167" formatCode="0.0_)"/>
    <numFmt numFmtId="168" formatCode="0.000"/>
    <numFmt numFmtId="169" formatCode="0_)"/>
    <numFmt numFmtId="170" formatCode="mm/dd_)"/>
    <numFmt numFmtId="171" formatCode="mm/dd/yy_)"/>
    <numFmt numFmtId="172" formatCode="0.000_)"/>
    <numFmt numFmtId="173" formatCode="m/d/yy;@"/>
    <numFmt numFmtId="174" formatCode="h:mm;@"/>
    <numFmt numFmtId="175" formatCode="m/d/yyyy;@"/>
    <numFmt numFmtId="176" formatCode="mm/dd/yy;@"/>
  </numFmts>
  <fonts count="2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b/>
      <sz val="12"/>
      <color theme="1"/>
      <name val="Calibri"/>
      <family val="2"/>
    </font>
    <font>
      <i/>
      <sz val="12"/>
      <color theme="1"/>
      <name val="Calibri"/>
      <family val="2"/>
    </font>
    <font>
      <sz val="10"/>
      <color theme="1"/>
      <name val="Times New Roman"/>
      <family val="1"/>
    </font>
    <font>
      <sz val="11"/>
      <color theme="1"/>
      <name val="Trebuchet MS"/>
      <family val="2"/>
    </font>
    <font>
      <sz val="11"/>
      <color theme="1"/>
      <name val="Calibri"/>
      <family val="2"/>
    </font>
    <font>
      <b/>
      <i/>
      <sz val="12"/>
      <color theme="1"/>
      <name val="Calibri"/>
      <family val="2"/>
    </font>
    <font>
      <b/>
      <sz val="11"/>
      <color theme="1"/>
      <name val="Trebuchet MS"/>
      <family val="2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b/>
      <sz val="11"/>
      <color theme="1"/>
      <name val="Calibri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8"/>
      <color theme="1"/>
      <name val="Trebuchet MS"/>
      <family val="2"/>
    </font>
    <font>
      <b/>
      <vertAlign val="subscript"/>
      <sz val="10"/>
      <color theme="1"/>
      <name val="Times New Roman"/>
      <family val="1"/>
    </font>
    <font>
      <sz val="12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  <fill>
      <patternFill patternType="solid">
        <fgColor rgb="FFFEF2CB"/>
        <bgColor rgb="FFFEF2CB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wrapText="1"/>
    </xf>
    <xf numFmtId="14" fontId="6" fillId="0" borderId="0" xfId="0" applyNumberFormat="1" applyFont="1"/>
    <xf numFmtId="164" fontId="5" fillId="0" borderId="0" xfId="0" applyNumberFormat="1" applyFont="1" applyAlignment="1">
      <alignment horizontal="center"/>
    </xf>
    <xf numFmtId="20" fontId="6" fillId="0" borderId="0" xfId="0" applyNumberFormat="1" applyFont="1"/>
    <xf numFmtId="2" fontId="6" fillId="0" borderId="0" xfId="0" applyNumberFormat="1" applyFont="1"/>
    <xf numFmtId="164" fontId="6" fillId="0" borderId="0" xfId="0" applyNumberFormat="1" applyFont="1"/>
    <xf numFmtId="20" fontId="7" fillId="0" borderId="0" xfId="0" applyNumberFormat="1" applyFont="1"/>
    <xf numFmtId="20" fontId="5" fillId="0" borderId="0" xfId="0" applyNumberFormat="1" applyFont="1"/>
    <xf numFmtId="164" fontId="5" fillId="0" borderId="0" xfId="0" applyNumberFormat="1" applyFont="1"/>
    <xf numFmtId="2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5" fillId="0" borderId="0" xfId="0" applyNumberFormat="1" applyFont="1"/>
    <xf numFmtId="164" fontId="8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20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17" fontId="5" fillId="0" borderId="0" xfId="0" applyNumberFormat="1" applyFont="1"/>
    <xf numFmtId="2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16" fontId="6" fillId="0" borderId="0" xfId="0" applyNumberFormat="1" applyFont="1"/>
    <xf numFmtId="20" fontId="5" fillId="0" borderId="0" xfId="0" applyNumberFormat="1" applyFont="1" applyAlignment="1">
      <alignment horizontal="right"/>
    </xf>
    <xf numFmtId="46" fontId="5" fillId="0" borderId="0" xfId="0" applyNumberFormat="1" applyFont="1"/>
    <xf numFmtId="20" fontId="9" fillId="0" borderId="0" xfId="0" applyNumberFormat="1" applyFont="1"/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1" fontId="5" fillId="0" borderId="0" xfId="0" applyNumberFormat="1" applyFont="1"/>
    <xf numFmtId="164" fontId="5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0" fontId="10" fillId="0" borderId="0" xfId="0" applyFont="1" applyAlignment="1">
      <alignment horizontal="center"/>
    </xf>
    <xf numFmtId="164" fontId="10" fillId="0" borderId="0" xfId="0" applyNumberFormat="1" applyFont="1"/>
    <xf numFmtId="0" fontId="10" fillId="0" borderId="0" xfId="0" applyFont="1"/>
    <xf numFmtId="1" fontId="10" fillId="0" borderId="0" xfId="0" applyNumberFormat="1" applyFont="1"/>
    <xf numFmtId="2" fontId="5" fillId="0" borderId="0" xfId="0" applyNumberFormat="1" applyFont="1" applyAlignment="1">
      <alignment horizontal="center" wrapText="1"/>
    </xf>
    <xf numFmtId="164" fontId="5" fillId="0" borderId="0" xfId="0" applyNumberFormat="1" applyFont="1" applyAlignment="1">
      <alignment horizontal="center" wrapText="1"/>
    </xf>
    <xf numFmtId="20" fontId="5" fillId="0" borderId="0" xfId="0" applyNumberFormat="1" applyFont="1" applyAlignment="1">
      <alignment horizontal="center" wrapText="1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wrapText="1"/>
    </xf>
    <xf numFmtId="0" fontId="12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8" fillId="0" borderId="0" xfId="0" applyFont="1"/>
    <xf numFmtId="2" fontId="8" fillId="0" borderId="0" xfId="0" applyNumberFormat="1" applyFont="1" applyAlignment="1">
      <alignment horizontal="center"/>
    </xf>
    <xf numFmtId="0" fontId="12" fillId="0" borderId="0" xfId="0" applyFont="1" applyAlignment="1">
      <alignment horizontal="center" wrapText="1"/>
    </xf>
    <xf numFmtId="1" fontId="5" fillId="0" borderId="0" xfId="0" applyNumberFormat="1" applyFont="1" applyAlignment="1">
      <alignment horizontal="center"/>
    </xf>
    <xf numFmtId="164" fontId="13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center"/>
    </xf>
    <xf numFmtId="164" fontId="13" fillId="0" borderId="0" xfId="0" applyNumberFormat="1" applyFont="1"/>
    <xf numFmtId="0" fontId="8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22" fontId="5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right" vertical="center"/>
    </xf>
    <xf numFmtId="166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vertical="center"/>
    </xf>
    <xf numFmtId="14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164" fontId="8" fillId="0" borderId="0" xfId="0" applyNumberFormat="1" applyFont="1"/>
    <xf numFmtId="0" fontId="5" fillId="0" borderId="0" xfId="0" applyFont="1" applyAlignment="1">
      <alignment wrapText="1"/>
    </xf>
    <xf numFmtId="1" fontId="5" fillId="0" borderId="0" xfId="0" applyNumberFormat="1" applyFont="1" applyAlignment="1">
      <alignment wrapText="1"/>
    </xf>
    <xf numFmtId="0" fontId="5" fillId="0" borderId="2" xfId="0" applyFont="1" applyBorder="1" applyAlignment="1">
      <alignment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vertical="center" wrapText="1"/>
    </xf>
    <xf numFmtId="0" fontId="15" fillId="0" borderId="2" xfId="0" applyFont="1" applyBorder="1" applyAlignment="1">
      <alignment horizontal="right" vertical="center" wrapText="1"/>
    </xf>
    <xf numFmtId="0" fontId="15" fillId="3" borderId="2" xfId="0" applyFont="1" applyFill="1" applyBorder="1" applyAlignment="1">
      <alignment horizontal="right" vertical="center" wrapText="1"/>
    </xf>
    <xf numFmtId="0" fontId="16" fillId="0" borderId="2" xfId="0" applyFont="1" applyBorder="1" applyAlignment="1">
      <alignment horizontal="right" vertical="center" wrapText="1"/>
    </xf>
    <xf numFmtId="0" fontId="14" fillId="0" borderId="2" xfId="0" applyFont="1" applyBorder="1" applyAlignment="1">
      <alignment vertical="center" wrapText="1"/>
    </xf>
    <xf numFmtId="0" fontId="17" fillId="0" borderId="2" xfId="0" applyFont="1" applyBorder="1"/>
    <xf numFmtId="0" fontId="17" fillId="3" borderId="2" xfId="0" applyFont="1" applyFill="1" applyBorder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center"/>
    </xf>
    <xf numFmtId="0" fontId="18" fillId="0" borderId="3" xfId="0" applyFont="1" applyBorder="1"/>
    <xf numFmtId="0" fontId="19" fillId="0" borderId="3" xfId="0" applyFont="1" applyBorder="1"/>
    <xf numFmtId="0" fontId="10" fillId="0" borderId="1" xfId="0" applyFont="1" applyBorder="1"/>
    <xf numFmtId="0" fontId="10" fillId="0" borderId="4" xfId="0" applyFont="1" applyBorder="1" applyAlignment="1">
      <alignment horizontal="center"/>
    </xf>
    <xf numFmtId="0" fontId="10" fillId="0" borderId="4" xfId="0" applyFont="1" applyBorder="1"/>
    <xf numFmtId="0" fontId="20" fillId="0" borderId="4" xfId="0" applyFont="1" applyBorder="1" applyAlignment="1">
      <alignment horizontal="left"/>
    </xf>
    <xf numFmtId="0" fontId="10" fillId="0" borderId="5" xfId="0" applyFont="1" applyBorder="1"/>
    <xf numFmtId="0" fontId="20" fillId="0" borderId="0" xfId="0" applyFont="1" applyAlignment="1">
      <alignment horizontal="left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right"/>
    </xf>
    <xf numFmtId="167" fontId="20" fillId="0" borderId="0" xfId="0" applyNumberFormat="1" applyFont="1" applyAlignment="1">
      <alignment horizontal="right"/>
    </xf>
    <xf numFmtId="0" fontId="20" fillId="0" borderId="0" xfId="0" applyFont="1"/>
    <xf numFmtId="0" fontId="10" fillId="0" borderId="6" xfId="0" applyFont="1" applyBorder="1"/>
    <xf numFmtId="0" fontId="10" fillId="0" borderId="7" xfId="0" applyFont="1" applyBorder="1"/>
    <xf numFmtId="0" fontId="20" fillId="0" borderId="3" xfId="0" applyFont="1" applyBorder="1" applyAlignment="1">
      <alignment horizontal="left"/>
    </xf>
    <xf numFmtId="0" fontId="5" fillId="0" borderId="6" xfId="0" applyFont="1" applyBorder="1"/>
    <xf numFmtId="0" fontId="10" fillId="0" borderId="0" xfId="0" applyFont="1" applyAlignment="1">
      <alignment horizontal="left"/>
    </xf>
    <xf numFmtId="165" fontId="10" fillId="0" borderId="0" xfId="0" applyNumberFormat="1" applyFont="1" applyAlignment="1">
      <alignment horizontal="center"/>
    </xf>
    <xf numFmtId="168" fontId="10" fillId="0" borderId="0" xfId="0" applyNumberFormat="1" applyFont="1"/>
    <xf numFmtId="2" fontId="10" fillId="0" borderId="0" xfId="0" applyNumberFormat="1" applyFont="1" applyAlignment="1">
      <alignment horizontal="right"/>
    </xf>
    <xf numFmtId="2" fontId="10" fillId="0" borderId="0" xfId="0" applyNumberFormat="1" applyFont="1"/>
    <xf numFmtId="168" fontId="10" fillId="0" borderId="0" xfId="0" applyNumberFormat="1" applyFont="1" applyAlignment="1">
      <alignment horizontal="right"/>
    </xf>
    <xf numFmtId="169" fontId="10" fillId="0" borderId="6" xfId="0" applyNumberFormat="1" applyFont="1" applyBorder="1"/>
    <xf numFmtId="164" fontId="10" fillId="0" borderId="0" xfId="0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8" xfId="0" applyFont="1" applyBorder="1"/>
    <xf numFmtId="0" fontId="10" fillId="0" borderId="9" xfId="0" applyFont="1" applyBorder="1" applyAlignment="1">
      <alignment horizontal="left"/>
    </xf>
    <xf numFmtId="165" fontId="10" fillId="0" borderId="9" xfId="0" applyNumberFormat="1" applyFont="1" applyBorder="1" applyAlignment="1">
      <alignment horizontal="center"/>
    </xf>
    <xf numFmtId="164" fontId="10" fillId="0" borderId="9" xfId="0" applyNumberFormat="1" applyFont="1" applyBorder="1" applyAlignment="1">
      <alignment horizontal="right"/>
    </xf>
    <xf numFmtId="168" fontId="10" fillId="0" borderId="9" xfId="0" applyNumberFormat="1" applyFont="1" applyBorder="1"/>
    <xf numFmtId="2" fontId="10" fillId="0" borderId="9" xfId="0" applyNumberFormat="1" applyFont="1" applyBorder="1"/>
    <xf numFmtId="1" fontId="10" fillId="0" borderId="9" xfId="0" applyNumberFormat="1" applyFont="1" applyBorder="1" applyAlignment="1">
      <alignment horizontal="right"/>
    </xf>
    <xf numFmtId="0" fontId="5" fillId="0" borderId="10" xfId="0" applyFont="1" applyBorder="1"/>
    <xf numFmtId="168" fontId="10" fillId="0" borderId="9" xfId="0" applyNumberFormat="1" applyFont="1" applyBorder="1" applyAlignment="1">
      <alignment horizontal="right"/>
    </xf>
    <xf numFmtId="164" fontId="10" fillId="0" borderId="9" xfId="0" applyNumberFormat="1" applyFont="1" applyBorder="1"/>
    <xf numFmtId="2" fontId="10" fillId="0" borderId="9" xfId="0" applyNumberFormat="1" applyFont="1" applyBorder="1" applyAlignment="1">
      <alignment horizontal="right"/>
    </xf>
    <xf numFmtId="1" fontId="10" fillId="0" borderId="9" xfId="0" applyNumberFormat="1" applyFont="1" applyBorder="1"/>
    <xf numFmtId="0" fontId="10" fillId="0" borderId="3" xfId="0" applyFont="1" applyBorder="1" applyAlignment="1">
      <alignment horizontal="left"/>
    </xf>
    <xf numFmtId="165" fontId="10" fillId="0" borderId="3" xfId="0" applyNumberFormat="1" applyFont="1" applyBorder="1" applyAlignment="1">
      <alignment horizontal="center"/>
    </xf>
    <xf numFmtId="164" fontId="10" fillId="0" borderId="3" xfId="0" applyNumberFormat="1" applyFont="1" applyBorder="1" applyAlignment="1">
      <alignment horizontal="right"/>
    </xf>
    <xf numFmtId="168" fontId="10" fillId="0" borderId="3" xfId="0" applyNumberFormat="1" applyFont="1" applyBorder="1"/>
    <xf numFmtId="2" fontId="10" fillId="0" borderId="3" xfId="0" applyNumberFormat="1" applyFont="1" applyBorder="1" applyAlignment="1">
      <alignment horizontal="right"/>
    </xf>
    <xf numFmtId="2" fontId="10" fillId="0" borderId="3" xfId="0" applyNumberFormat="1" applyFont="1" applyBorder="1"/>
    <xf numFmtId="1" fontId="10" fillId="0" borderId="3" xfId="0" applyNumberFormat="1" applyFont="1" applyBorder="1"/>
    <xf numFmtId="164" fontId="10" fillId="0" borderId="3" xfId="0" applyNumberFormat="1" applyFont="1" applyBorder="1"/>
    <xf numFmtId="0" fontId="5" fillId="0" borderId="11" xfId="0" applyFont="1" applyBorder="1"/>
    <xf numFmtId="0" fontId="10" fillId="0" borderId="3" xfId="0" applyFont="1" applyBorder="1"/>
    <xf numFmtId="170" fontId="10" fillId="0" borderId="0" xfId="0" applyNumberFormat="1" applyFont="1" applyAlignment="1">
      <alignment horizontal="center"/>
    </xf>
    <xf numFmtId="164" fontId="10" fillId="0" borderId="4" xfId="0" applyNumberFormat="1" applyFont="1" applyBorder="1"/>
    <xf numFmtId="168" fontId="10" fillId="0" borderId="4" xfId="0" applyNumberFormat="1" applyFont="1" applyBorder="1"/>
    <xf numFmtId="168" fontId="20" fillId="0" borderId="4" xfId="0" applyNumberFormat="1" applyFont="1" applyBorder="1" applyAlignment="1">
      <alignment horizontal="left"/>
    </xf>
    <xf numFmtId="2" fontId="10" fillId="0" borderId="4" xfId="0" applyNumberFormat="1" applyFont="1" applyBorder="1"/>
    <xf numFmtId="1" fontId="10" fillId="0" borderId="4" xfId="0" applyNumberFormat="1" applyFont="1" applyBorder="1"/>
    <xf numFmtId="164" fontId="20" fillId="0" borderId="0" xfId="0" applyNumberFormat="1" applyFont="1" applyAlignment="1">
      <alignment horizontal="right"/>
    </xf>
    <xf numFmtId="168" fontId="20" fillId="0" borderId="0" xfId="0" applyNumberFormat="1" applyFont="1"/>
    <xf numFmtId="168" fontId="20" fillId="0" borderId="0" xfId="0" applyNumberFormat="1" applyFont="1" applyAlignment="1">
      <alignment horizontal="right"/>
    </xf>
    <xf numFmtId="168" fontId="20" fillId="0" borderId="0" xfId="0" applyNumberFormat="1" applyFont="1" applyAlignment="1">
      <alignment horizontal="left"/>
    </xf>
    <xf numFmtId="2" fontId="20" fillId="0" borderId="0" xfId="0" applyNumberFormat="1" applyFont="1"/>
    <xf numFmtId="2" fontId="20" fillId="0" borderId="0" xfId="0" applyNumberFormat="1" applyFont="1" applyAlignment="1">
      <alignment horizontal="right"/>
    </xf>
    <xf numFmtId="1" fontId="20" fillId="0" borderId="0" xfId="0" applyNumberFormat="1" applyFont="1"/>
    <xf numFmtId="164" fontId="20" fillId="0" borderId="0" xfId="0" applyNumberFormat="1" applyFont="1"/>
    <xf numFmtId="1" fontId="20" fillId="0" borderId="0" xfId="0" applyNumberFormat="1" applyFont="1" applyAlignment="1">
      <alignment horizontal="right"/>
    </xf>
    <xf numFmtId="165" fontId="20" fillId="0" borderId="0" xfId="0" applyNumberFormat="1" applyFont="1" applyAlignment="1">
      <alignment horizontal="center"/>
    </xf>
    <xf numFmtId="168" fontId="10" fillId="0" borderId="3" xfId="0" applyNumberFormat="1" applyFont="1" applyBorder="1" applyAlignment="1">
      <alignment horizontal="right"/>
    </xf>
    <xf numFmtId="1" fontId="10" fillId="0" borderId="3" xfId="0" applyNumberFormat="1" applyFont="1" applyBorder="1" applyAlignment="1">
      <alignment horizontal="right"/>
    </xf>
    <xf numFmtId="168" fontId="10" fillId="0" borderId="0" xfId="0" quotePrefix="1" applyNumberFormat="1" applyFont="1" applyAlignment="1">
      <alignment horizontal="right"/>
    </xf>
    <xf numFmtId="0" fontId="10" fillId="0" borderId="9" xfId="0" quotePrefix="1" applyFont="1" applyBorder="1"/>
    <xf numFmtId="164" fontId="10" fillId="0" borderId="9" xfId="0" quotePrefix="1" applyNumberFormat="1" applyFont="1" applyBorder="1" applyAlignment="1">
      <alignment horizontal="right"/>
    </xf>
    <xf numFmtId="168" fontId="10" fillId="0" borderId="9" xfId="0" quotePrefix="1" applyNumberFormat="1" applyFont="1" applyBorder="1" applyAlignment="1">
      <alignment horizontal="right"/>
    </xf>
    <xf numFmtId="2" fontId="10" fillId="0" borderId="9" xfId="0" quotePrefix="1" applyNumberFormat="1" applyFont="1" applyBorder="1" applyAlignment="1">
      <alignment horizontal="right"/>
    </xf>
    <xf numFmtId="168" fontId="5" fillId="0" borderId="0" xfId="0" applyNumberFormat="1" applyFont="1"/>
    <xf numFmtId="0" fontId="10" fillId="0" borderId="10" xfId="0" applyFont="1" applyBorder="1"/>
    <xf numFmtId="0" fontId="10" fillId="0" borderId="0" xfId="0" quotePrefix="1" applyFont="1"/>
    <xf numFmtId="164" fontId="10" fillId="0" borderId="0" xfId="0" quotePrefix="1" applyNumberFormat="1" applyFont="1" applyAlignment="1">
      <alignment horizontal="right"/>
    </xf>
    <xf numFmtId="0" fontId="5" fillId="0" borderId="3" xfId="0" applyFont="1" applyBorder="1"/>
    <xf numFmtId="164" fontId="5" fillId="0" borderId="3" xfId="0" applyNumberFormat="1" applyFont="1" applyBorder="1"/>
    <xf numFmtId="168" fontId="5" fillId="0" borderId="3" xfId="0" applyNumberFormat="1" applyFont="1" applyBorder="1"/>
    <xf numFmtId="0" fontId="10" fillId="0" borderId="11" xfId="0" applyFont="1" applyBorder="1"/>
    <xf numFmtId="0" fontId="10" fillId="0" borderId="9" xfId="0" applyFont="1" applyBorder="1"/>
    <xf numFmtId="164" fontId="10" fillId="0" borderId="9" xfId="0" applyNumberFormat="1" applyFont="1" applyBorder="1" applyAlignment="1">
      <alignment horizontal="left"/>
    </xf>
    <xf numFmtId="0" fontId="10" fillId="0" borderId="0" xfId="0" quotePrefix="1" applyFont="1" applyAlignment="1">
      <alignment horizontal="right"/>
    </xf>
    <xf numFmtId="0" fontId="10" fillId="0" borderId="12" xfId="0" applyFont="1" applyBorder="1"/>
    <xf numFmtId="0" fontId="20" fillId="0" borderId="3" xfId="0" applyFont="1" applyBorder="1" applyAlignment="1">
      <alignment horizontal="center"/>
    </xf>
    <xf numFmtId="164" fontId="20" fillId="0" borderId="3" xfId="0" applyNumberFormat="1" applyFont="1" applyBorder="1" applyAlignment="1">
      <alignment horizontal="right"/>
    </xf>
    <xf numFmtId="168" fontId="20" fillId="0" borderId="3" xfId="0" applyNumberFormat="1" applyFont="1" applyBorder="1" applyAlignment="1">
      <alignment horizontal="right"/>
    </xf>
    <xf numFmtId="2" fontId="20" fillId="0" borderId="3" xfId="0" applyNumberFormat="1" applyFont="1" applyBorder="1" applyAlignment="1">
      <alignment horizontal="right"/>
    </xf>
    <xf numFmtId="1" fontId="20" fillId="0" borderId="3" xfId="0" applyNumberFormat="1" applyFont="1" applyBorder="1" applyAlignment="1">
      <alignment horizontal="right"/>
    </xf>
    <xf numFmtId="171" fontId="10" fillId="0" borderId="0" xfId="0" applyNumberFormat="1" applyFont="1"/>
    <xf numFmtId="170" fontId="10" fillId="0" borderId="0" xfId="0" applyNumberFormat="1" applyFont="1"/>
    <xf numFmtId="1" fontId="10" fillId="0" borderId="9" xfId="0" quotePrefix="1" applyNumberFormat="1" applyFont="1" applyBorder="1" applyAlignment="1">
      <alignment horizontal="right"/>
    </xf>
    <xf numFmtId="0" fontId="10" fillId="0" borderId="3" xfId="0" applyFont="1" applyBorder="1" applyAlignment="1">
      <alignment horizontal="center"/>
    </xf>
    <xf numFmtId="0" fontId="5" fillId="0" borderId="9" xfId="0" applyFont="1" applyBorder="1"/>
    <xf numFmtId="172" fontId="20" fillId="0" borderId="0" xfId="0" applyNumberFormat="1" applyFont="1" applyAlignment="1">
      <alignment horizontal="left"/>
    </xf>
    <xf numFmtId="172" fontId="10" fillId="0" borderId="0" xfId="0" applyNumberFormat="1" applyFont="1" applyAlignment="1">
      <alignment horizontal="left"/>
    </xf>
    <xf numFmtId="171" fontId="20" fillId="0" borderId="0" xfId="0" applyNumberFormat="1" applyFont="1"/>
    <xf numFmtId="1" fontId="10" fillId="0" borderId="0" xfId="0" quotePrefix="1" applyNumberFormat="1" applyFont="1" applyAlignment="1">
      <alignment horizontal="right"/>
    </xf>
    <xf numFmtId="2" fontId="5" fillId="0" borderId="3" xfId="0" applyNumberFormat="1" applyFont="1" applyBorder="1"/>
    <xf numFmtId="1" fontId="5" fillId="0" borderId="3" xfId="0" applyNumberFormat="1" applyFont="1" applyBorder="1"/>
    <xf numFmtId="2" fontId="10" fillId="0" borderId="0" xfId="0" quotePrefix="1" applyNumberFormat="1" applyFont="1" applyAlignment="1">
      <alignment horizontal="right"/>
    </xf>
    <xf numFmtId="0" fontId="10" fillId="0" borderId="3" xfId="0" quotePrefix="1" applyFont="1" applyBorder="1"/>
    <xf numFmtId="164" fontId="10" fillId="0" borderId="3" xfId="0" quotePrefix="1" applyNumberFormat="1" applyFont="1" applyBorder="1" applyAlignment="1">
      <alignment horizontal="right"/>
    </xf>
    <xf numFmtId="1" fontId="10" fillId="0" borderId="3" xfId="0" quotePrefix="1" applyNumberFormat="1" applyFont="1" applyBorder="1" applyAlignment="1">
      <alignment horizontal="right"/>
    </xf>
    <xf numFmtId="20" fontId="0" fillId="0" borderId="0" xfId="0" applyNumberFormat="1"/>
    <xf numFmtId="164" fontId="0" fillId="0" borderId="0" xfId="0" applyNumberFormat="1"/>
    <xf numFmtId="173" fontId="5" fillId="0" borderId="0" xfId="0" applyNumberFormat="1" applyFont="1" applyAlignment="1">
      <alignment horizontal="center"/>
    </xf>
    <xf numFmtId="2" fontId="0" fillId="0" borderId="0" xfId="0" applyNumberFormat="1"/>
    <xf numFmtId="164" fontId="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3" fontId="4" fillId="0" borderId="0" xfId="0" applyNumberFormat="1" applyFont="1" applyAlignment="1">
      <alignment horizontal="center"/>
    </xf>
    <xf numFmtId="174" fontId="23" fillId="0" borderId="0" xfId="0" applyNumberFormat="1" applyFont="1" applyAlignment="1">
      <alignment horizontal="center"/>
    </xf>
    <xf numFmtId="164" fontId="23" fillId="0" borderId="0" xfId="0" applyNumberFormat="1" applyFont="1" applyAlignment="1">
      <alignment horizontal="center"/>
    </xf>
    <xf numFmtId="0" fontId="23" fillId="0" borderId="0" xfId="0" applyFont="1" applyAlignment="1">
      <alignment horizontal="center"/>
    </xf>
    <xf numFmtId="17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75" fontId="5" fillId="0" borderId="0" xfId="0" applyNumberFormat="1" applyFont="1" applyAlignment="1">
      <alignment horizontal="center"/>
    </xf>
    <xf numFmtId="175" fontId="5" fillId="0" borderId="0" xfId="0" applyNumberFormat="1" applyFont="1" applyAlignment="1">
      <alignment horizontal="center" wrapText="1"/>
    </xf>
    <xf numFmtId="175" fontId="6" fillId="0" borderId="0" xfId="0" applyNumberFormat="1" applyFont="1" applyAlignment="1">
      <alignment horizontal="center"/>
    </xf>
    <xf numFmtId="175" fontId="23" fillId="0" borderId="0" xfId="0" applyNumberFormat="1" applyFont="1" applyAlignment="1">
      <alignment horizontal="center"/>
    </xf>
    <xf numFmtId="175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 vertical="center"/>
    </xf>
    <xf numFmtId="14" fontId="0" fillId="0" borderId="0" xfId="0" applyNumberFormat="1"/>
    <xf numFmtId="164" fontId="4" fillId="0" borderId="0" xfId="0" applyNumberFormat="1" applyFont="1"/>
    <xf numFmtId="2" fontId="4" fillId="0" borderId="0" xfId="0" applyNumberFormat="1" applyFont="1"/>
    <xf numFmtId="176" fontId="5" fillId="0" borderId="0" xfId="0" applyNumberFormat="1" applyFont="1" applyAlignment="1">
      <alignment horizontal="center"/>
    </xf>
    <xf numFmtId="176" fontId="0" fillId="0" borderId="0" xfId="0" applyNumberFormat="1"/>
    <xf numFmtId="176" fontId="6" fillId="0" borderId="0" xfId="0" applyNumberFormat="1" applyFont="1"/>
    <xf numFmtId="176" fontId="5" fillId="0" borderId="0" xfId="0" applyNumberFormat="1" applyFont="1"/>
    <xf numFmtId="176" fontId="5" fillId="0" borderId="0" xfId="0" applyNumberFormat="1" applyFont="1" applyAlignment="1">
      <alignment horizontal="right"/>
    </xf>
    <xf numFmtId="176" fontId="6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/>
    <xf numFmtId="164" fontId="24" fillId="0" borderId="0" xfId="0" applyNumberFormat="1" applyFont="1" applyAlignment="1">
      <alignment horizontal="center"/>
    </xf>
    <xf numFmtId="14" fontId="3" fillId="0" borderId="0" xfId="0" applyNumberFormat="1" applyFont="1"/>
    <xf numFmtId="2" fontId="24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4" fillId="0" borderId="0" xfId="0" applyFont="1" applyAlignment="1">
      <alignment horizontal="center" wrapText="1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20" fontId="0" fillId="0" borderId="0" xfId="0" applyNumberFormat="1" applyAlignment="1">
      <alignment horizontal="right"/>
    </xf>
    <xf numFmtId="164" fontId="23" fillId="0" borderId="0" xfId="0" applyNumberFormat="1" applyFont="1" applyAlignment="1">
      <alignment horizontal="right"/>
    </xf>
    <xf numFmtId="1" fontId="23" fillId="0" borderId="0" xfId="0" applyNumberFormat="1" applyFont="1"/>
    <xf numFmtId="164" fontId="23" fillId="0" borderId="0" xfId="0" applyNumberFormat="1" applyFont="1"/>
    <xf numFmtId="165" fontId="23" fillId="0" borderId="0" xfId="0" applyNumberFormat="1" applyFont="1" applyAlignment="1">
      <alignment horizontal="center"/>
    </xf>
    <xf numFmtId="0" fontId="23" fillId="0" borderId="0" xfId="0" applyFont="1" applyAlignment="1">
      <alignment horizontal="left"/>
    </xf>
    <xf numFmtId="1" fontId="23" fillId="0" borderId="0" xfId="0" applyNumberFormat="1" applyFont="1" applyAlignment="1">
      <alignment horizontal="right"/>
    </xf>
    <xf numFmtId="164" fontId="26" fillId="0" borderId="0" xfId="0" applyNumberFormat="1" applyFont="1"/>
    <xf numFmtId="0" fontId="26" fillId="0" borderId="0" xfId="0" applyFont="1"/>
    <xf numFmtId="1" fontId="26" fillId="0" borderId="0" xfId="0" applyNumberFormat="1" applyFont="1"/>
    <xf numFmtId="2" fontId="23" fillId="0" borderId="0" xfId="0" applyNumberFormat="1" applyFont="1" applyAlignment="1">
      <alignment horizontal="center"/>
    </xf>
    <xf numFmtId="164" fontId="0" fillId="0" borderId="2" xfId="0" applyNumberFormat="1" applyBorder="1" applyAlignment="1">
      <alignment horizontal="right" vertical="center"/>
    </xf>
    <xf numFmtId="1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center"/>
    </xf>
    <xf numFmtId="1" fontId="23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25" fillId="0" borderId="0" xfId="0" applyNumberFormat="1" applyFont="1" applyAlignment="1">
      <alignment horizontal="center"/>
    </xf>
    <xf numFmtId="0" fontId="25" fillId="0" borderId="0" xfId="0" applyFont="1" applyAlignment="1">
      <alignment horizontal="center"/>
    </xf>
    <xf numFmtId="0" fontId="0" fillId="0" borderId="0" xfId="0" applyAlignment="1">
      <alignment vertical="center"/>
    </xf>
    <xf numFmtId="174" fontId="0" fillId="0" borderId="0" xfId="0" applyNumberFormat="1"/>
    <xf numFmtId="0" fontId="25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20" fontId="2" fillId="0" borderId="0" xfId="0" applyNumberFormat="1" applyFont="1"/>
    <xf numFmtId="0" fontId="5" fillId="0" borderId="0" xfId="0" applyFont="1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wner/Documents/0%20SCA%20Files/0%20SCA%20Priest%20Lake%20Historic%20Temperature%20Data%202021%2005%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ions"/>
      <sheetName val="Temperature Data"/>
      <sheetName val="Sheet2"/>
      <sheetName val="Normalized View"/>
      <sheetName val="ANALYSIS"/>
    </sheetNames>
    <sheetDataSet>
      <sheetData sheetId="0"/>
      <sheetData sheetId="1"/>
      <sheetData sheetId="2">
        <row r="1">
          <cell r="A1" t="str">
            <v>Boulder</v>
          </cell>
        </row>
        <row r="2">
          <cell r="A2" t="str">
            <v>Boulder Upper</v>
          </cell>
        </row>
        <row r="3">
          <cell r="A3" t="str">
            <v>Boundary</v>
          </cell>
        </row>
        <row r="4">
          <cell r="A4" t="str">
            <v>Boundary duplicate</v>
          </cell>
        </row>
        <row r="5">
          <cell r="A5" t="str">
            <v>Boundary West Rd</v>
          </cell>
        </row>
        <row r="6">
          <cell r="A6" t="str">
            <v>Copper</v>
          </cell>
        </row>
        <row r="7">
          <cell r="A7" t="str">
            <v>FallsCrk1 (lower)</v>
          </cell>
        </row>
        <row r="8">
          <cell r="A8" t="str">
            <v>FallsCrk2 (middle)</v>
          </cell>
        </row>
        <row r="9">
          <cell r="A9" t="str">
            <v>FallsCrk3 (upper)</v>
          </cell>
        </row>
        <row r="10">
          <cell r="A10" t="str">
            <v>FallsCrk4 (upper)</v>
          </cell>
        </row>
        <row r="11">
          <cell r="A11" t="str">
            <v>Hellroaring</v>
          </cell>
        </row>
        <row r="12">
          <cell r="A12" t="str">
            <v>Long Canyon Creek</v>
          </cell>
        </row>
        <row r="13">
          <cell r="A13" t="str">
            <v>Long Canyon Creek 2</v>
          </cell>
        </row>
        <row r="14">
          <cell r="A14" t="str">
            <v>Mission Creek 1</v>
          </cell>
        </row>
        <row r="15">
          <cell r="A15" t="str">
            <v>Mission Creek 2</v>
          </cell>
        </row>
        <row r="16">
          <cell r="A16" t="str">
            <v>Mission Creek 3 (upper)</v>
          </cell>
        </row>
        <row r="17">
          <cell r="A17" t="str">
            <v>Myrtle Creek</v>
          </cell>
        </row>
        <row r="18">
          <cell r="A18" t="str">
            <v>MyrtleCrk City of BF</v>
          </cell>
        </row>
        <row r="19">
          <cell r="A19" t="str">
            <v>Rock Creek</v>
          </cell>
        </row>
        <row r="20">
          <cell r="A20" t="str">
            <v>Skin Creek</v>
          </cell>
        </row>
        <row r="21">
          <cell r="A21" t="str">
            <v>Snow Creek</v>
          </cell>
        </row>
        <row r="22">
          <cell r="A22" t="str">
            <v>Spruce Creek 1</v>
          </cell>
        </row>
        <row r="23">
          <cell r="A23" t="str">
            <v>Spruce Creek 2</v>
          </cell>
        </row>
        <row r="24">
          <cell r="A24" t="str">
            <v>Trail Creek</v>
          </cell>
        </row>
        <row r="25">
          <cell r="A25" t="str">
            <v>Tribal Air Station</v>
          </cell>
        </row>
        <row r="26">
          <cell r="A26" t="str">
            <v>Twentymile Creek</v>
          </cell>
        </row>
        <row r="27">
          <cell r="A27" t="str">
            <v>AFF</v>
          </cell>
        </row>
        <row r="28">
          <cell r="A28" t="str">
            <v>BOB</v>
          </cell>
        </row>
        <row r="29">
          <cell r="A29" t="str">
            <v>BSO</v>
          </cell>
        </row>
        <row r="30">
          <cell r="A30" t="str">
            <v>BVN</v>
          </cell>
        </row>
        <row r="31">
          <cell r="A31" t="str">
            <v>CB</v>
          </cell>
        </row>
        <row r="32">
          <cell r="A32" t="str">
            <v>CH</v>
          </cell>
        </row>
        <row r="33">
          <cell r="A33" t="str">
            <v>CLF</v>
          </cell>
        </row>
        <row r="34">
          <cell r="A34" t="str">
            <v>DSP</v>
          </cell>
        </row>
        <row r="35">
          <cell r="A35" t="str">
            <v>ESB</v>
          </cell>
        </row>
        <row r="36">
          <cell r="A36" t="str">
            <v>ESP</v>
          </cell>
        </row>
        <row r="37">
          <cell r="A37" t="str">
            <v>Farragut Boat Launch</v>
          </cell>
        </row>
        <row r="38">
          <cell r="A38" t="str">
            <v>GFD</v>
          </cell>
        </row>
        <row r="39">
          <cell r="A39" t="str">
            <v>GLG</v>
          </cell>
        </row>
        <row r="40">
          <cell r="A40" t="str">
            <v>GRN</v>
          </cell>
        </row>
        <row r="41">
          <cell r="A41" t="str">
            <v>IDW</v>
          </cell>
        </row>
        <row r="42">
          <cell r="A42" t="str">
            <v>IWB</v>
          </cell>
        </row>
        <row r="43">
          <cell r="A43" t="str">
            <v>KB</v>
          </cell>
        </row>
        <row r="44">
          <cell r="A44" t="str">
            <v>KP-1</v>
          </cell>
        </row>
        <row r="45">
          <cell r="A45" t="str">
            <v>KP-2</v>
          </cell>
        </row>
        <row r="46">
          <cell r="A46" t="str">
            <v>KP-3</v>
          </cell>
        </row>
        <row r="47">
          <cell r="A47" t="str">
            <v>KP-4</v>
          </cell>
        </row>
        <row r="48">
          <cell r="A48" t="str">
            <v>KP-5</v>
          </cell>
        </row>
        <row r="49">
          <cell r="A49" t="str">
            <v>LL</v>
          </cell>
        </row>
        <row r="50">
          <cell r="A50" t="str">
            <v>LV</v>
          </cell>
        </row>
        <row r="51">
          <cell r="A51" t="str">
            <v>LVD</v>
          </cell>
        </row>
        <row r="52">
          <cell r="A52" t="str">
            <v>NAVY</v>
          </cell>
        </row>
        <row r="53">
          <cell r="A53" t="str">
            <v>OB</v>
          </cell>
        </row>
        <row r="54">
          <cell r="A54" t="str">
            <v>PDN</v>
          </cell>
        </row>
        <row r="55">
          <cell r="A55" t="str">
            <v>PDO</v>
          </cell>
        </row>
        <row r="56">
          <cell r="A56" t="str">
            <v>RB</v>
          </cell>
        </row>
        <row r="57">
          <cell r="A57" t="str">
            <v>Rocky</v>
          </cell>
        </row>
        <row r="58">
          <cell r="A58" t="str">
            <v>RRB</v>
          </cell>
        </row>
        <row r="59">
          <cell r="A59" t="str">
            <v>SP</v>
          </cell>
        </row>
        <row r="60">
          <cell r="A60" t="str">
            <v>SS</v>
          </cell>
        </row>
        <row r="61">
          <cell r="A61" t="str">
            <v>TCH</v>
          </cell>
        </row>
        <row r="62">
          <cell r="A62" t="str">
            <v>TRC</v>
          </cell>
        </row>
        <row r="63">
          <cell r="A63" t="str">
            <v>TRS</v>
          </cell>
        </row>
        <row r="64">
          <cell r="A64" t="str">
            <v>UPR</v>
          </cell>
        </row>
        <row r="65">
          <cell r="A65" t="str">
            <v>Warren</v>
          </cell>
        </row>
        <row r="66">
          <cell r="A66" t="str">
            <v>WATERKEEPER QA</v>
          </cell>
        </row>
        <row r="67">
          <cell r="A67" t="str">
            <v>57A150 - Spokane R @ Stateline Br</v>
          </cell>
        </row>
        <row r="68">
          <cell r="A68" t="str">
            <v>57A190 - Spokane R nr Post Falls</v>
          </cell>
        </row>
        <row r="69">
          <cell r="A69" t="str">
            <v>57A240 - Spokane R @ Lake Coeur dAlene</v>
          </cell>
        </row>
        <row r="70">
          <cell r="A70" t="str">
            <v>Ambient Spokane River not for analysis</v>
          </cell>
        </row>
        <row r="71">
          <cell r="A71" t="str">
            <v>CD1</v>
          </cell>
        </row>
        <row r="72">
          <cell r="A72" t="str">
            <v>CDA Stormwater 19th St</v>
          </cell>
        </row>
        <row r="73">
          <cell r="A73" t="str">
            <v>CDA Stormwater Bellerive</v>
          </cell>
        </row>
        <row r="74">
          <cell r="A74" t="str">
            <v>CDA WWTP Outflow</v>
          </cell>
        </row>
        <row r="75">
          <cell r="A75" t="str">
            <v>City of CDA Ambient Downstream</v>
          </cell>
        </row>
        <row r="76">
          <cell r="A76" t="str">
            <v>City of CDA Ambient Upstream</v>
          </cell>
        </row>
        <row r="77">
          <cell r="A77" t="str">
            <v>City of Post Falls Corbin Park</v>
          </cell>
        </row>
        <row r="78">
          <cell r="A78" t="str">
            <v>City of Post Falls Wave Park</v>
          </cell>
        </row>
        <row r="79">
          <cell r="A79" t="str">
            <v>HARSB WWTP Outflow</v>
          </cell>
        </row>
        <row r="80">
          <cell r="A80" t="str">
            <v>ID/WA Border</v>
          </cell>
        </row>
        <row r="81">
          <cell r="A81" t="str">
            <v>LAB</v>
          </cell>
        </row>
        <row r="82">
          <cell r="A82" t="str">
            <v>NCDC CDA USC00101956</v>
          </cell>
        </row>
        <row r="83">
          <cell r="A83" t="str">
            <v>NCDC Post Falls US1IDKT0002</v>
          </cell>
        </row>
        <row r="84">
          <cell r="A84" t="str">
            <v>New Level 3</v>
          </cell>
        </row>
        <row r="85">
          <cell r="A85" t="str">
            <v>NIC</v>
          </cell>
        </row>
        <row r="86">
          <cell r="A86" t="str">
            <v>OTH</v>
          </cell>
        </row>
        <row r="87">
          <cell r="A87" t="str">
            <v>PF4</v>
          </cell>
        </row>
        <row r="88">
          <cell r="A88" t="str">
            <v>Post Falls Stormwater 4th Avenue Outfall</v>
          </cell>
        </row>
        <row r="89">
          <cell r="A89" t="str">
            <v>Post Falls Stormwater Centennial Trail Outfall</v>
          </cell>
        </row>
        <row r="90">
          <cell r="A90" t="str">
            <v>Post Falls WWTP Outflow</v>
          </cell>
        </row>
        <row r="91">
          <cell r="A91" t="str">
            <v>SKA</v>
          </cell>
        </row>
        <row r="92">
          <cell r="A92" t="str">
            <v>South Channel at nudist beach</v>
          </cell>
        </row>
        <row r="93">
          <cell r="A93" t="str">
            <v>South Channel at Qemiln Boat Ramp</v>
          </cell>
        </row>
        <row r="94">
          <cell r="A94" t="str">
            <v>STL</v>
          </cell>
        </row>
        <row r="95">
          <cell r="A95" t="str">
            <v>USBR AGRIMET Post Falls</v>
          </cell>
        </row>
        <row r="96">
          <cell r="A96" t="str">
            <v>USGS 12415500 COEUR D ALENE LAKE AT COEUR D ALENE ID</v>
          </cell>
        </row>
        <row r="97">
          <cell r="A97" t="str">
            <v>USGS 12417610 SPOKANE RIVER BLW LAKE OUTLET AT COEUR D ALENE ID</v>
          </cell>
        </row>
        <row r="98">
          <cell r="A98" t="str">
            <v>USGS 12417650 SPOKANE RIVER BLW BLACKWELL NR COEUR D ALENE ID</v>
          </cell>
        </row>
        <row r="99">
          <cell r="A99" t="str">
            <v>USGS 12419000 SPOKANE RIVER NR POST FALLS ID</v>
          </cell>
        </row>
        <row r="100">
          <cell r="A100" t="str">
            <v>USGS 12419495 SPOKANE RIVER AT STATELINE BR NR GREENACRES WA</v>
          </cell>
        </row>
        <row r="101">
          <cell r="A101" t="str">
            <v>16 to 1 Bay</v>
          </cell>
        </row>
        <row r="102">
          <cell r="A102" t="str">
            <v>Aberdeen Lodge Bay</v>
          </cell>
        </row>
        <row r="103">
          <cell r="A103" t="str">
            <v>Beauty Bay</v>
          </cell>
        </row>
        <row r="104">
          <cell r="A104" t="str">
            <v>Bennett Bay</v>
          </cell>
        </row>
        <row r="105">
          <cell r="A105" t="str">
            <v>Blue Creek Bay</v>
          </cell>
        </row>
        <row r="106">
          <cell r="A106" t="str">
            <v>C1 Tubbs</v>
          </cell>
        </row>
        <row r="107">
          <cell r="A107" t="str">
            <v>C2 Wolf</v>
          </cell>
        </row>
        <row r="108">
          <cell r="A108" t="str">
            <v>C3 Driftwood</v>
          </cell>
        </row>
        <row r="109">
          <cell r="A109" t="str">
            <v>C4 University</v>
          </cell>
        </row>
        <row r="110">
          <cell r="A110" t="str">
            <v>C5 Chippy Pt</v>
          </cell>
        </row>
        <row r="111">
          <cell r="A111" t="str">
            <v>C6 Chatcolet Lake</v>
          </cell>
        </row>
        <row r="112">
          <cell r="A112" t="str">
            <v>Cals Pond (USGS-S3)</v>
          </cell>
        </row>
        <row r="113">
          <cell r="A113" t="str">
            <v>Carey Bay</v>
          </cell>
        </row>
        <row r="114">
          <cell r="A114" t="str">
            <v>Carlin Bay</v>
          </cell>
        </row>
        <row r="115">
          <cell r="A115" t="str">
            <v>Cave Bay</v>
          </cell>
        </row>
        <row r="116">
          <cell r="A116" t="str">
            <v>CDA Lake Blanks</v>
          </cell>
        </row>
        <row r="117">
          <cell r="A117" t="str">
            <v>CDA Lake QA_Field Sheets</v>
          </cell>
        </row>
        <row r="118">
          <cell r="A118" t="str">
            <v>CDA River_Harrison</v>
          </cell>
        </row>
        <row r="119">
          <cell r="A119" t="str">
            <v>CG9 Cougar</v>
          </cell>
        </row>
        <row r="120">
          <cell r="A120" t="str">
            <v>City Beach</v>
          </cell>
        </row>
        <row r="121">
          <cell r="A121" t="str">
            <v>Cottonwood Bay</v>
          </cell>
        </row>
        <row r="122">
          <cell r="A122" t="str">
            <v>Cougar 2</v>
          </cell>
        </row>
        <row r="123">
          <cell r="A123" t="str">
            <v>Cougar Bay</v>
          </cell>
        </row>
        <row r="124">
          <cell r="A124" t="str">
            <v>Deans Wetland (USGS-S4)</v>
          </cell>
        </row>
        <row r="125">
          <cell r="A125" t="str">
            <v>Driftwood Bay</v>
          </cell>
        </row>
        <row r="126">
          <cell r="A126" t="str">
            <v>East Causeway (USGS-S6)</v>
          </cell>
        </row>
        <row r="127">
          <cell r="A127" t="str">
            <v>East Causeway Bend (USGS-S5)</v>
          </cell>
        </row>
        <row r="128">
          <cell r="A128" t="str">
            <v>Echo Bay</v>
          </cell>
        </row>
        <row r="129">
          <cell r="A129" t="str">
            <v>Fullers Bay</v>
          </cell>
        </row>
        <row r="130">
          <cell r="A130" t="str">
            <v>Gasser Pt</v>
          </cell>
        </row>
        <row r="131">
          <cell r="A131" t="str">
            <v>Kidd Isl-2</v>
          </cell>
        </row>
        <row r="132">
          <cell r="A132" t="str">
            <v>Kidd Isl-DEQ</v>
          </cell>
        </row>
        <row r="133">
          <cell r="A133" t="str">
            <v>Kidd Isl-USGS</v>
          </cell>
        </row>
        <row r="134">
          <cell r="A134" t="str">
            <v>Loffs Bay</v>
          </cell>
        </row>
        <row r="135">
          <cell r="A135" t="str">
            <v>Mica Bay</v>
          </cell>
        </row>
        <row r="136">
          <cell r="A136" t="str">
            <v>Neachen 2</v>
          </cell>
        </row>
        <row r="137">
          <cell r="A137" t="str">
            <v>Neachen Bay</v>
          </cell>
        </row>
        <row r="138">
          <cell r="A138" t="str">
            <v>Ogara Bay</v>
          </cell>
        </row>
        <row r="139">
          <cell r="A139" t="str">
            <v>Powderhorn Bay</v>
          </cell>
        </row>
        <row r="140">
          <cell r="A140" t="str">
            <v>Rockford Bay</v>
          </cell>
        </row>
        <row r="141">
          <cell r="A141" t="str">
            <v>Sanders Beach</v>
          </cell>
        </row>
        <row r="142">
          <cell r="A142" t="str">
            <v>Shingle Bay</v>
          </cell>
        </row>
        <row r="143">
          <cell r="A143" t="str">
            <v>SJ1 St. Joe</v>
          </cell>
        </row>
        <row r="144">
          <cell r="A144" t="str">
            <v>Sun Up Bay</v>
          </cell>
        </row>
        <row r="145">
          <cell r="A145" t="str">
            <v>Turner Bay</v>
          </cell>
        </row>
        <row r="146">
          <cell r="A146" t="str">
            <v>Windy Bay</v>
          </cell>
        </row>
        <row r="147">
          <cell r="A147" t="str">
            <v>Windy Deep</v>
          </cell>
        </row>
        <row r="148">
          <cell r="A148" t="str">
            <v>Wolf Lodge Bay</v>
          </cell>
        </row>
        <row r="149">
          <cell r="A149" t="str">
            <v>200</v>
          </cell>
        </row>
        <row r="150">
          <cell r="A150" t="str">
            <v>Boyer Slough Shingle Mill Rd Crossing</v>
          </cell>
        </row>
        <row r="151">
          <cell r="A151" t="str">
            <v>Boyer Slough Stormwater Near WJB</v>
          </cell>
        </row>
        <row r="152">
          <cell r="A152" t="str">
            <v>BSM</v>
          </cell>
        </row>
        <row r="153">
          <cell r="A153" t="str">
            <v>HOPI ACOE</v>
          </cell>
        </row>
        <row r="154">
          <cell r="A154" t="str">
            <v>KPSD</v>
          </cell>
        </row>
        <row r="155">
          <cell r="A155" t="str">
            <v>LWA</v>
          </cell>
        </row>
        <row r="156">
          <cell r="A156" t="str">
            <v>MUD</v>
          </cell>
        </row>
        <row r="157">
          <cell r="A157" t="str">
            <v>MWA (houseboat)</v>
          </cell>
        </row>
        <row r="158">
          <cell r="A158" t="str">
            <v>NCDC SANDPOINT EXPERIMENTAL STATION USC00108137</v>
          </cell>
        </row>
        <row r="159">
          <cell r="A159" t="str">
            <v>USGS 12391950 CLARK FORK RIVER BELOW CABINET GORGE DAM ID</v>
          </cell>
        </row>
        <row r="160">
          <cell r="A160" t="str">
            <v>USGS 12392500 Pend Oreille Lake at Hope</v>
          </cell>
        </row>
        <row r="161">
          <cell r="A161" t="str">
            <v>USGS 12392660 Sand Creek</v>
          </cell>
        </row>
        <row r="162">
          <cell r="A162" t="str">
            <v>USGS 12395500 Pend Oreille River at Newport WA</v>
          </cell>
        </row>
        <row r="163">
          <cell r="A163" t="str">
            <v>UWA</v>
          </cell>
        </row>
        <row r="164">
          <cell r="A164" t="str">
            <v>WJB</v>
          </cell>
        </row>
        <row r="165">
          <cell r="A165" t="str">
            <v>WJB1</v>
          </cell>
        </row>
        <row r="166">
          <cell r="A166" t="str">
            <v>WJB2</v>
          </cell>
        </row>
        <row r="167">
          <cell r="A167" t="str">
            <v>WJB3</v>
          </cell>
        </row>
        <row r="168">
          <cell r="A168" t="str">
            <v>WJB4</v>
          </cell>
        </row>
        <row r="169">
          <cell r="A169" t="str">
            <v>WJB5</v>
          </cell>
        </row>
        <row r="170">
          <cell r="A170" t="str">
            <v>CDA River - 301</v>
          </cell>
        </row>
        <row r="171">
          <cell r="A171" t="str">
            <v>Central CDA Lake - 802</v>
          </cell>
        </row>
        <row r="172">
          <cell r="A172" t="str">
            <v>Central CDA Lake - 803</v>
          </cell>
        </row>
        <row r="173">
          <cell r="A173" t="str">
            <v>Central CDA Lake- 801</v>
          </cell>
        </row>
        <row r="174">
          <cell r="A174" t="str">
            <v>Chain Lake 1 - Thompson Lake - 400</v>
          </cell>
        </row>
        <row r="175">
          <cell r="A175" t="str">
            <v>Chain Lake 2 - Swan Lake - 505</v>
          </cell>
        </row>
        <row r="176">
          <cell r="A176" t="str">
            <v>Chain Lake 3 -Anderson Lake - 401</v>
          </cell>
        </row>
        <row r="177">
          <cell r="A177" t="str">
            <v>Killarney Lake - 302</v>
          </cell>
        </row>
        <row r="178">
          <cell r="A178" t="str">
            <v>Northern CDA Lake  - 700</v>
          </cell>
        </row>
        <row r="179">
          <cell r="A179" t="str">
            <v>Northern CDA Lake- 701</v>
          </cell>
        </row>
        <row r="180">
          <cell r="A180" t="str">
            <v>SF CDA River  Lower - 200</v>
          </cell>
        </row>
        <row r="181">
          <cell r="A181" t="str">
            <v>SF CDA River  Lower - 201</v>
          </cell>
        </row>
        <row r="182">
          <cell r="A182" t="str">
            <v>SF CDA River  Lower - 202</v>
          </cell>
        </row>
        <row r="183">
          <cell r="A183" t="str">
            <v>SF CDA River  Lower - 203</v>
          </cell>
        </row>
        <row r="184">
          <cell r="A184" t="str">
            <v>SF CDA River  Upper - 100</v>
          </cell>
        </row>
        <row r="185">
          <cell r="A185" t="str">
            <v>Southern CDA Lake - 901</v>
          </cell>
        </row>
        <row r="186">
          <cell r="A186" t="str">
            <v>Southern CDA Lake - 902</v>
          </cell>
        </row>
        <row r="187">
          <cell r="A187" t="str">
            <v>Southern CDA Lake - 904</v>
          </cell>
        </row>
        <row r="188">
          <cell r="A188" t="str">
            <v>Southern CDA Lake - 906</v>
          </cell>
        </row>
        <row r="189">
          <cell r="A189" t="str">
            <v>Southern CDA Lake - 907</v>
          </cell>
        </row>
        <row r="190">
          <cell r="A190" t="str">
            <v>Southern CDA Lake - 914</v>
          </cell>
        </row>
        <row r="191">
          <cell r="A191" t="str">
            <v>Southern CDA Lake - 915</v>
          </cell>
        </row>
        <row r="192">
          <cell r="A192" t="str">
            <v>Southern CDA Lake - 916</v>
          </cell>
        </row>
        <row r="193">
          <cell r="A193" t="str">
            <v>Southern CDA Lake - 917</v>
          </cell>
        </row>
        <row r="194">
          <cell r="A194" t="str">
            <v>Southern CDA Lake - 918</v>
          </cell>
        </row>
        <row r="195">
          <cell r="A195" t="str">
            <v>Spokane River - 601</v>
          </cell>
        </row>
        <row r="196">
          <cell r="A196" t="str">
            <v>Big Creek</v>
          </cell>
        </row>
        <row r="197">
          <cell r="A197" t="str">
            <v>Binarch Creek</v>
          </cell>
        </row>
        <row r="198">
          <cell r="A198" t="str">
            <v>East River</v>
          </cell>
        </row>
        <row r="199">
          <cell r="A199" t="str">
            <v>Goose Creek RM 0.1</v>
          </cell>
        </row>
        <row r="200">
          <cell r="A200" t="str">
            <v>Goose Creek RM 4</v>
          </cell>
        </row>
        <row r="201">
          <cell r="A201" t="str">
            <v>Granite Creek</v>
          </cell>
        </row>
        <row r="202">
          <cell r="A202" t="str">
            <v>Hunt Creek</v>
          </cell>
        </row>
        <row r="203">
          <cell r="A203" t="str">
            <v>Indian Creek</v>
          </cell>
        </row>
        <row r="204">
          <cell r="A204" t="str">
            <v>Lower West Branch Priest River RM 1</v>
          </cell>
        </row>
        <row r="205">
          <cell r="A205" t="str">
            <v>Lower West Branch Priest River RM 9</v>
          </cell>
        </row>
        <row r="206">
          <cell r="A206" t="str">
            <v>Middle Fork East River</v>
          </cell>
        </row>
        <row r="207">
          <cell r="A207" t="str">
            <v>North Fork East River</v>
          </cell>
        </row>
        <row r="208">
          <cell r="A208" t="str">
            <v>Pend Oreille River (Old Town ID)</v>
          </cell>
        </row>
        <row r="209">
          <cell r="A209" t="str">
            <v>Priest River (Dickensheet)</v>
          </cell>
        </row>
        <row r="210">
          <cell r="A210" t="str">
            <v>Priest River (McAbee Falls)</v>
          </cell>
        </row>
        <row r="211">
          <cell r="A211" t="str">
            <v>Priest River (Outlet Dam)</v>
          </cell>
        </row>
        <row r="212">
          <cell r="A212" t="str">
            <v>Quartz Creek</v>
          </cell>
        </row>
        <row r="213">
          <cell r="A213" t="str">
            <v>Saddler Creek</v>
          </cell>
        </row>
        <row r="214">
          <cell r="A214" t="str">
            <v>Sanborn Creek</v>
          </cell>
        </row>
        <row r="215">
          <cell r="A215" t="str">
            <v>Soldier Creek</v>
          </cell>
        </row>
        <row r="216">
          <cell r="A216" t="str">
            <v>Upper West Branch Priest River</v>
          </cell>
        </row>
        <row r="217">
          <cell r="A217" t="str">
            <v>Anderson Slough</v>
          </cell>
        </row>
        <row r="218">
          <cell r="A218" t="str">
            <v>Big Creek</v>
          </cell>
        </row>
        <row r="219">
          <cell r="A219" t="str">
            <v>Cable Creek</v>
          </cell>
        </row>
        <row r="220">
          <cell r="A220" t="str">
            <v>Curtis Creek</v>
          </cell>
        </row>
        <row r="221">
          <cell r="A221" t="str">
            <v>Hangman Creek</v>
          </cell>
        </row>
        <row r="222">
          <cell r="A222" t="str">
            <v>Hauser Creek</v>
          </cell>
        </row>
        <row r="223">
          <cell r="A223" t="str">
            <v>Kootenai River (Copeland)</v>
          </cell>
        </row>
        <row r="224">
          <cell r="A224" t="str">
            <v>Kootenai River (Deep Creek)</v>
          </cell>
        </row>
        <row r="225">
          <cell r="A225" t="str">
            <v>Kootenai River (Moyie)</v>
          </cell>
        </row>
        <row r="226">
          <cell r="A226" t="str">
            <v>Kootenai River (Shortys Island)</v>
          </cell>
        </row>
        <row r="227">
          <cell r="A227" t="str">
            <v>Lost Creek</v>
          </cell>
        </row>
        <row r="228">
          <cell r="A228" t="str">
            <v>Lower Hauser Creek</v>
          </cell>
        </row>
        <row r="229">
          <cell r="A229" t="str">
            <v>Lower Riley Creek</v>
          </cell>
        </row>
        <row r="230">
          <cell r="A230" t="str">
            <v>Renfro Creek</v>
          </cell>
        </row>
        <row r="231">
          <cell r="A231" t="str">
            <v>Right Fork Hauser Creek</v>
          </cell>
        </row>
        <row r="232">
          <cell r="A232" t="str">
            <v>Riley Creek</v>
          </cell>
        </row>
        <row r="233">
          <cell r="A233" t="str">
            <v>Sand Creek</v>
          </cell>
        </row>
        <row r="234">
          <cell r="A234" t="str">
            <v>Spokane River NIC</v>
          </cell>
        </row>
        <row r="235">
          <cell r="A235" t="str">
            <v>Spokane River Site 1</v>
          </cell>
        </row>
        <row r="236">
          <cell r="A236" t="str">
            <v>Spokane River Site 2</v>
          </cell>
        </row>
        <row r="237">
          <cell r="A237" t="str">
            <v>Spokane River Site 3</v>
          </cell>
        </row>
        <row r="238">
          <cell r="A238" t="str">
            <v>Spokane River Site 4</v>
          </cell>
        </row>
        <row r="239">
          <cell r="A239" t="str">
            <v>Spokane River Site 5</v>
          </cell>
        </row>
        <row r="240">
          <cell r="A240" t="str">
            <v>Spokane River Site 6</v>
          </cell>
        </row>
        <row r="241">
          <cell r="A241" t="str">
            <v>Spokane River Site 7</v>
          </cell>
        </row>
        <row r="242">
          <cell r="A242" t="str">
            <v>Spokane River STL</v>
          </cell>
        </row>
        <row r="243">
          <cell r="A243" t="str">
            <v>Syringa Creek</v>
          </cell>
        </row>
        <row r="244">
          <cell r="A244" t="str">
            <v>Upper Hauser Creek</v>
          </cell>
        </row>
        <row r="245">
          <cell r="A245" t="str">
            <v>Upper Riley Creek</v>
          </cell>
        </row>
        <row r="246">
          <cell r="A246" t="str">
            <v>Cave Lake</v>
          </cell>
        </row>
        <row r="247">
          <cell r="A247" t="str">
            <v>Chase Lake</v>
          </cell>
        </row>
        <row r="248">
          <cell r="A248" t="str">
            <v>Killarney Lake</v>
          </cell>
        </row>
        <row r="249">
          <cell r="A249" t="str">
            <v>Lake San Souci</v>
          </cell>
        </row>
        <row r="250">
          <cell r="A250" t="str">
            <v>Perkins Lake</v>
          </cell>
        </row>
        <row r="251">
          <cell r="A251" t="str">
            <v>Shepherd Lake</v>
          </cell>
        </row>
        <row r="252">
          <cell r="A252" t="str">
            <v>KR 10-LB</v>
          </cell>
        </row>
        <row r="253">
          <cell r="A253" t="str">
            <v>KR 10-MC</v>
          </cell>
        </row>
        <row r="254">
          <cell r="A254" t="str">
            <v>KR 10-RB</v>
          </cell>
        </row>
        <row r="255">
          <cell r="A255" t="str">
            <v>KR 13-LB</v>
          </cell>
        </row>
        <row r="256">
          <cell r="A256" t="str">
            <v>KR 13-MC</v>
          </cell>
        </row>
        <row r="257">
          <cell r="A257" t="str">
            <v>KR 13-RB</v>
          </cell>
        </row>
        <row r="258">
          <cell r="A258" t="str">
            <v>KR 5.5-LB</v>
          </cell>
        </row>
        <row r="259">
          <cell r="A259" t="str">
            <v>KR 5.5-MC</v>
          </cell>
        </row>
        <row r="260">
          <cell r="A260" t="str">
            <v>KR 5.5-RB</v>
          </cell>
        </row>
        <row r="261">
          <cell r="A261" t="str">
            <v>KR 6.5-LB</v>
          </cell>
        </row>
        <row r="262">
          <cell r="A262" t="str">
            <v>KR 6.5-MC</v>
          </cell>
        </row>
        <row r="263">
          <cell r="A263" t="str">
            <v>KR 6.5-RB</v>
          </cell>
        </row>
        <row r="264">
          <cell r="A264" t="str">
            <v>KR 6-LB</v>
          </cell>
        </row>
        <row r="265">
          <cell r="A265" t="str">
            <v>KR 6-MC</v>
          </cell>
        </row>
        <row r="266">
          <cell r="A266" t="str">
            <v>KR 6-RB</v>
          </cell>
        </row>
        <row r="267">
          <cell r="A267" t="str">
            <v>KR 9.1-LB</v>
          </cell>
        </row>
        <row r="268">
          <cell r="A268" t="str">
            <v>KR 9.1-MC</v>
          </cell>
        </row>
        <row r="269">
          <cell r="A269" t="str">
            <v>KR 9.1-RB</v>
          </cell>
        </row>
        <row r="270">
          <cell r="A270" t="str">
            <v>KR 9-LB</v>
          </cell>
        </row>
        <row r="271">
          <cell r="A271" t="str">
            <v>KR 9-MC</v>
          </cell>
        </row>
        <row r="272">
          <cell r="A272" t="str">
            <v>KR 9-RB</v>
          </cell>
        </row>
        <row r="273">
          <cell r="A273" t="str">
            <v>KR10-LB</v>
          </cell>
        </row>
        <row r="274">
          <cell r="A274" t="str">
            <v>KR10-MC</v>
          </cell>
        </row>
        <row r="275">
          <cell r="A275" t="str">
            <v>KR10-RB</v>
          </cell>
        </row>
        <row r="276">
          <cell r="A276" t="str">
            <v>KR13-LB</v>
          </cell>
        </row>
        <row r="277">
          <cell r="A277" t="str">
            <v>KR13-MC</v>
          </cell>
        </row>
        <row r="278">
          <cell r="A278" t="str">
            <v>KR13-RB</v>
          </cell>
        </row>
        <row r="279">
          <cell r="A279" t="str">
            <v>KR14-LB</v>
          </cell>
        </row>
        <row r="280">
          <cell r="A280" t="str">
            <v>KR14-MC</v>
          </cell>
        </row>
        <row r="281">
          <cell r="A281" t="str">
            <v>KR14-RB</v>
          </cell>
        </row>
        <row r="282">
          <cell r="A282" t="str">
            <v>KR1-LB</v>
          </cell>
        </row>
        <row r="283">
          <cell r="A283" t="str">
            <v>KR1-MC</v>
          </cell>
        </row>
        <row r="284">
          <cell r="A284" t="str">
            <v>KR1-RB</v>
          </cell>
        </row>
        <row r="285">
          <cell r="A285" t="str">
            <v>KR2-LB</v>
          </cell>
        </row>
        <row r="286">
          <cell r="A286" t="str">
            <v>KR2-MC</v>
          </cell>
        </row>
        <row r="287">
          <cell r="A287" t="str">
            <v>KR2-RB</v>
          </cell>
        </row>
        <row r="288">
          <cell r="A288" t="str">
            <v>KR3.5-LB</v>
          </cell>
        </row>
        <row r="289">
          <cell r="A289" t="str">
            <v>KR3.5-MC</v>
          </cell>
        </row>
        <row r="290">
          <cell r="A290" t="str">
            <v>KR3.5-RB</v>
          </cell>
        </row>
        <row r="291">
          <cell r="A291" t="str">
            <v>KR4-LB</v>
          </cell>
        </row>
        <row r="292">
          <cell r="A292" t="str">
            <v>KR4-MC</v>
          </cell>
        </row>
        <row r="293">
          <cell r="A293" t="str">
            <v>KR4-RB</v>
          </cell>
        </row>
        <row r="294">
          <cell r="A294" t="str">
            <v>KR5.5-LB</v>
          </cell>
        </row>
        <row r="295">
          <cell r="A295" t="str">
            <v>KR5.5-MC</v>
          </cell>
        </row>
        <row r="296">
          <cell r="A296" t="str">
            <v>KR5.5-RB</v>
          </cell>
        </row>
        <row r="297">
          <cell r="A297" t="str">
            <v>KR6.5-LB</v>
          </cell>
        </row>
        <row r="298">
          <cell r="A298" t="str">
            <v>KR6.5-MC</v>
          </cell>
        </row>
        <row r="299">
          <cell r="A299" t="str">
            <v>KR6.5-RB</v>
          </cell>
        </row>
        <row r="300">
          <cell r="A300" t="str">
            <v>KR6-LB</v>
          </cell>
        </row>
        <row r="301">
          <cell r="A301" t="str">
            <v>KR6-MC</v>
          </cell>
        </row>
        <row r="302">
          <cell r="A302" t="str">
            <v>KR6-RB</v>
          </cell>
        </row>
        <row r="303">
          <cell r="A303" t="str">
            <v>KR9.1-LB</v>
          </cell>
        </row>
        <row r="304">
          <cell r="A304" t="str">
            <v>KR9.1-MC</v>
          </cell>
        </row>
        <row r="305">
          <cell r="A305" t="str">
            <v>KR9.1-RB</v>
          </cell>
        </row>
        <row r="306">
          <cell r="A306" t="str">
            <v>KR9-LB</v>
          </cell>
        </row>
        <row r="307">
          <cell r="A307" t="str">
            <v>KR9-MC</v>
          </cell>
        </row>
        <row r="308">
          <cell r="A308" t="str">
            <v>KR9-RB</v>
          </cell>
        </row>
        <row r="309">
          <cell r="A309" t="str">
            <v>Caribou Creek 1</v>
          </cell>
        </row>
        <row r="310">
          <cell r="A310" t="str">
            <v>Grouse Creek 1 upper</v>
          </cell>
        </row>
        <row r="311">
          <cell r="A311" t="str">
            <v>Grouse Creek 2 lower</v>
          </cell>
        </row>
        <row r="312">
          <cell r="A312" t="str">
            <v>Grouse Creek confluence</v>
          </cell>
        </row>
        <row r="313">
          <cell r="A313" t="str">
            <v>Grouse Creek falls</v>
          </cell>
        </row>
        <row r="314">
          <cell r="A314" t="str">
            <v>Grouse Creek mid bridge</v>
          </cell>
        </row>
        <row r="315">
          <cell r="A315" t="str">
            <v>Hellroaring 1</v>
          </cell>
        </row>
        <row r="316">
          <cell r="A316" t="str">
            <v>Lower Grouse Creek</v>
          </cell>
        </row>
        <row r="317">
          <cell r="A317" t="str">
            <v>North Fork Grouse</v>
          </cell>
        </row>
        <row r="318">
          <cell r="A318" t="str">
            <v>Pack River 1</v>
          </cell>
        </row>
        <row r="319">
          <cell r="A319" t="str">
            <v>Pack River 2</v>
          </cell>
        </row>
        <row r="320">
          <cell r="A320" t="str">
            <v>Pack River 3</v>
          </cell>
        </row>
        <row r="321">
          <cell r="A321" t="str">
            <v>Pack River 4</v>
          </cell>
        </row>
        <row r="322">
          <cell r="A322" t="str">
            <v>South Fork Grouse</v>
          </cell>
        </row>
        <row r="323">
          <cell r="A323" t="str">
            <v>Beauty Creek</v>
          </cell>
        </row>
        <row r="324">
          <cell r="A324" t="str">
            <v>Beauty Creek 1</v>
          </cell>
        </row>
        <row r="325">
          <cell r="A325" t="str">
            <v>Beauty Creek 2</v>
          </cell>
        </row>
        <row r="326">
          <cell r="A326" t="str">
            <v>Bellgrove Creek</v>
          </cell>
        </row>
        <row r="327">
          <cell r="A327" t="str">
            <v>Bennett Creek</v>
          </cell>
        </row>
        <row r="328">
          <cell r="A328" t="str">
            <v>Blue Creek</v>
          </cell>
        </row>
        <row r="329">
          <cell r="A329" t="str">
            <v>Carlin Creek</v>
          </cell>
        </row>
        <row r="330">
          <cell r="A330" t="str">
            <v>CDA Tribs_Blanks_Field Sheets_QA</v>
          </cell>
        </row>
        <row r="331">
          <cell r="A331" t="str">
            <v>Cedar Creek</v>
          </cell>
        </row>
        <row r="332">
          <cell r="A332" t="str">
            <v>Cougar Creek</v>
          </cell>
        </row>
        <row r="333">
          <cell r="A333" t="str">
            <v>Fernan Creek</v>
          </cell>
        </row>
        <row r="334">
          <cell r="A334" t="str">
            <v>French Gulch</v>
          </cell>
        </row>
        <row r="335">
          <cell r="A335" t="str">
            <v>Kid Creek</v>
          </cell>
        </row>
        <row r="336">
          <cell r="A336" t="str">
            <v>Killarney Lake</v>
          </cell>
        </row>
        <row r="337">
          <cell r="A337" t="str">
            <v>Lake Creek</v>
          </cell>
        </row>
        <row r="338">
          <cell r="A338" t="str">
            <v>Marie Creek</v>
          </cell>
        </row>
        <row r="339">
          <cell r="A339" t="str">
            <v>Mica Creek 1</v>
          </cell>
        </row>
        <row r="340">
          <cell r="A340" t="str">
            <v>Mica Creek 2</v>
          </cell>
        </row>
        <row r="341">
          <cell r="A341" t="str">
            <v>Neachen Creek</v>
          </cell>
        </row>
        <row r="342">
          <cell r="A342" t="str">
            <v>Powderhorn Creek</v>
          </cell>
        </row>
        <row r="343">
          <cell r="A343" t="str">
            <v>Stinson Creek 1</v>
          </cell>
        </row>
        <row r="344">
          <cell r="A344" t="str">
            <v>Turner Creek</v>
          </cell>
        </row>
        <row r="345">
          <cell r="A345" t="str">
            <v>Wolf Lodge 1</v>
          </cell>
        </row>
        <row r="346">
          <cell r="A346" t="str">
            <v>Wolf Lodge 2</v>
          </cell>
        </row>
        <row r="347">
          <cell r="A347" t="str">
            <v>X_MW-00 Stargazer</v>
          </cell>
        </row>
        <row r="348">
          <cell r="A348" t="str">
            <v>X_MW-01 Harlow Point</v>
          </cell>
        </row>
        <row r="349">
          <cell r="A349" t="str">
            <v>X_MW-02 Gotham Creek</v>
          </cell>
        </row>
        <row r="350">
          <cell r="A350" t="str">
            <v>X_MW-03 Mineral Ridge</v>
          </cell>
        </row>
        <row r="351">
          <cell r="A351" t="str">
            <v>X_MW-04 Boothe Park</v>
          </cell>
        </row>
        <row r="352">
          <cell r="A352" t="str">
            <v>X_MW-04-A Seales Spring at Boothe Park</v>
          </cell>
        </row>
        <row r="353">
          <cell r="A353" t="str">
            <v>X_MW-05 Sunnyside Rd</v>
          </cell>
        </row>
        <row r="354">
          <cell r="A354" t="str">
            <v>X_MW-06 Silver Beach</v>
          </cell>
        </row>
        <row r="355">
          <cell r="A355" t="str">
            <v>X_MW-07 Tall Pines</v>
          </cell>
        </row>
        <row r="356">
          <cell r="A356" t="str">
            <v>X_MW-08 Mica Bay</v>
          </cell>
        </row>
        <row r="357">
          <cell r="A357" t="str">
            <v>X_MW-09 Lyle Creek</v>
          </cell>
        </row>
        <row r="358">
          <cell r="A358" t="str">
            <v>X_MW-10 Scott Creek</v>
          </cell>
        </row>
        <row r="359">
          <cell r="A359" t="str">
            <v>X_MW-11 Stinson Creek 2</v>
          </cell>
        </row>
        <row r="360">
          <cell r="A360" t="str">
            <v>X_MW-12 Black Rock</v>
          </cell>
        </row>
        <row r="361">
          <cell r="A361" t="str">
            <v>X_MW-99 Stevens Culvert</v>
          </cell>
        </row>
        <row r="362">
          <cell r="A362" t="str">
            <v>X_MW-XX Westway Dr</v>
          </cell>
        </row>
        <row r="363">
          <cell r="A363" t="str">
            <v>Mica Creek Lofts Bay Bridge</v>
          </cell>
        </row>
        <row r="364">
          <cell r="A364" t="str">
            <v>Casco Bay</v>
          </cell>
        </row>
        <row r="365">
          <cell r="A365" t="str">
            <v>CG 1</v>
          </cell>
        </row>
        <row r="366">
          <cell r="A366" t="str">
            <v>CG 10</v>
          </cell>
        </row>
        <row r="367">
          <cell r="A367" t="str">
            <v>CG 11</v>
          </cell>
        </row>
        <row r="368">
          <cell r="A368" t="str">
            <v>CG 12</v>
          </cell>
        </row>
        <row r="369">
          <cell r="A369" t="str">
            <v>CG 13</v>
          </cell>
        </row>
        <row r="370">
          <cell r="A370" t="str">
            <v>CG 14</v>
          </cell>
        </row>
        <row r="371">
          <cell r="A371" t="str">
            <v>CG 15</v>
          </cell>
        </row>
        <row r="372">
          <cell r="A372" t="str">
            <v>CG 16</v>
          </cell>
        </row>
        <row r="373">
          <cell r="A373" t="str">
            <v>CG 17</v>
          </cell>
        </row>
        <row r="374">
          <cell r="A374" t="str">
            <v>CG 18</v>
          </cell>
        </row>
        <row r="375">
          <cell r="A375" t="str">
            <v>CG 19</v>
          </cell>
        </row>
        <row r="376">
          <cell r="A376" t="str">
            <v>CG 2</v>
          </cell>
        </row>
        <row r="377">
          <cell r="A377" t="str">
            <v>CG 20</v>
          </cell>
        </row>
        <row r="378">
          <cell r="A378" t="str">
            <v>CG 21</v>
          </cell>
        </row>
        <row r="379">
          <cell r="A379" t="str">
            <v>CG 22</v>
          </cell>
        </row>
        <row r="380">
          <cell r="A380" t="str">
            <v xml:space="preserve">CG 3 </v>
          </cell>
        </row>
        <row r="381">
          <cell r="A381" t="str">
            <v>CG 4</v>
          </cell>
        </row>
        <row r="382">
          <cell r="A382" t="str">
            <v>CG 5</v>
          </cell>
        </row>
        <row r="383">
          <cell r="A383" t="str">
            <v>CG 6</v>
          </cell>
        </row>
        <row r="384">
          <cell r="A384" t="str">
            <v>CG 7</v>
          </cell>
        </row>
        <row r="385">
          <cell r="A385" t="str">
            <v>CG 8</v>
          </cell>
        </row>
        <row r="386">
          <cell r="A386" t="str">
            <v>CG 9</v>
          </cell>
        </row>
        <row r="387">
          <cell r="A387" t="str">
            <v>BOB Substrate</v>
          </cell>
        </row>
        <row r="388">
          <cell r="A388" t="str">
            <v>Boyer Substrate</v>
          </cell>
        </row>
        <row r="389">
          <cell r="A389" t="str">
            <v>BSO Substrate</v>
          </cell>
        </row>
        <row r="390">
          <cell r="A390" t="str">
            <v>BVV Substrate</v>
          </cell>
        </row>
        <row r="391">
          <cell r="A391" t="str">
            <v>CB Substrate</v>
          </cell>
        </row>
        <row r="392">
          <cell r="A392" t="str">
            <v>ESB Substrate</v>
          </cell>
        </row>
        <row r="393">
          <cell r="A393" t="str">
            <v>GFD Substrate</v>
          </cell>
        </row>
        <row r="394">
          <cell r="A394" t="str">
            <v>GLN Substrate</v>
          </cell>
        </row>
        <row r="395">
          <cell r="A395" t="str">
            <v>GRN Substrate</v>
          </cell>
        </row>
        <row r="396">
          <cell r="A396" t="str">
            <v>IWD Substrate</v>
          </cell>
        </row>
        <row r="397">
          <cell r="A397" t="str">
            <v>KB Substrate</v>
          </cell>
        </row>
        <row r="398">
          <cell r="A398" t="str">
            <v>KBE Substrate</v>
          </cell>
        </row>
        <row r="399">
          <cell r="A399" t="str">
            <v>KBW Substrate</v>
          </cell>
        </row>
        <row r="400">
          <cell r="A400" t="str">
            <v>LV Substrate</v>
          </cell>
        </row>
        <row r="401">
          <cell r="A401" t="str">
            <v>OB Substrate</v>
          </cell>
        </row>
        <row r="402">
          <cell r="A402" t="str">
            <v>SS Substrate</v>
          </cell>
        </row>
        <row r="403">
          <cell r="A403" t="str">
            <v>TCH Substrate</v>
          </cell>
        </row>
        <row r="404">
          <cell r="A404" t="str">
            <v>TRC Substrate</v>
          </cell>
        </row>
        <row r="405">
          <cell r="A405" t="str">
            <v>All Phosphorus</v>
          </cell>
        </row>
        <row r="406">
          <cell r="A406" t="str">
            <v>CDR Mile 130.9</v>
          </cell>
        </row>
        <row r="407">
          <cell r="A407" t="str">
            <v>CDR Mile 132</v>
          </cell>
        </row>
        <row r="408">
          <cell r="A408" t="str">
            <v>CDR Mile 133</v>
          </cell>
        </row>
        <row r="409">
          <cell r="A409" t="str">
            <v>CDR Mile 134.5</v>
          </cell>
        </row>
        <row r="410">
          <cell r="A410" t="str">
            <v>CDR Mile 135</v>
          </cell>
        </row>
        <row r="411">
          <cell r="A411" t="str">
            <v>CDR Mile 136.7</v>
          </cell>
        </row>
        <row r="412">
          <cell r="A412" t="str">
            <v>CDR Mile 138.1</v>
          </cell>
        </row>
        <row r="413">
          <cell r="A413" t="str">
            <v>CDR Mile 139.5</v>
          </cell>
        </row>
        <row r="414">
          <cell r="A414" t="str">
            <v>CDR Mile 141.7</v>
          </cell>
        </row>
        <row r="415">
          <cell r="A415" t="str">
            <v>CDR Mile 142</v>
          </cell>
        </row>
        <row r="416">
          <cell r="A416" t="str">
            <v>CDR Mile 143.8</v>
          </cell>
        </row>
        <row r="417">
          <cell r="A417" t="str">
            <v>CDR Mile 146.5</v>
          </cell>
        </row>
        <row r="418">
          <cell r="A418" t="str">
            <v>CDR Mile 146.7</v>
          </cell>
        </row>
        <row r="419">
          <cell r="A419" t="str">
            <v>CDR Mile 147</v>
          </cell>
        </row>
        <row r="420">
          <cell r="A420" t="str">
            <v>CDR Mile 148.5</v>
          </cell>
        </row>
        <row r="421">
          <cell r="A421" t="str">
            <v>CDR Mile 149.5</v>
          </cell>
        </row>
        <row r="422">
          <cell r="A422" t="str">
            <v>CDR Mile 150.6</v>
          </cell>
        </row>
        <row r="423">
          <cell r="A423" t="str">
            <v>CDR Mile 151.9</v>
          </cell>
        </row>
        <row r="424">
          <cell r="A424" t="str">
            <v>CDR Mile 152.6</v>
          </cell>
        </row>
        <row r="425">
          <cell r="A425" t="str">
            <v>CDR Mile 153.7</v>
          </cell>
        </row>
        <row r="426">
          <cell r="A426" t="str">
            <v>CDR Mile 154.1</v>
          </cell>
        </row>
        <row r="427">
          <cell r="A427" t="str">
            <v>CDR Mile 154.8</v>
          </cell>
        </row>
        <row r="428">
          <cell r="A428" t="str">
            <v>CDR Mile 155.2</v>
          </cell>
        </row>
        <row r="429">
          <cell r="A429" t="str">
            <v>CDR Mile 155.6</v>
          </cell>
        </row>
        <row r="430">
          <cell r="A430" t="str">
            <v>CDR Mile 156.3</v>
          </cell>
        </row>
        <row r="431">
          <cell r="A431" t="str">
            <v>CDR Mile 157</v>
          </cell>
        </row>
        <row r="432">
          <cell r="A432" t="str">
            <v>CDR Mile 157.4</v>
          </cell>
        </row>
        <row r="433">
          <cell r="A433" t="str">
            <v>CDR Mile 157.8</v>
          </cell>
        </row>
        <row r="434">
          <cell r="A434" t="str">
            <v>CDR Mile 158</v>
          </cell>
        </row>
        <row r="435">
          <cell r="A435" t="str">
            <v>CDR Mile 158.6</v>
          </cell>
        </row>
        <row r="436">
          <cell r="A436" t="str">
            <v>CDR Mile 159.5</v>
          </cell>
        </row>
        <row r="437">
          <cell r="A437" t="str">
            <v>CDR Mile 160</v>
          </cell>
        </row>
        <row r="438">
          <cell r="A438" t="str">
            <v>CDR Mile 160.3</v>
          </cell>
        </row>
        <row r="439">
          <cell r="A439" t="str">
            <v>B Substrate</v>
          </cell>
        </row>
        <row r="440">
          <cell r="A440" t="str">
            <v>H Substrate</v>
          </cell>
        </row>
        <row r="441">
          <cell r="A441" t="str">
            <v>K Substrate</v>
          </cell>
        </row>
        <row r="442">
          <cell r="A442" t="str">
            <v>L Substrate</v>
          </cell>
        </row>
        <row r="443">
          <cell r="A443" t="str">
            <v>M Substrate</v>
          </cell>
        </row>
        <row r="444">
          <cell r="A444" t="str">
            <v>P Substrate</v>
          </cell>
        </row>
        <row r="445">
          <cell r="A445" t="str">
            <v>R Substrate</v>
          </cell>
        </row>
        <row r="446">
          <cell r="A446" t="str">
            <v>T Substrate</v>
          </cell>
        </row>
        <row r="447">
          <cell r="A447" t="str">
            <v>Baldy Creek</v>
          </cell>
        </row>
        <row r="448">
          <cell r="A448" t="str">
            <v>Ball Creek</v>
          </cell>
        </row>
        <row r="449">
          <cell r="A449" t="str">
            <v>Ball Creek</v>
          </cell>
        </row>
        <row r="450">
          <cell r="A450" t="str">
            <v>Bear Creek</v>
          </cell>
        </row>
        <row r="451">
          <cell r="A451" t="str">
            <v>Bear Gulch</v>
          </cell>
        </row>
        <row r="452">
          <cell r="A452" t="str">
            <v>Beauty Creek</v>
          </cell>
        </row>
        <row r="453">
          <cell r="A453" t="str">
            <v>Beaver Creek_Priest</v>
          </cell>
        </row>
        <row r="454">
          <cell r="A454" t="str">
            <v>Beaver Creek_St Joe</v>
          </cell>
        </row>
        <row r="455">
          <cell r="A455" t="str">
            <v>Beaver Creek_Upper Coeur d Alene</v>
          </cell>
        </row>
        <row r="456">
          <cell r="A456" t="str">
            <v>Big Creek</v>
          </cell>
        </row>
        <row r="457">
          <cell r="A457" t="str">
            <v>Binarch Creek B</v>
          </cell>
        </row>
        <row r="458">
          <cell r="A458" t="str">
            <v>Blackjack Creek</v>
          </cell>
        </row>
        <row r="459">
          <cell r="A459" t="str">
            <v>Blue Joe Creek</v>
          </cell>
        </row>
        <row r="460">
          <cell r="A460" t="str">
            <v>Bluff Creek</v>
          </cell>
        </row>
        <row r="461">
          <cell r="A461" t="str">
            <v>Bootjack Creek</v>
          </cell>
        </row>
        <row r="462">
          <cell r="A462" t="str">
            <v>Boulder Creek</v>
          </cell>
        </row>
        <row r="463">
          <cell r="A463" t="str">
            <v>Boulder Creek_St Joe</v>
          </cell>
        </row>
        <row r="464">
          <cell r="A464" t="str">
            <v>Boundary Creek</v>
          </cell>
        </row>
        <row r="465">
          <cell r="A465" t="str">
            <v>Boundary Creek_West Side Rd</v>
          </cell>
        </row>
        <row r="466">
          <cell r="A466" t="str">
            <v>Brass Creek</v>
          </cell>
        </row>
        <row r="467">
          <cell r="A467" t="str">
            <v>Brown Creek</v>
          </cell>
        </row>
        <row r="468">
          <cell r="A468" t="str">
            <v>Buckskin Creek</v>
          </cell>
        </row>
        <row r="469">
          <cell r="A469" t="str">
            <v>Bumblebee Creek</v>
          </cell>
        </row>
        <row r="470">
          <cell r="A470" t="str">
            <v>Burnt Cabin Creek</v>
          </cell>
        </row>
        <row r="471">
          <cell r="A471" t="str">
            <v>California Creek</v>
          </cell>
        </row>
        <row r="472">
          <cell r="A472" t="str">
            <v>Canuck Creek</v>
          </cell>
        </row>
        <row r="473">
          <cell r="A473" t="str">
            <v>Canyon Creek_Lower</v>
          </cell>
        </row>
        <row r="474">
          <cell r="A474" t="str">
            <v>Canyon Creek_St Joe</v>
          </cell>
        </row>
        <row r="475">
          <cell r="A475" t="str">
            <v>Canyon Creek_Upper</v>
          </cell>
        </row>
        <row r="476">
          <cell r="A476" t="str">
            <v>Caribou Creek</v>
          </cell>
        </row>
        <row r="477">
          <cell r="A477" t="str">
            <v>Carpenter Creek</v>
          </cell>
        </row>
        <row r="478">
          <cell r="A478" t="str">
            <v>Cascade Creek</v>
          </cell>
        </row>
        <row r="479">
          <cell r="A479" t="str">
            <v>Cascade Creek_Upper Coeur d Alene</v>
          </cell>
        </row>
        <row r="480">
          <cell r="A480" t="str">
            <v>Cat Spur Creek</v>
          </cell>
        </row>
        <row r="481">
          <cell r="A481" t="str">
            <v>Char Creek</v>
          </cell>
        </row>
        <row r="482">
          <cell r="A482" t="str">
            <v>Charlie Creek</v>
          </cell>
        </row>
        <row r="483">
          <cell r="A483" t="str">
            <v>Cocolalla Creek_Lower</v>
          </cell>
        </row>
        <row r="484">
          <cell r="A484" t="str">
            <v>Cocolalla Creek_Upper</v>
          </cell>
        </row>
        <row r="485">
          <cell r="A485" t="str">
            <v>Coeur d Alene River_Harrison</v>
          </cell>
        </row>
        <row r="486">
          <cell r="A486" t="str">
            <v>Coeur d Alene River_Rose Lake</v>
          </cell>
        </row>
        <row r="487">
          <cell r="A487" t="str">
            <v>Coeur d Alene River_Upper</v>
          </cell>
        </row>
        <row r="488">
          <cell r="A488" t="str">
            <v>Copper Creek</v>
          </cell>
        </row>
        <row r="489">
          <cell r="A489" t="str">
            <v>Cougar Creek</v>
          </cell>
        </row>
        <row r="490">
          <cell r="A490" t="str">
            <v>Cow Creek</v>
          </cell>
        </row>
        <row r="491">
          <cell r="A491" t="str">
            <v>Curley Creek</v>
          </cell>
        </row>
        <row r="492">
          <cell r="A492" t="str">
            <v>Davis Creek_Moyie</v>
          </cell>
        </row>
        <row r="493">
          <cell r="A493" t="str">
            <v>Deception Creek</v>
          </cell>
        </row>
        <row r="494">
          <cell r="A494" t="str">
            <v>Deep Creek</v>
          </cell>
        </row>
        <row r="495">
          <cell r="A495" t="str">
            <v>Deep Creek_Mouth B</v>
          </cell>
        </row>
        <row r="496">
          <cell r="A496" t="str">
            <v>Deer Creek Upper_Moyie</v>
          </cell>
        </row>
        <row r="497">
          <cell r="A497" t="str">
            <v>Deer Creek W Branch_Moyie</v>
          </cell>
        </row>
        <row r="498">
          <cell r="A498" t="str">
            <v>Deer Creek_Moyie</v>
          </cell>
        </row>
        <row r="499">
          <cell r="A499" t="str">
            <v>Devil Creek</v>
          </cell>
        </row>
        <row r="500">
          <cell r="A500" t="str">
            <v>Dodge Creek</v>
          </cell>
        </row>
        <row r="501">
          <cell r="A501" t="str">
            <v>Eagle Creek</v>
          </cell>
        </row>
        <row r="502">
          <cell r="A502" t="str">
            <v>East Branch Deer Creek</v>
          </cell>
        </row>
        <row r="503">
          <cell r="A503" t="str">
            <v>East River</v>
          </cell>
        </row>
        <row r="504">
          <cell r="A504" t="str">
            <v>EF Big Creek</v>
          </cell>
        </row>
        <row r="505">
          <cell r="A505" t="str">
            <v>EF Emerald Creek_Lower</v>
          </cell>
        </row>
        <row r="506">
          <cell r="A506" t="str">
            <v>EF Emerald Creek_Upper</v>
          </cell>
        </row>
        <row r="507">
          <cell r="A507" t="str">
            <v>EF Lightning Creek</v>
          </cell>
        </row>
        <row r="508">
          <cell r="A508" t="str">
            <v>Emerald Creek</v>
          </cell>
        </row>
        <row r="509">
          <cell r="A509" t="str">
            <v>Fall Creek</v>
          </cell>
        </row>
        <row r="510">
          <cell r="A510" t="str">
            <v>Faro Creek</v>
          </cell>
        </row>
        <row r="511">
          <cell r="A511" t="str">
            <v>Fighting Creek</v>
          </cell>
        </row>
        <row r="512">
          <cell r="A512" t="str">
            <v>Fish Creek</v>
          </cell>
        </row>
        <row r="513">
          <cell r="A513" t="str">
            <v>Fisher Creek_Lower Kootenai</v>
          </cell>
        </row>
        <row r="514">
          <cell r="A514" t="str">
            <v>Fishhook Creek</v>
          </cell>
        </row>
        <row r="515">
          <cell r="A515" t="str">
            <v>Flemming Creek</v>
          </cell>
        </row>
        <row r="516">
          <cell r="A516" t="str">
            <v>Flewsie Creek</v>
          </cell>
        </row>
        <row r="517">
          <cell r="A517" t="str">
            <v>Gillon Creek</v>
          </cell>
        </row>
        <row r="518">
          <cell r="A518" t="str">
            <v>Gold Center Creek</v>
          </cell>
        </row>
        <row r="519">
          <cell r="A519" t="str">
            <v>Gold Center Creek_Lower</v>
          </cell>
        </row>
        <row r="520">
          <cell r="A520" t="str">
            <v>Gold Creek_Pack River</v>
          </cell>
        </row>
        <row r="521">
          <cell r="A521" t="str">
            <v>Gold Creek_Pend Oreille</v>
          </cell>
        </row>
        <row r="522">
          <cell r="A522" t="str">
            <v>Gold Creek_Priest</v>
          </cell>
        </row>
        <row r="523">
          <cell r="A523" t="str">
            <v>Gold Creek_St Joe</v>
          </cell>
        </row>
        <row r="524">
          <cell r="A524" t="str">
            <v>Graham Creek</v>
          </cell>
        </row>
        <row r="525">
          <cell r="A525" t="str">
            <v>Gramp Creek</v>
          </cell>
        </row>
        <row r="526">
          <cell r="A526" t="str">
            <v>Granite Creek_Lower_Priest</v>
          </cell>
        </row>
        <row r="527">
          <cell r="A527" t="str">
            <v>Granite Creek_Pend Oreille</v>
          </cell>
        </row>
        <row r="528">
          <cell r="A528" t="str">
            <v>Granite Creek_Priest</v>
          </cell>
        </row>
        <row r="529">
          <cell r="A529" t="str">
            <v>Granite Gulch</v>
          </cell>
        </row>
        <row r="530">
          <cell r="A530" t="str">
            <v>Grass Creek</v>
          </cell>
        </row>
        <row r="531">
          <cell r="A531" t="str">
            <v>Grass Creek_Upper</v>
          </cell>
        </row>
        <row r="532">
          <cell r="A532" t="str">
            <v>Grouse Creek</v>
          </cell>
        </row>
        <row r="533">
          <cell r="A533" t="str">
            <v>Harvey Creek</v>
          </cell>
        </row>
        <row r="534">
          <cell r="A534" t="str">
            <v>Heller Creek</v>
          </cell>
        </row>
        <row r="535">
          <cell r="A535" t="str">
            <v>Hellroaring Creek</v>
          </cell>
        </row>
        <row r="536">
          <cell r="A536" t="str">
            <v>Homestead Creek</v>
          </cell>
        </row>
        <row r="537">
          <cell r="A537" t="str">
            <v>Hoodoo Creek</v>
          </cell>
        </row>
        <row r="538">
          <cell r="A538" t="str">
            <v>Independence Creek</v>
          </cell>
        </row>
        <row r="539">
          <cell r="A539" t="str">
            <v>Jeru Creek</v>
          </cell>
        </row>
        <row r="540">
          <cell r="A540" t="str">
            <v>John Creek</v>
          </cell>
        </row>
        <row r="541">
          <cell r="A541" t="str">
            <v>Johnson Creek</v>
          </cell>
        </row>
        <row r="542">
          <cell r="A542" t="str">
            <v>Kalispell Creek</v>
          </cell>
        </row>
        <row r="543">
          <cell r="A543" t="str">
            <v>Keno Creek</v>
          </cell>
        </row>
        <row r="544">
          <cell r="A544" t="str">
            <v>Lamb Creek_Priest</v>
          </cell>
        </row>
        <row r="545">
          <cell r="A545" t="str">
            <v>Larch Creek</v>
          </cell>
        </row>
        <row r="546">
          <cell r="A546" t="str">
            <v>Latour Creek</v>
          </cell>
        </row>
        <row r="547">
          <cell r="A547" t="str">
            <v>Laverne Creek</v>
          </cell>
        </row>
        <row r="548">
          <cell r="A548" t="str">
            <v>Lieberg Creek</v>
          </cell>
        </row>
        <row r="549">
          <cell r="A549" t="str">
            <v>Lightning Creek</v>
          </cell>
        </row>
        <row r="550">
          <cell r="A550" t="str">
            <v>Lightning Creek_Upper</v>
          </cell>
        </row>
        <row r="551">
          <cell r="A551" t="str">
            <v>Lindsey Creek</v>
          </cell>
        </row>
        <row r="552">
          <cell r="A552" t="str">
            <v>Lion Creek</v>
          </cell>
        </row>
        <row r="553">
          <cell r="A553" t="str">
            <v>Little Bear Creek</v>
          </cell>
        </row>
        <row r="554">
          <cell r="A554" t="str">
            <v>Little Bumblebee Creek</v>
          </cell>
        </row>
        <row r="555">
          <cell r="A555" t="str">
            <v>Little NF Coeur d Alene River</v>
          </cell>
        </row>
        <row r="556">
          <cell r="A556" t="str">
            <v>Little NF of SF Coeur d Alene River</v>
          </cell>
        </row>
        <row r="557">
          <cell r="A557" t="str">
            <v>Little Teepee Creek</v>
          </cell>
        </row>
        <row r="558">
          <cell r="A558" t="str">
            <v>Long Canyon Creek</v>
          </cell>
        </row>
        <row r="559">
          <cell r="A559" t="str">
            <v>Long Canyon Creek B</v>
          </cell>
        </row>
        <row r="560">
          <cell r="A560" t="str">
            <v>Loop Creek</v>
          </cell>
        </row>
        <row r="561">
          <cell r="A561" t="str">
            <v>Lost Creek</v>
          </cell>
        </row>
        <row r="562">
          <cell r="A562" t="str">
            <v>Lower West Branch Priest River B</v>
          </cell>
        </row>
        <row r="563">
          <cell r="A563" t="str">
            <v>Marble Creek</v>
          </cell>
        </row>
        <row r="564">
          <cell r="A564" t="str">
            <v>Marie Creek</v>
          </cell>
        </row>
        <row r="565">
          <cell r="A565" t="str">
            <v>McCormick Creek</v>
          </cell>
        </row>
        <row r="566">
          <cell r="A566" t="str">
            <v>Meadow Creek</v>
          </cell>
        </row>
        <row r="567">
          <cell r="A567" t="str">
            <v>Meadow Creek_Upper</v>
          </cell>
        </row>
        <row r="568">
          <cell r="A568" t="str">
            <v>Medicine Creek</v>
          </cell>
        </row>
        <row r="569">
          <cell r="A569" t="str">
            <v>Merry Creek</v>
          </cell>
        </row>
        <row r="570">
          <cell r="A570" t="str">
            <v>Merry Creek_Upper</v>
          </cell>
        </row>
        <row r="571">
          <cell r="A571" t="str">
            <v>MF St Maries River</v>
          </cell>
        </row>
        <row r="572">
          <cell r="A572" t="str">
            <v>MF St Maries River_Upper</v>
          </cell>
        </row>
        <row r="573">
          <cell r="A573" t="str">
            <v>Miller Creek</v>
          </cell>
        </row>
        <row r="574">
          <cell r="A574" t="str">
            <v>Mission Creek_Lower</v>
          </cell>
        </row>
        <row r="575">
          <cell r="A575" t="str">
            <v>Mission Creek_Mid</v>
          </cell>
        </row>
        <row r="576">
          <cell r="A576" t="str">
            <v>Mission Creek_mouth A</v>
          </cell>
        </row>
        <row r="577">
          <cell r="A577" t="str">
            <v>Mission Creek_mouth B</v>
          </cell>
        </row>
        <row r="578">
          <cell r="A578" t="str">
            <v>Morris Creek</v>
          </cell>
        </row>
        <row r="579">
          <cell r="A579" t="str">
            <v>Myrtle Creek</v>
          </cell>
        </row>
        <row r="580">
          <cell r="A580" t="str">
            <v>Myrtle Creek_Mouth</v>
          </cell>
        </row>
        <row r="581">
          <cell r="A581" t="str">
            <v>Ninemile Creek</v>
          </cell>
        </row>
        <row r="582">
          <cell r="A582" t="str">
            <v>North Fork St Joe River</v>
          </cell>
        </row>
        <row r="583">
          <cell r="A583" t="str">
            <v>Pack River_95 crossing</v>
          </cell>
        </row>
        <row r="584">
          <cell r="A584" t="str">
            <v>Pack River_Upper</v>
          </cell>
        </row>
        <row r="585">
          <cell r="A585" t="str">
            <v>Pack River_West Branch</v>
          </cell>
        </row>
        <row r="586">
          <cell r="A586" t="str">
            <v>Parker Creek</v>
          </cell>
        </row>
        <row r="587">
          <cell r="A587" t="str">
            <v>Parker Creek B</v>
          </cell>
        </row>
        <row r="588">
          <cell r="A588" t="str">
            <v>Picnic Creek</v>
          </cell>
        </row>
        <row r="589">
          <cell r="A589" t="str">
            <v>Placer Creek</v>
          </cell>
        </row>
        <row r="590">
          <cell r="A590" t="str">
            <v>Placer Creek_Moyie</v>
          </cell>
        </row>
        <row r="591">
          <cell r="A591" t="str">
            <v>Placer Creek_SF Coeur d Alene</v>
          </cell>
        </row>
        <row r="592">
          <cell r="A592" t="str">
            <v>Porcupine Creek</v>
          </cell>
        </row>
        <row r="593">
          <cell r="A593" t="str">
            <v>Prichard Creek</v>
          </cell>
        </row>
        <row r="594">
          <cell r="A594" t="str">
            <v>Prichard Creek_Upper</v>
          </cell>
        </row>
        <row r="595">
          <cell r="A595" t="str">
            <v>Quartz Creek</v>
          </cell>
        </row>
        <row r="596">
          <cell r="A596" t="str">
            <v>Rapid Lightning Creek</v>
          </cell>
        </row>
        <row r="597">
          <cell r="A597" t="str">
            <v>Rattle Creek</v>
          </cell>
        </row>
        <row r="598">
          <cell r="A598" t="str">
            <v>Rock Creek_Lower</v>
          </cell>
        </row>
        <row r="599">
          <cell r="A599" t="str">
            <v>Round Prairie Creek</v>
          </cell>
        </row>
        <row r="600">
          <cell r="A600" t="str">
            <v>Ruby Creek</v>
          </cell>
        </row>
        <row r="601">
          <cell r="A601" t="str">
            <v>Sand Creek</v>
          </cell>
        </row>
        <row r="602">
          <cell r="A602" t="str">
            <v>Santa Creek</v>
          </cell>
        </row>
        <row r="603">
          <cell r="A603" t="str">
            <v>Savage Creek</v>
          </cell>
        </row>
        <row r="604">
          <cell r="A604" t="str">
            <v>SF Coeur d Alene River</v>
          </cell>
        </row>
        <row r="605">
          <cell r="A605" t="str">
            <v>Sherlock Creek</v>
          </cell>
        </row>
        <row r="606">
          <cell r="A606" t="str">
            <v>Skin Creek</v>
          </cell>
        </row>
        <row r="607">
          <cell r="A607" t="str">
            <v>Skookum Creek</v>
          </cell>
        </row>
        <row r="608">
          <cell r="A608" t="str">
            <v>Slate Creek</v>
          </cell>
        </row>
        <row r="609">
          <cell r="A609" t="str">
            <v>Smith Creek</v>
          </cell>
        </row>
        <row r="610">
          <cell r="A610" t="str">
            <v>Smith Creek B</v>
          </cell>
        </row>
        <row r="611">
          <cell r="A611" t="str">
            <v>Snow Creek_Lower</v>
          </cell>
        </row>
        <row r="612">
          <cell r="A612" t="str">
            <v>Soldier Creek</v>
          </cell>
        </row>
        <row r="613">
          <cell r="A613" t="str">
            <v>South Fork Mica Creek</v>
          </cell>
        </row>
        <row r="614">
          <cell r="A614" t="str">
            <v>Spruce Creek_Moyie</v>
          </cell>
        </row>
        <row r="615">
          <cell r="A615" t="str">
            <v>Spruce Creek_Upper Coeur d Alene</v>
          </cell>
        </row>
        <row r="616">
          <cell r="A616" t="str">
            <v>Steamboat Creek</v>
          </cell>
        </row>
        <row r="617">
          <cell r="A617" t="str">
            <v>Tango Creek</v>
          </cell>
        </row>
        <row r="618">
          <cell r="A618" t="str">
            <v>Teepee Creek</v>
          </cell>
        </row>
        <row r="619">
          <cell r="A619" t="str">
            <v>Thorn Creek</v>
          </cell>
        </row>
        <row r="620">
          <cell r="A620" t="str">
            <v>Trail Creek_Lower</v>
          </cell>
        </row>
        <row r="621">
          <cell r="A621" t="str">
            <v>Trail Creek_Upper Coeur d Alene</v>
          </cell>
        </row>
        <row r="622">
          <cell r="A622" t="str">
            <v>Trestle Creek</v>
          </cell>
        </row>
        <row r="623">
          <cell r="A623" t="str">
            <v>Trout Creek_North_Lower Kootenai</v>
          </cell>
        </row>
        <row r="624">
          <cell r="A624" t="str">
            <v>Trout Creek_Pack River</v>
          </cell>
        </row>
        <row r="625">
          <cell r="A625" t="str">
            <v>Trout Creek_South_Lower Kootenai</v>
          </cell>
        </row>
        <row r="626">
          <cell r="A626" t="str">
            <v>Twentymile Creek_Lower</v>
          </cell>
        </row>
        <row r="627">
          <cell r="A627" t="str">
            <v>Tyson Creek</v>
          </cell>
        </row>
        <row r="628">
          <cell r="A628" t="str">
            <v>Upper St Joe River</v>
          </cell>
        </row>
        <row r="629">
          <cell r="A629" t="str">
            <v>Upper West Branch Priest River</v>
          </cell>
        </row>
        <row r="630">
          <cell r="A630" t="str">
            <v>Wall Creek</v>
          </cell>
        </row>
        <row r="631">
          <cell r="A631" t="str">
            <v>Wellington Creek</v>
          </cell>
        </row>
        <row r="632">
          <cell r="A632" t="str">
            <v>West Branch Deer Creek</v>
          </cell>
        </row>
        <row r="633">
          <cell r="A633" t="str">
            <v>WF Eagle Creek_Lower</v>
          </cell>
        </row>
        <row r="634">
          <cell r="A634" t="str">
            <v>WF Eagle Creek_Upper</v>
          </cell>
        </row>
        <row r="635">
          <cell r="A635" t="str">
            <v>WF Merry Creek</v>
          </cell>
        </row>
        <row r="636">
          <cell r="A636" t="str">
            <v>WF St Maries River</v>
          </cell>
        </row>
        <row r="637">
          <cell r="A637" t="str">
            <v>Wolf Lodge Creek</v>
          </cell>
        </row>
        <row r="638">
          <cell r="A638" t="str">
            <v>Yankee Bar Creek</v>
          </cell>
        </row>
        <row r="639">
          <cell r="A639" t="str">
            <v>Albeni Falls forebay TDG</v>
          </cell>
        </row>
        <row r="640">
          <cell r="A640" t="str">
            <v>Albeni Falls tailwater TDG</v>
          </cell>
        </row>
        <row r="641">
          <cell r="A641" t="str">
            <v>Avista Below Fosters Primary</v>
          </cell>
        </row>
        <row r="642">
          <cell r="A642" t="str">
            <v>Avista Below Fosters Secondary</v>
          </cell>
        </row>
        <row r="643">
          <cell r="A643" t="str">
            <v>Avista Gauging Stn Primary A</v>
          </cell>
        </row>
        <row r="644">
          <cell r="A644" t="str">
            <v>Avista Gauging Stn Primary B</v>
          </cell>
        </row>
        <row r="645">
          <cell r="A645" t="str">
            <v>Avista Gauging Stn Secondary</v>
          </cell>
        </row>
        <row r="646">
          <cell r="A646" t="str">
            <v>Cabinet Gorge Dam forebay TDG</v>
          </cell>
        </row>
        <row r="647">
          <cell r="A647" t="str">
            <v>Lower Clark Fork River TDG</v>
          </cell>
        </row>
        <row r="648">
          <cell r="A648" t="str">
            <v>USGS 12391950 Clark Fork River below Cabinet Gorge Dam ID</v>
          </cell>
        </row>
        <row r="649">
          <cell r="A649" t="str">
            <v>USGS 12309500 KOOTENAI RIVER AT BONNERS FERRY ID</v>
          </cell>
        </row>
        <row r="650">
          <cell r="A650" t="str">
            <v>USGS 12322000 KOOTENAI RIVER AT PORTHILL ID</v>
          </cell>
        </row>
        <row r="651">
          <cell r="A651" t="str">
            <v>USGS 12413370 EF PINE CREEK ABV NABOB CR NEAR PINEHURST ID</v>
          </cell>
        </row>
        <row r="652">
          <cell r="A652" t="str">
            <v>USGS 12414500 ST JOE RIVER AT CALDER_ID</v>
          </cell>
        </row>
        <row r="653">
          <cell r="A653" t="str">
            <v>Zmax</v>
          </cell>
        </row>
        <row r="654">
          <cell r="A654" t="str">
            <v>BLR-SW- 8 Black Lake</v>
          </cell>
        </row>
        <row r="655">
          <cell r="A655" t="str">
            <v>BLR-SW-1 West Field Pumpfluent</v>
          </cell>
        </row>
        <row r="656">
          <cell r="A656" t="str">
            <v>BLR-SW-10 Gravity Drain Flume</v>
          </cell>
        </row>
        <row r="657">
          <cell r="A657" t="str">
            <v>BLR-SW-2 Thoroughfare Bridge</v>
          </cell>
        </row>
        <row r="658">
          <cell r="A658" t="str">
            <v>BLR-SW-3 East Field Pumpfluent</v>
          </cell>
        </row>
        <row r="659">
          <cell r="A659" t="str">
            <v>BLR-SW-4 East Field</v>
          </cell>
        </row>
        <row r="660">
          <cell r="A660" t="str">
            <v>BLR-SW-5 West Field</v>
          </cell>
        </row>
        <row r="661">
          <cell r="A661" t="str">
            <v>BLR-SW-6 West Field</v>
          </cell>
        </row>
        <row r="662">
          <cell r="A662" t="str">
            <v>BLR-SW-7 East Field</v>
          </cell>
        </row>
        <row r="663">
          <cell r="A663" t="str">
            <v>Ditch at East Field Pump</v>
          </cell>
        </row>
        <row r="664">
          <cell r="A664" t="str">
            <v>Ditch at West Field Pump</v>
          </cell>
        </row>
        <row r="665">
          <cell r="A665" t="str">
            <v>West Field 15 hp pumpfluent</v>
          </cell>
        </row>
        <row r="666">
          <cell r="A666" t="str">
            <v>West Field 30 hp pumpfluent</v>
          </cell>
        </row>
        <row r="667">
          <cell r="A667" t="str">
            <v>West Field CD150M Dri-Prime Pump</v>
          </cell>
        </row>
        <row r="668">
          <cell r="A668" t="str">
            <v>West Field Crisafulli Pump</v>
          </cell>
        </row>
        <row r="669">
          <cell r="A669" t="str">
            <v>XX_Black Lake Stage Calc Test</v>
          </cell>
        </row>
        <row r="670">
          <cell r="A670" t="str">
            <v>Anderson Lake</v>
          </cell>
        </row>
        <row r="671">
          <cell r="A671" t="str">
            <v>Bull Run Lake</v>
          </cell>
        </row>
        <row r="672">
          <cell r="A672" t="str">
            <v>Cave Lake</v>
          </cell>
        </row>
        <row r="673">
          <cell r="A673" t="str">
            <v>CDA River_ Rose Lake</v>
          </cell>
        </row>
        <row r="674">
          <cell r="A674" t="str">
            <v>CDA River_Cataldo</v>
          </cell>
        </row>
        <row r="675">
          <cell r="A675" t="str">
            <v>CDA River_Harrison</v>
          </cell>
        </row>
        <row r="676">
          <cell r="A676" t="str">
            <v>CDA River_Outlet</v>
          </cell>
        </row>
        <row r="677">
          <cell r="A677" t="str">
            <v>Medicine Lake</v>
          </cell>
        </row>
        <row r="678">
          <cell r="A678" t="str">
            <v>Rose Lake</v>
          </cell>
        </row>
        <row r="679">
          <cell r="A679" t="str">
            <v>Swan Lake</v>
          </cell>
        </row>
        <row r="680">
          <cell r="A680" t="str">
            <v>Carpenter Creek</v>
          </cell>
        </row>
        <row r="681">
          <cell r="A681" t="str">
            <v>Emerald Creek</v>
          </cell>
        </row>
        <row r="682">
          <cell r="A682" t="str">
            <v>Santa Creek</v>
          </cell>
        </row>
        <row r="683">
          <cell r="A683" t="str">
            <v>St Joe River_Calder</v>
          </cell>
        </row>
        <row r="684">
          <cell r="A684" t="str">
            <v>St Joe River_Chatcolet</v>
          </cell>
        </row>
        <row r="685">
          <cell r="A685" t="str">
            <v>St Joe River_Ramsdell</v>
          </cell>
        </row>
        <row r="686">
          <cell r="A686" t="str">
            <v>St Joe River_St  Maries</v>
          </cell>
        </row>
        <row r="687">
          <cell r="A687" t="str">
            <v>St Joe River_St Joe City</v>
          </cell>
        </row>
        <row r="688">
          <cell r="A688" t="str">
            <v>St Maries River_Lotus</v>
          </cell>
        </row>
        <row r="689">
          <cell r="A689" t="str">
            <v>St Maries River_Santa</v>
          </cell>
        </row>
        <row r="690">
          <cell r="A690" t="str">
            <v>St Maries River_Upper</v>
          </cell>
        </row>
        <row r="691">
          <cell r="A691" t="str">
            <v>48.30524 -116.50544</v>
          </cell>
        </row>
        <row r="692">
          <cell r="A692" t="str">
            <v>48.30544 -116.49522</v>
          </cell>
        </row>
        <row r="693">
          <cell r="A693" t="str">
            <v>48.30621 -116.49739</v>
          </cell>
        </row>
        <row r="694">
          <cell r="A694" t="str">
            <v>48.30651 -116.46457</v>
          </cell>
        </row>
        <row r="695">
          <cell r="A695" t="str">
            <v>BSO</v>
          </cell>
        </row>
        <row r="696">
          <cell r="A696" t="str">
            <v>Spokane River_NIC</v>
          </cell>
        </row>
        <row r="697">
          <cell r="A697" t="str">
            <v>Station No 1 - 1 m</v>
          </cell>
        </row>
        <row r="698">
          <cell r="A698" t="str">
            <v>Station No 1 - 2.65 m</v>
          </cell>
        </row>
        <row r="699">
          <cell r="A699" t="str">
            <v>Station No 1 - 4.3 m</v>
          </cell>
        </row>
        <row r="700">
          <cell r="A700" t="str">
            <v>Station No 2 - 1 m</v>
          </cell>
        </row>
        <row r="701">
          <cell r="A701" t="str">
            <v>Station No 2 - 2.6 m</v>
          </cell>
        </row>
        <row r="702">
          <cell r="A702" t="str">
            <v>Station No 2 - 4.2 m</v>
          </cell>
        </row>
        <row r="703">
          <cell r="A703" t="str">
            <v>Station No 3 - 1 m</v>
          </cell>
        </row>
        <row r="704">
          <cell r="A704" t="str">
            <v>Station No 3 - 10.3 m</v>
          </cell>
        </row>
        <row r="705">
          <cell r="A705" t="str">
            <v>Station No 3 - 3.3 m</v>
          </cell>
        </row>
        <row r="706">
          <cell r="A706" t="str">
            <v>Station No 3 - 5.65 m</v>
          </cell>
        </row>
        <row r="707">
          <cell r="A707" t="str">
            <v>Station No 3 - 8 m</v>
          </cell>
        </row>
        <row r="708">
          <cell r="A708" t="str">
            <v>Station No 4 - 1 m</v>
          </cell>
        </row>
        <row r="709">
          <cell r="A709" t="str">
            <v>Station No 4 - 10.2 m</v>
          </cell>
        </row>
        <row r="710">
          <cell r="A710" t="str">
            <v>Station No 4 - 3.3 m</v>
          </cell>
        </row>
        <row r="711">
          <cell r="A711" t="str">
            <v>Station No 4 - 5.6 m</v>
          </cell>
        </row>
        <row r="712">
          <cell r="A712" t="str">
            <v>Station No 4 - 7.9 m</v>
          </cell>
        </row>
        <row r="713">
          <cell r="A713" t="str">
            <v>Camp Cross Weather Station</v>
          </cell>
        </row>
        <row r="714">
          <cell r="A714" t="str">
            <v>CDA Lake Resort Golf Course</v>
          </cell>
        </row>
        <row r="715">
          <cell r="A715" t="str">
            <v>CDA Lancaster Road</v>
          </cell>
        </row>
        <row r="716">
          <cell r="A716" t="str">
            <v>COEUR D ALENE Airport</v>
          </cell>
        </row>
        <row r="717">
          <cell r="A717" t="str">
            <v>Lookout Pass SNOTEL</v>
          </cell>
        </row>
        <row r="718">
          <cell r="A718" t="str">
            <v>Pinehurst</v>
          </cell>
        </row>
        <row r="719">
          <cell r="A719" t="str">
            <v>CDR 01</v>
          </cell>
        </row>
        <row r="720">
          <cell r="A720" t="str">
            <v>CDR 02</v>
          </cell>
        </row>
        <row r="721">
          <cell r="A721" t="str">
            <v>CDR 03</v>
          </cell>
        </row>
        <row r="722">
          <cell r="A722" t="str">
            <v>CDR 04</v>
          </cell>
        </row>
        <row r="723">
          <cell r="A723" t="str">
            <v>CDR 05</v>
          </cell>
        </row>
        <row r="724">
          <cell r="A724" t="str">
            <v>CDR 06</v>
          </cell>
        </row>
        <row r="725">
          <cell r="A725" t="str">
            <v>CDR 07</v>
          </cell>
        </row>
        <row r="726">
          <cell r="A726" t="str">
            <v>CDR 08</v>
          </cell>
        </row>
        <row r="727">
          <cell r="A727" t="str">
            <v>CDR 09</v>
          </cell>
        </row>
        <row r="728">
          <cell r="A728" t="str">
            <v>CDR 10</v>
          </cell>
        </row>
        <row r="729">
          <cell r="A729" t="str">
            <v>CDR 11</v>
          </cell>
        </row>
        <row r="730">
          <cell r="A730" t="str">
            <v>CDR 12</v>
          </cell>
        </row>
        <row r="731">
          <cell r="A731" t="str">
            <v>CDR 13</v>
          </cell>
        </row>
        <row r="732">
          <cell r="A732" t="str">
            <v>CDA Airport</v>
          </cell>
        </row>
        <row r="733">
          <cell r="A733" t="str">
            <v>PFFB</v>
          </cell>
        </row>
        <row r="734">
          <cell r="A734" t="str">
            <v>PFTR</v>
          </cell>
        </row>
        <row r="735">
          <cell r="A735" t="str">
            <v>USGS 12419000 Spokane River NR Post Falls ID</v>
          </cell>
        </row>
        <row r="736">
          <cell r="A736" t="str">
            <v>Beaver Creek</v>
          </cell>
        </row>
        <row r="737">
          <cell r="A737" t="str">
            <v>Kalispel Creek</v>
          </cell>
        </row>
        <row r="738">
          <cell r="A738" t="str">
            <v>Lamb Creek</v>
          </cell>
        </row>
        <row r="739">
          <cell r="A739" t="str">
            <v>Thoroughfare</v>
          </cell>
        </row>
        <row r="740">
          <cell r="A740" t="str">
            <v>Deep Station</v>
          </cell>
        </row>
        <row r="741">
          <cell r="A741" t="str">
            <v>Twinlow Openwater DEQ 2019</v>
          </cell>
        </row>
        <row r="742">
          <cell r="A742" t="str">
            <v>Upper East</v>
          </cell>
        </row>
        <row r="743">
          <cell r="A743" t="str">
            <v>Upper West</v>
          </cell>
        </row>
        <row r="744">
          <cell r="A744" t="str">
            <v>BEA1</v>
          </cell>
        </row>
        <row r="745">
          <cell r="A745" t="str">
            <v>Beaver Creek open water</v>
          </cell>
        </row>
        <row r="746">
          <cell r="A746" t="str">
            <v>BER1</v>
          </cell>
        </row>
        <row r="747">
          <cell r="A747" t="str">
            <v>BOT1</v>
          </cell>
        </row>
        <row r="748">
          <cell r="A748" t="str">
            <v>CAR1</v>
          </cell>
        </row>
        <row r="749">
          <cell r="A749" t="str">
            <v>Cavanaugh Bay</v>
          </cell>
        </row>
        <row r="750">
          <cell r="A750" t="str">
            <v>Coolin Bay</v>
          </cell>
        </row>
        <row r="751">
          <cell r="A751" t="str">
            <v>COU1</v>
          </cell>
        </row>
        <row r="752">
          <cell r="A752" t="str">
            <v>COU2</v>
          </cell>
        </row>
        <row r="753">
          <cell r="A753" t="str">
            <v>DIS1</v>
          </cell>
        </row>
        <row r="754">
          <cell r="A754" t="str">
            <v>Distillery Bay</v>
          </cell>
        </row>
        <row r="755">
          <cell r="A755" t="str">
            <v>GOL1</v>
          </cell>
        </row>
        <row r="756">
          <cell r="A756" t="str">
            <v>GOO1</v>
          </cell>
        </row>
        <row r="757">
          <cell r="A757" t="str">
            <v>GRA1</v>
          </cell>
        </row>
        <row r="758">
          <cell r="A758" t="str">
            <v>Granite Narrows</v>
          </cell>
        </row>
        <row r="759">
          <cell r="A759" t="str">
            <v>HOR1</v>
          </cell>
        </row>
        <row r="760">
          <cell r="A760" t="str">
            <v>Huckleberry Bay</v>
          </cell>
        </row>
        <row r="761">
          <cell r="A761" t="str">
            <v>HUG1</v>
          </cell>
        </row>
        <row r="762">
          <cell r="A762" t="str">
            <v>HUN1</v>
          </cell>
        </row>
        <row r="763">
          <cell r="A763" t="str">
            <v>HUN2</v>
          </cell>
        </row>
        <row r="764">
          <cell r="A764" t="str">
            <v>IND1</v>
          </cell>
        </row>
        <row r="765">
          <cell r="A765" t="str">
            <v>Indian Creek Bay</v>
          </cell>
        </row>
        <row r="766">
          <cell r="A766" t="str">
            <v>ISCO</v>
          </cell>
        </row>
        <row r="767">
          <cell r="A767" t="str">
            <v>KAL1</v>
          </cell>
        </row>
        <row r="768">
          <cell r="A768" t="str">
            <v>KAL2</v>
          </cell>
        </row>
        <row r="769">
          <cell r="A769" t="str">
            <v>KAL3</v>
          </cell>
        </row>
        <row r="770">
          <cell r="A770" t="str">
            <v>KAL4</v>
          </cell>
        </row>
        <row r="771">
          <cell r="A771" t="str">
            <v>KAL5</v>
          </cell>
        </row>
        <row r="772">
          <cell r="A772" t="str">
            <v>KAL6</v>
          </cell>
        </row>
        <row r="773">
          <cell r="A773" t="str">
            <v>Kalispell Bay</v>
          </cell>
        </row>
        <row r="774">
          <cell r="A774" t="str">
            <v>LAM1</v>
          </cell>
        </row>
        <row r="775">
          <cell r="A775" t="str">
            <v>LAM3</v>
          </cell>
        </row>
        <row r="776">
          <cell r="A776" t="str">
            <v>LAM4</v>
          </cell>
        </row>
        <row r="777">
          <cell r="A777" t="str">
            <v>LAM5</v>
          </cell>
        </row>
        <row r="778">
          <cell r="A778" t="str">
            <v>LAM6</v>
          </cell>
        </row>
        <row r="779">
          <cell r="A779" t="str">
            <v>LIO1</v>
          </cell>
        </row>
        <row r="780">
          <cell r="A780" t="str">
            <v>Luby Bay</v>
          </cell>
        </row>
        <row r="781">
          <cell r="A781" t="str">
            <v>LWPR</v>
          </cell>
        </row>
        <row r="782">
          <cell r="A782" t="str">
            <v>LWQA South</v>
          </cell>
        </row>
        <row r="783">
          <cell r="A783" t="str">
            <v>Mosquito Bay</v>
          </cell>
        </row>
        <row r="784">
          <cell r="A784" t="str">
            <v>North Granite Creek Bay</v>
          </cell>
        </row>
        <row r="785">
          <cell r="A785" t="str">
            <v>Outlet Bay</v>
          </cell>
        </row>
        <row r="786">
          <cell r="A786" t="str">
            <v>Priest Lake North</v>
          </cell>
        </row>
        <row r="787">
          <cell r="A787" t="str">
            <v>Priest Lake South</v>
          </cell>
        </row>
        <row r="788">
          <cell r="A788" t="str">
            <v>REE1</v>
          </cell>
        </row>
        <row r="789">
          <cell r="A789" t="str">
            <v>REE2</v>
          </cell>
        </row>
        <row r="790">
          <cell r="A790" t="str">
            <v>Reeder Bay</v>
          </cell>
        </row>
        <row r="791">
          <cell r="A791" t="str">
            <v>REY1</v>
          </cell>
        </row>
        <row r="792">
          <cell r="A792" t="str">
            <v>SOL1</v>
          </cell>
        </row>
        <row r="793">
          <cell r="A793" t="str">
            <v>SOL2</v>
          </cell>
        </row>
        <row r="794">
          <cell r="A794" t="str">
            <v>SOL3</v>
          </cell>
        </row>
        <row r="795">
          <cell r="A795" t="str">
            <v>SQU1</v>
          </cell>
        </row>
        <row r="796">
          <cell r="A796" t="str">
            <v>SQU2</v>
          </cell>
        </row>
        <row r="797">
          <cell r="A797" t="str">
            <v>Squaw Bay</v>
          </cell>
        </row>
        <row r="798">
          <cell r="A798" t="str">
            <v>TAN1</v>
          </cell>
        </row>
        <row r="799">
          <cell r="A799" t="str">
            <v>TEE1</v>
          </cell>
        </row>
        <row r="800">
          <cell r="A800" t="str">
            <v>THO1</v>
          </cell>
        </row>
        <row r="801">
          <cell r="A801" t="str">
            <v>THO2</v>
          </cell>
        </row>
        <row r="802">
          <cell r="A802" t="str">
            <v>TRA1</v>
          </cell>
        </row>
        <row r="803">
          <cell r="A803" t="str">
            <v>TWO2</v>
          </cell>
        </row>
        <row r="804">
          <cell r="A804" t="str">
            <v>UPR1</v>
          </cell>
        </row>
        <row r="805">
          <cell r="A805" t="str">
            <v>UPR2</v>
          </cell>
        </row>
        <row r="806">
          <cell r="A806" t="str">
            <v>Deep Station</v>
          </cell>
        </row>
        <row r="807">
          <cell r="A807" t="str">
            <v>Deep Station</v>
          </cell>
        </row>
        <row r="808">
          <cell r="A808" t="str">
            <v>Blue Joe Creek Downstream</v>
          </cell>
        </row>
        <row r="809">
          <cell r="A809" t="str">
            <v>Blue Joe Creek Upstream</v>
          </cell>
        </row>
        <row r="810">
          <cell r="A810" t="str">
            <v>001 - Downstream (BL#1)</v>
          </cell>
        </row>
        <row r="811">
          <cell r="A811" t="str">
            <v>002 - Downstream (BL#2)</v>
          </cell>
        </row>
        <row r="812">
          <cell r="A812" t="str">
            <v>003 - Downstream (BL#3)</v>
          </cell>
        </row>
        <row r="813">
          <cell r="A813" t="str">
            <v>Outfall 002</v>
          </cell>
        </row>
        <row r="814">
          <cell r="A814" t="str">
            <v>Outfall 003</v>
          </cell>
        </row>
        <row r="815">
          <cell r="A815" t="str">
            <v>DEQAB756</v>
          </cell>
        </row>
        <row r="816">
          <cell r="A816" t="str">
            <v>DEQAB757</v>
          </cell>
        </row>
        <row r="817">
          <cell r="A817" t="str">
            <v>DEQAB758</v>
          </cell>
        </row>
        <row r="818">
          <cell r="A818" t="str">
            <v>DEQAB759</v>
          </cell>
        </row>
        <row r="819">
          <cell r="A819" t="str">
            <v>DEQAB760</v>
          </cell>
        </row>
        <row r="820">
          <cell r="A820" t="str">
            <v>Backwash</v>
          </cell>
        </row>
        <row r="821">
          <cell r="A821" t="str">
            <v>Pend Oreille River</v>
          </cell>
        </row>
        <row r="822">
          <cell r="A822" t="str">
            <v>01-08-2021</v>
          </cell>
        </row>
        <row r="823">
          <cell r="A823" t="str">
            <v>01-12-2021</v>
          </cell>
        </row>
        <row r="824">
          <cell r="A824" t="str">
            <v>Blank</v>
          </cell>
        </row>
        <row r="825">
          <cell r="A825" t="str">
            <v>Bpond</v>
          </cell>
        </row>
        <row r="826">
          <cell r="A826" t="str">
            <v>EFR</v>
          </cell>
        </row>
        <row r="827">
          <cell r="A827" t="str">
            <v>Ore</v>
          </cell>
        </row>
        <row r="828">
          <cell r="A828" t="str">
            <v>PC1</v>
          </cell>
        </row>
        <row r="829">
          <cell r="A829" t="str">
            <v>PC2</v>
          </cell>
        </row>
        <row r="830">
          <cell r="A830" t="str">
            <v>Reed</v>
          </cell>
        </row>
        <row r="831">
          <cell r="A831" t="str">
            <v>605 St Maries River</v>
          </cell>
        </row>
        <row r="832">
          <cell r="A832" t="str">
            <v>606 SF Coeur dAlene River</v>
          </cell>
        </row>
        <row r="833">
          <cell r="A833" t="str">
            <v>609 SF Coeur dAlene River</v>
          </cell>
        </row>
        <row r="834">
          <cell r="A834" t="str">
            <v>610 NF Coeur dAlene River</v>
          </cell>
        </row>
        <row r="835">
          <cell r="A835" t="str">
            <v>611 St Joe River</v>
          </cell>
        </row>
        <row r="836">
          <cell r="A836" t="str">
            <v>614 St Maries River</v>
          </cell>
        </row>
        <row r="837">
          <cell r="A837" t="str">
            <v>615 NF Coeur dAlene River</v>
          </cell>
        </row>
        <row r="838">
          <cell r="A838" t="str">
            <v>Lion Creek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/>
  </sheetViews>
  <sheetFormatPr baseColWidth="10" defaultColWidth="11.1640625" defaultRowHeight="15" customHeight="1" x14ac:dyDescent="0.2"/>
  <cols>
    <col min="1" max="1" width="25.5" customWidth="1"/>
    <col min="2" max="2" width="12.6640625" customWidth="1"/>
    <col min="3" max="26" width="10.5" customWidth="1"/>
  </cols>
  <sheetData>
    <row r="1" spans="1:5" ht="15.75" customHeight="1" x14ac:dyDescent="0.2">
      <c r="A1" s="1" t="s">
        <v>0</v>
      </c>
      <c r="B1" s="2" t="s">
        <v>1</v>
      </c>
      <c r="C1" s="2" t="s">
        <v>2</v>
      </c>
      <c r="D1" s="256" t="s">
        <v>3</v>
      </c>
      <c r="E1" s="257"/>
    </row>
    <row r="2" spans="1:5" ht="15.75" customHeight="1" x14ac:dyDescent="0.2">
      <c r="B2" s="2"/>
      <c r="C2" s="2"/>
      <c r="D2" s="1" t="s">
        <v>4</v>
      </c>
      <c r="E2" s="1" t="s">
        <v>5</v>
      </c>
    </row>
    <row r="3" spans="1:5" ht="15.75" customHeight="1" x14ac:dyDescent="0.2">
      <c r="A3" s="1" t="s">
        <v>6</v>
      </c>
      <c r="B3" s="1" t="s">
        <v>7</v>
      </c>
      <c r="C3" s="1">
        <v>88</v>
      </c>
    </row>
    <row r="4" spans="1:5" ht="15.75" customHeight="1" x14ac:dyDescent="0.2">
      <c r="A4" s="1" t="s">
        <v>8</v>
      </c>
      <c r="B4" s="1" t="s">
        <v>9</v>
      </c>
      <c r="C4" s="1">
        <v>45</v>
      </c>
    </row>
    <row r="5" spans="1:5" ht="15.75" customHeight="1" x14ac:dyDescent="0.2">
      <c r="A5" s="1" t="s">
        <v>10</v>
      </c>
      <c r="B5" s="1" t="s">
        <v>11</v>
      </c>
      <c r="C5" s="1">
        <v>30</v>
      </c>
    </row>
    <row r="6" spans="1:5" ht="15.75" customHeight="1" x14ac:dyDescent="0.2">
      <c r="A6" s="1" t="s">
        <v>12</v>
      </c>
      <c r="B6" s="1" t="s">
        <v>13</v>
      </c>
      <c r="C6" s="1">
        <v>30</v>
      </c>
    </row>
    <row r="7" spans="1:5" ht="15.75" customHeight="1" x14ac:dyDescent="0.2">
      <c r="A7" s="1" t="s">
        <v>14</v>
      </c>
      <c r="B7" s="1" t="s">
        <v>15</v>
      </c>
      <c r="C7" s="1">
        <v>36</v>
      </c>
    </row>
    <row r="8" spans="1:5" ht="15.75" customHeight="1" x14ac:dyDescent="0.2">
      <c r="A8" s="1" t="s">
        <v>16</v>
      </c>
      <c r="B8" s="1" t="s">
        <v>17</v>
      </c>
      <c r="C8" s="1">
        <v>12</v>
      </c>
    </row>
    <row r="9" spans="1:5" ht="15.75" customHeight="1" x14ac:dyDescent="0.2">
      <c r="A9" s="1" t="s">
        <v>18</v>
      </c>
      <c r="B9" s="1" t="s">
        <v>19</v>
      </c>
      <c r="C9" s="1">
        <v>11</v>
      </c>
    </row>
    <row r="10" spans="1:5" ht="15.75" customHeight="1" x14ac:dyDescent="0.2">
      <c r="A10" s="1" t="s">
        <v>20</v>
      </c>
      <c r="B10" s="1" t="s">
        <v>21</v>
      </c>
      <c r="C10" s="1">
        <v>8</v>
      </c>
    </row>
    <row r="11" spans="1:5" ht="15.75" customHeight="1" x14ac:dyDescent="0.2">
      <c r="A11" s="1" t="s">
        <v>22</v>
      </c>
      <c r="B11" s="1" t="s">
        <v>23</v>
      </c>
      <c r="C11" s="1">
        <v>10</v>
      </c>
    </row>
    <row r="12" spans="1:5" ht="15.75" customHeight="1" x14ac:dyDescent="0.2">
      <c r="A12" s="1" t="s">
        <v>24</v>
      </c>
      <c r="B12" s="1" t="s">
        <v>25</v>
      </c>
      <c r="C12" s="1">
        <v>15</v>
      </c>
    </row>
    <row r="13" spans="1:5" ht="15.75" customHeight="1" x14ac:dyDescent="0.2">
      <c r="A13" s="1" t="s">
        <v>26</v>
      </c>
      <c r="B13" s="1" t="s">
        <v>27</v>
      </c>
      <c r="C13" s="1">
        <v>10</v>
      </c>
    </row>
    <row r="14" spans="1:5" ht="15.75" customHeight="1" x14ac:dyDescent="0.2">
      <c r="A14" s="1" t="s">
        <v>28</v>
      </c>
      <c r="B14" s="1" t="s">
        <v>29</v>
      </c>
      <c r="C14" s="1">
        <v>11</v>
      </c>
    </row>
    <row r="15" spans="1:5" ht="15.75" customHeight="1" x14ac:dyDescent="0.2">
      <c r="A15" s="1" t="s">
        <v>30</v>
      </c>
      <c r="B15" s="1" t="s">
        <v>31</v>
      </c>
      <c r="C15" s="1">
        <v>2</v>
      </c>
    </row>
    <row r="16" spans="1:5" ht="15.75" customHeight="1" x14ac:dyDescent="0.2">
      <c r="A16" s="1" t="s">
        <v>32</v>
      </c>
      <c r="B16" s="1" t="s">
        <v>33</v>
      </c>
      <c r="C16" s="1">
        <v>10</v>
      </c>
    </row>
    <row r="17" spans="1:3" ht="15.75" customHeight="1" x14ac:dyDescent="0.2">
      <c r="A17" s="1" t="s">
        <v>34</v>
      </c>
      <c r="B17" s="1" t="s">
        <v>35</v>
      </c>
      <c r="C17" s="1">
        <v>11</v>
      </c>
    </row>
    <row r="18" spans="1:3" ht="15.75" customHeight="1" x14ac:dyDescent="0.2">
      <c r="A18" s="1" t="s">
        <v>36</v>
      </c>
      <c r="B18" s="1" t="s">
        <v>37</v>
      </c>
      <c r="C18" s="1">
        <v>10</v>
      </c>
    </row>
    <row r="19" spans="1:3" ht="15.75" customHeight="1" x14ac:dyDescent="0.2">
      <c r="A19" s="1" t="s">
        <v>38</v>
      </c>
      <c r="B19" s="1" t="s">
        <v>39</v>
      </c>
    </row>
    <row r="20" spans="1:3" ht="15.75" customHeight="1" x14ac:dyDescent="0.2"/>
    <row r="21" spans="1:3" ht="15.75" customHeight="1" x14ac:dyDescent="0.2"/>
    <row r="22" spans="1:3" ht="15.75" customHeight="1" x14ac:dyDescent="0.2"/>
    <row r="23" spans="1:3" ht="15.75" customHeight="1" x14ac:dyDescent="0.2">
      <c r="A23" s="1" t="s">
        <v>40</v>
      </c>
    </row>
    <row r="24" spans="1:3" ht="15.75" customHeight="1" x14ac:dyDescent="0.2">
      <c r="A24" s="1" t="s">
        <v>41</v>
      </c>
    </row>
    <row r="25" spans="1:3" ht="15.75" customHeight="1" x14ac:dyDescent="0.2">
      <c r="A25" s="1" t="s">
        <v>42</v>
      </c>
    </row>
    <row r="26" spans="1:3" ht="15.75" customHeight="1" x14ac:dyDescent="0.2">
      <c r="A26" s="1" t="s">
        <v>43</v>
      </c>
    </row>
    <row r="27" spans="1:3" ht="15.75" customHeight="1" x14ac:dyDescent="0.2">
      <c r="A27" s="1" t="s">
        <v>44</v>
      </c>
    </row>
    <row r="28" spans="1:3" ht="15.75" customHeight="1" x14ac:dyDescent="0.2">
      <c r="A28" s="1" t="s">
        <v>45</v>
      </c>
    </row>
    <row r="29" spans="1:3" ht="15.75" customHeight="1" x14ac:dyDescent="0.2">
      <c r="A29" s="1" t="s">
        <v>46</v>
      </c>
    </row>
    <row r="30" spans="1:3" ht="15.75" customHeight="1" x14ac:dyDescent="0.2">
      <c r="A30" s="1" t="s">
        <v>47</v>
      </c>
    </row>
    <row r="31" spans="1:3" ht="15.75" customHeight="1" x14ac:dyDescent="0.2">
      <c r="A31" s="1" t="s">
        <v>48</v>
      </c>
    </row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D1:E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101"/>
  <sheetViews>
    <sheetView topLeftCell="C1" workbookViewId="0">
      <pane ySplit="1" topLeftCell="A177" activePane="bottomLeft" state="frozen"/>
      <selection pane="bottomLeft" activeCell="L177" sqref="L177"/>
    </sheetView>
  </sheetViews>
  <sheetFormatPr baseColWidth="10" defaultColWidth="11.1640625" defaultRowHeight="15" customHeight="1" x14ac:dyDescent="0.2"/>
  <cols>
    <col min="1" max="24" width="10.5" customWidth="1"/>
  </cols>
  <sheetData>
    <row r="1" spans="1:24" ht="33.75" customHeight="1" x14ac:dyDescent="0.2">
      <c r="A1" s="3"/>
      <c r="B1" s="3" t="s">
        <v>49</v>
      </c>
      <c r="C1" s="3" t="s">
        <v>50</v>
      </c>
      <c r="D1" s="3" t="s">
        <v>51</v>
      </c>
      <c r="E1" s="3" t="s">
        <v>52</v>
      </c>
      <c r="F1" s="2" t="s">
        <v>53</v>
      </c>
      <c r="G1" s="3" t="s">
        <v>54</v>
      </c>
      <c r="H1" s="2" t="s">
        <v>55</v>
      </c>
      <c r="I1" s="2" t="s">
        <v>56</v>
      </c>
      <c r="J1" s="2" t="s">
        <v>57</v>
      </c>
      <c r="K1" s="2" t="s">
        <v>58</v>
      </c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.75" customHeight="1" x14ac:dyDescent="0.2">
      <c r="A2" s="4"/>
      <c r="B2" s="4" t="s">
        <v>17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4" ht="15.75" customHeight="1" x14ac:dyDescent="0.2">
      <c r="A3" s="4"/>
      <c r="B3" s="4" t="s">
        <v>59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24" ht="15.75" customHeight="1" x14ac:dyDescent="0.2">
      <c r="A4" s="4" t="s">
        <v>60</v>
      </c>
      <c r="B4" s="4" t="s">
        <v>61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24" ht="15.75" customHeight="1" x14ac:dyDescent="0.2">
      <c r="A5" s="4"/>
      <c r="B5" s="5" t="s">
        <v>62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24" ht="15.75" customHeight="1" x14ac:dyDescent="0.2">
      <c r="A6" s="4"/>
      <c r="B6" s="5"/>
      <c r="C6" s="6">
        <v>45463</v>
      </c>
      <c r="D6" s="8">
        <v>0.55208333333333337</v>
      </c>
      <c r="E6" s="4"/>
      <c r="F6" s="4"/>
      <c r="G6" s="4"/>
      <c r="H6" s="4"/>
      <c r="I6" s="4"/>
      <c r="J6" s="4">
        <v>6.5</v>
      </c>
      <c r="K6" s="4">
        <v>7.5</v>
      </c>
      <c r="L6" s="4"/>
      <c r="M6" s="4"/>
    </row>
    <row r="7" spans="1:24" ht="15.75" customHeight="1" x14ac:dyDescent="0.2">
      <c r="A7" s="4"/>
      <c r="B7" s="5"/>
      <c r="C7" s="6">
        <v>45463</v>
      </c>
      <c r="D7" s="8">
        <v>0.5625</v>
      </c>
      <c r="E7" s="4">
        <v>0.1</v>
      </c>
      <c r="F7" s="4">
        <v>10.23</v>
      </c>
      <c r="G7" s="4">
        <v>106.7</v>
      </c>
      <c r="H7" s="4">
        <v>16.8</v>
      </c>
      <c r="I7" s="4"/>
      <c r="J7" s="4"/>
      <c r="K7" s="4"/>
      <c r="L7" s="4"/>
      <c r="M7" s="4"/>
    </row>
    <row r="8" spans="1:24" ht="15.75" customHeight="1" x14ac:dyDescent="0.2">
      <c r="A8" s="4"/>
      <c r="B8" s="5"/>
      <c r="C8" s="6">
        <v>45463</v>
      </c>
      <c r="D8" s="8">
        <v>0.5625</v>
      </c>
      <c r="E8" s="4">
        <v>1</v>
      </c>
      <c r="F8" s="4">
        <v>10.46</v>
      </c>
      <c r="G8" s="4">
        <v>106.9</v>
      </c>
      <c r="H8" s="4">
        <v>16.399999999999999</v>
      </c>
      <c r="I8" s="4"/>
      <c r="J8" s="4"/>
      <c r="K8" s="4"/>
      <c r="L8" s="4"/>
      <c r="M8" s="4"/>
    </row>
    <row r="9" spans="1:24" ht="15.75" customHeight="1" x14ac:dyDescent="0.2">
      <c r="A9" s="4"/>
      <c r="B9" s="5"/>
      <c r="C9" s="6">
        <v>45463</v>
      </c>
      <c r="D9" s="8">
        <v>0.5625</v>
      </c>
      <c r="E9" s="4">
        <v>2</v>
      </c>
      <c r="F9" s="4">
        <v>10.48</v>
      </c>
      <c r="G9" s="4">
        <v>106.4</v>
      </c>
      <c r="H9" s="4">
        <v>15.9</v>
      </c>
      <c r="I9" s="4"/>
      <c r="J9" s="4"/>
      <c r="K9" s="4"/>
      <c r="L9" s="4"/>
      <c r="M9" s="4"/>
    </row>
    <row r="10" spans="1:24" ht="15.75" customHeight="1" x14ac:dyDescent="0.2">
      <c r="A10" s="4"/>
      <c r="B10" s="5"/>
      <c r="C10" s="6">
        <v>45463</v>
      </c>
      <c r="D10" s="8">
        <v>0.5625</v>
      </c>
      <c r="E10" s="4">
        <v>3</v>
      </c>
      <c r="F10" s="4">
        <v>10.47</v>
      </c>
      <c r="G10" s="4">
        <v>104.8</v>
      </c>
      <c r="H10" s="4">
        <v>15.4</v>
      </c>
      <c r="I10" s="4"/>
      <c r="J10" s="4"/>
      <c r="K10" s="4"/>
      <c r="L10" s="4"/>
      <c r="M10" s="4"/>
    </row>
    <row r="11" spans="1:24" ht="15.75" customHeight="1" x14ac:dyDescent="0.2">
      <c r="A11" s="4"/>
      <c r="B11" s="5"/>
      <c r="C11" s="6">
        <v>45463</v>
      </c>
      <c r="D11" s="8">
        <v>0.5625</v>
      </c>
      <c r="E11" s="4">
        <v>4</v>
      </c>
      <c r="F11" s="4">
        <v>10.47</v>
      </c>
      <c r="G11" s="4">
        <v>103.8</v>
      </c>
      <c r="H11" s="4">
        <v>15</v>
      </c>
      <c r="I11" s="4"/>
      <c r="J11" s="4"/>
      <c r="K11" s="4"/>
      <c r="L11" s="4"/>
      <c r="M11" s="4"/>
    </row>
    <row r="12" spans="1:24" ht="15.75" customHeight="1" x14ac:dyDescent="0.2">
      <c r="A12" s="4"/>
      <c r="B12" s="5"/>
      <c r="C12" s="6">
        <v>45463</v>
      </c>
      <c r="D12" s="8">
        <v>0.5625</v>
      </c>
      <c r="E12" s="4">
        <v>5</v>
      </c>
      <c r="F12" s="4">
        <v>10.59</v>
      </c>
      <c r="G12" s="4">
        <v>103.8</v>
      </c>
      <c r="H12" s="4">
        <v>14.5</v>
      </c>
      <c r="I12" s="4"/>
      <c r="J12" s="4"/>
      <c r="K12" s="4"/>
      <c r="L12" s="4"/>
      <c r="M12" s="4"/>
    </row>
    <row r="13" spans="1:24" ht="15.75" customHeight="1" x14ac:dyDescent="0.2">
      <c r="A13" s="4"/>
      <c r="B13" s="5"/>
      <c r="C13" s="6">
        <v>45463</v>
      </c>
      <c r="D13" s="8">
        <v>0.5625</v>
      </c>
      <c r="E13" s="4">
        <v>6</v>
      </c>
      <c r="F13" s="4">
        <v>10.67</v>
      </c>
      <c r="G13" s="4">
        <v>104</v>
      </c>
      <c r="H13" s="4">
        <v>14.3</v>
      </c>
      <c r="I13" s="4"/>
      <c r="J13" s="4"/>
      <c r="K13" s="4"/>
      <c r="L13" s="4"/>
      <c r="M13" s="4"/>
    </row>
    <row r="14" spans="1:24" ht="15.75" customHeight="1" x14ac:dyDescent="0.2">
      <c r="A14" s="4"/>
      <c r="B14" s="5"/>
      <c r="C14" s="6">
        <v>45463</v>
      </c>
      <c r="D14" s="8">
        <v>0.5625</v>
      </c>
      <c r="E14" s="4">
        <v>7</v>
      </c>
      <c r="F14" s="4">
        <v>10.68</v>
      </c>
      <c r="G14" s="4">
        <v>104.4</v>
      </c>
      <c r="H14" s="4">
        <v>13.9</v>
      </c>
      <c r="I14" s="4"/>
      <c r="J14" s="4"/>
      <c r="K14" s="4"/>
      <c r="L14" s="4"/>
      <c r="M14" s="4"/>
    </row>
    <row r="15" spans="1:24" ht="15.75" customHeight="1" x14ac:dyDescent="0.2">
      <c r="A15" s="4"/>
      <c r="B15" s="5"/>
      <c r="C15" s="6">
        <v>45463</v>
      </c>
      <c r="D15" s="8">
        <v>0.5625</v>
      </c>
      <c r="E15" s="4">
        <v>8</v>
      </c>
      <c r="F15" s="4">
        <v>10.66</v>
      </c>
      <c r="G15" s="4">
        <v>102</v>
      </c>
      <c r="H15" s="4">
        <v>13.8</v>
      </c>
      <c r="I15" s="4"/>
      <c r="J15" s="4"/>
      <c r="K15" s="4"/>
      <c r="L15" s="4"/>
      <c r="M15" s="4"/>
    </row>
    <row r="16" spans="1:24" ht="15.75" customHeight="1" x14ac:dyDescent="0.2">
      <c r="A16" s="4"/>
      <c r="B16" s="5"/>
      <c r="C16" s="6">
        <v>45463</v>
      </c>
      <c r="D16" s="8">
        <v>0.5625</v>
      </c>
      <c r="E16" s="4">
        <v>9</v>
      </c>
      <c r="F16" s="4">
        <v>10.57</v>
      </c>
      <c r="G16" s="4">
        <v>102</v>
      </c>
      <c r="H16" s="4">
        <v>13</v>
      </c>
      <c r="I16" s="4"/>
      <c r="J16" s="4"/>
      <c r="K16" s="4"/>
      <c r="L16" s="4"/>
      <c r="M16" s="4"/>
    </row>
    <row r="17" spans="1:13" ht="15.75" customHeight="1" x14ac:dyDescent="0.2">
      <c r="A17" s="4"/>
      <c r="B17" s="5"/>
      <c r="C17" s="6">
        <v>45463</v>
      </c>
      <c r="D17" s="8">
        <v>0.5625</v>
      </c>
      <c r="E17" s="4">
        <v>10</v>
      </c>
      <c r="F17" s="4">
        <v>10.94</v>
      </c>
      <c r="G17" s="4">
        <v>99.2</v>
      </c>
      <c r="H17" s="4">
        <v>10.8</v>
      </c>
      <c r="I17" s="4"/>
      <c r="J17" s="4"/>
      <c r="K17" s="4"/>
      <c r="L17" s="4"/>
      <c r="M17" s="4"/>
    </row>
    <row r="18" spans="1:13" ht="15.75" customHeight="1" x14ac:dyDescent="0.2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ht="15.75" customHeight="1" x14ac:dyDescent="0.2">
      <c r="A19" s="4"/>
      <c r="B19" s="5"/>
      <c r="C19" s="6">
        <v>45496</v>
      </c>
      <c r="D19" s="8">
        <v>0.4513888888888889</v>
      </c>
      <c r="E19" s="4"/>
      <c r="F19" s="4"/>
      <c r="G19" s="4"/>
      <c r="H19" s="4"/>
      <c r="I19" s="4"/>
      <c r="J19" s="4">
        <v>8</v>
      </c>
      <c r="K19" s="4">
        <v>10.5</v>
      </c>
      <c r="L19" s="4"/>
      <c r="M19" s="4"/>
    </row>
    <row r="20" spans="1:13" ht="15.75" customHeight="1" x14ac:dyDescent="0.2">
      <c r="A20" s="4"/>
      <c r="B20" s="5"/>
      <c r="C20" s="6">
        <v>45496</v>
      </c>
      <c r="D20" s="8">
        <v>0.46180555555555558</v>
      </c>
      <c r="E20" s="4">
        <v>0.1</v>
      </c>
      <c r="F20" s="4">
        <v>8.7799999999999994</v>
      </c>
      <c r="G20" s="4">
        <v>105.1</v>
      </c>
      <c r="H20" s="4">
        <v>24.2</v>
      </c>
      <c r="I20" s="4"/>
      <c r="J20" s="4"/>
      <c r="K20" s="4"/>
      <c r="L20" s="4"/>
      <c r="M20" s="4"/>
    </row>
    <row r="21" spans="1:13" ht="15.75" customHeight="1" x14ac:dyDescent="0.2">
      <c r="A21" s="4"/>
      <c r="B21" s="5"/>
      <c r="C21" s="6">
        <v>45496</v>
      </c>
      <c r="D21" s="8">
        <v>0.46180555555555558</v>
      </c>
      <c r="E21" s="4">
        <v>1</v>
      </c>
      <c r="F21" s="4">
        <v>8.7100000000000009</v>
      </c>
      <c r="G21" s="4">
        <v>104.3</v>
      </c>
      <c r="H21" s="4">
        <v>24.3</v>
      </c>
      <c r="I21" s="4"/>
      <c r="J21" s="4"/>
      <c r="K21" s="4"/>
      <c r="L21" s="4"/>
      <c r="M21" s="4"/>
    </row>
    <row r="22" spans="1:13" ht="15.75" customHeight="1" x14ac:dyDescent="0.2">
      <c r="A22" s="4"/>
      <c r="B22" s="5"/>
      <c r="C22" s="6">
        <v>45496</v>
      </c>
      <c r="D22" s="8">
        <v>0.46180555555555558</v>
      </c>
      <c r="E22" s="4">
        <v>2</v>
      </c>
      <c r="F22" s="4">
        <v>8.69</v>
      </c>
      <c r="G22" s="4">
        <v>104</v>
      </c>
      <c r="H22" s="4">
        <v>24.4</v>
      </c>
      <c r="I22" s="4"/>
      <c r="J22" s="4"/>
      <c r="K22" s="4"/>
      <c r="L22" s="4"/>
      <c r="M22" s="4"/>
    </row>
    <row r="23" spans="1:13" ht="15.75" customHeight="1" x14ac:dyDescent="0.2">
      <c r="A23" s="4"/>
      <c r="B23" s="5"/>
      <c r="C23" s="6">
        <v>45496</v>
      </c>
      <c r="D23" s="8">
        <v>0.46180555555555558</v>
      </c>
      <c r="E23" s="4">
        <v>3</v>
      </c>
      <c r="F23" s="4">
        <v>8.68</v>
      </c>
      <c r="G23" s="4">
        <v>103.9</v>
      </c>
      <c r="H23" s="4">
        <v>24.4</v>
      </c>
      <c r="I23" s="4"/>
      <c r="J23" s="4"/>
      <c r="K23" s="4"/>
      <c r="L23" s="4"/>
      <c r="M23" s="4"/>
    </row>
    <row r="24" spans="1:13" ht="15.75" customHeight="1" x14ac:dyDescent="0.2">
      <c r="A24" s="4"/>
      <c r="B24" s="5"/>
      <c r="C24" s="6">
        <v>45496</v>
      </c>
      <c r="D24" s="8">
        <v>0.46180555555555558</v>
      </c>
      <c r="E24" s="4">
        <v>4</v>
      </c>
      <c r="F24" s="4">
        <v>8.66</v>
      </c>
      <c r="G24" s="4">
        <v>103.7</v>
      </c>
      <c r="H24" s="4">
        <v>24.4</v>
      </c>
      <c r="I24" s="4"/>
      <c r="J24" s="4"/>
      <c r="K24" s="4"/>
      <c r="L24" s="4"/>
      <c r="M24" s="4"/>
    </row>
    <row r="25" spans="1:13" ht="15.75" customHeight="1" x14ac:dyDescent="0.2">
      <c r="A25" s="4"/>
      <c r="B25" s="5"/>
      <c r="C25" s="6">
        <v>45496</v>
      </c>
      <c r="D25" s="8">
        <v>0.46180555555555558</v>
      </c>
      <c r="E25" s="4">
        <v>5</v>
      </c>
      <c r="F25" s="4">
        <v>8.66</v>
      </c>
      <c r="G25" s="4">
        <v>103.6</v>
      </c>
      <c r="H25" s="4">
        <v>24.4</v>
      </c>
      <c r="I25" s="4"/>
      <c r="J25" s="4"/>
      <c r="K25" s="4"/>
      <c r="L25" s="4"/>
      <c r="M25" s="4"/>
    </row>
    <row r="26" spans="1:13" ht="15.75" customHeight="1" x14ac:dyDescent="0.2">
      <c r="A26" s="4"/>
      <c r="B26" s="5"/>
      <c r="C26" s="6">
        <v>45496</v>
      </c>
      <c r="D26" s="8">
        <v>0.46180555555555558</v>
      </c>
      <c r="E26" s="4">
        <v>6</v>
      </c>
      <c r="F26" s="4">
        <v>8.69</v>
      </c>
      <c r="G26" s="4">
        <v>103.7</v>
      </c>
      <c r="H26" s="4">
        <v>24.3</v>
      </c>
      <c r="I26" s="4"/>
      <c r="J26" s="4"/>
      <c r="K26" s="4"/>
      <c r="L26" s="4"/>
      <c r="M26" s="4"/>
    </row>
    <row r="27" spans="1:13" ht="15.75" customHeight="1" x14ac:dyDescent="0.2">
      <c r="A27" s="4"/>
      <c r="B27" s="5"/>
      <c r="C27" s="6">
        <v>45496</v>
      </c>
      <c r="D27" s="8">
        <v>0.46180555555555558</v>
      </c>
      <c r="E27" s="4">
        <v>7</v>
      </c>
      <c r="F27" s="4">
        <v>9.6300000000000008</v>
      </c>
      <c r="G27" s="4">
        <v>109.8</v>
      </c>
      <c r="H27" s="4">
        <v>22.3</v>
      </c>
      <c r="I27" s="4"/>
      <c r="J27" s="4"/>
      <c r="K27" s="4"/>
      <c r="L27" s="4"/>
      <c r="M27" s="4"/>
    </row>
    <row r="28" spans="1:13" ht="15.75" customHeight="1" x14ac:dyDescent="0.2">
      <c r="A28" s="4"/>
      <c r="B28" s="5"/>
      <c r="C28" s="6">
        <v>45496</v>
      </c>
      <c r="D28" s="8">
        <v>0.46180555555555558</v>
      </c>
      <c r="E28" s="4">
        <v>8</v>
      </c>
      <c r="F28" s="4">
        <v>10.39</v>
      </c>
      <c r="G28" s="4">
        <v>112.4</v>
      </c>
      <c r="H28" s="4">
        <v>19.600000000000001</v>
      </c>
      <c r="I28" s="4"/>
      <c r="J28" s="4"/>
      <c r="K28" s="4"/>
      <c r="L28" s="4"/>
      <c r="M28" s="4"/>
    </row>
    <row r="29" spans="1:13" ht="15.75" customHeight="1" x14ac:dyDescent="0.2">
      <c r="A29" s="4"/>
      <c r="B29" s="5"/>
      <c r="C29" s="6">
        <v>45496</v>
      </c>
      <c r="D29" s="8">
        <v>0.46180555555555558</v>
      </c>
      <c r="E29" s="4">
        <v>9</v>
      </c>
      <c r="F29" s="4">
        <v>10.59</v>
      </c>
      <c r="G29" s="4">
        <v>112.5</v>
      </c>
      <c r="H29" s="4">
        <v>18.5</v>
      </c>
      <c r="I29" s="4"/>
      <c r="J29" s="4"/>
      <c r="K29" s="4"/>
      <c r="L29" s="4"/>
      <c r="M29" s="4"/>
    </row>
    <row r="30" spans="1:13" ht="15.75" customHeight="1" x14ac:dyDescent="0.2">
      <c r="A30" s="4"/>
      <c r="B30" s="5"/>
      <c r="C30" s="6">
        <v>45496</v>
      </c>
      <c r="D30" s="8">
        <v>0.46180555555555558</v>
      </c>
      <c r="E30" s="4">
        <v>10</v>
      </c>
      <c r="F30" s="4">
        <v>10.6</v>
      </c>
      <c r="G30" s="4">
        <v>110.4</v>
      </c>
      <c r="H30" s="4">
        <v>17.399999999999999</v>
      </c>
      <c r="I30" s="4"/>
      <c r="J30" s="4"/>
      <c r="K30" s="4"/>
      <c r="L30" s="4"/>
      <c r="M30" s="4"/>
    </row>
    <row r="31" spans="1:13" ht="15.75" customHeight="1" x14ac:dyDescent="0.2">
      <c r="A31" s="4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ht="15.75" customHeight="1" x14ac:dyDescent="0.2">
      <c r="A32" s="4"/>
      <c r="B32" s="5"/>
      <c r="C32" s="6">
        <v>45524</v>
      </c>
      <c r="D32" s="8">
        <v>0.39930555555555558</v>
      </c>
      <c r="E32" s="4"/>
      <c r="F32" s="4"/>
      <c r="G32" s="4"/>
      <c r="H32" s="4"/>
      <c r="I32" s="4"/>
      <c r="J32" s="4">
        <v>9</v>
      </c>
      <c r="K32" s="4">
        <v>10</v>
      </c>
      <c r="L32" s="4"/>
      <c r="M32" s="4"/>
    </row>
    <row r="33" spans="1:13" ht="15.75" customHeight="1" x14ac:dyDescent="0.2">
      <c r="A33" s="4"/>
      <c r="B33" s="5"/>
      <c r="C33" s="6">
        <v>45524</v>
      </c>
      <c r="D33" s="8">
        <v>0.40625</v>
      </c>
      <c r="E33" s="4">
        <v>0.1</v>
      </c>
      <c r="F33" s="4">
        <v>9.08</v>
      </c>
      <c r="G33" s="4">
        <v>103.6</v>
      </c>
      <c r="H33" s="4">
        <v>21.9</v>
      </c>
      <c r="I33" s="4"/>
      <c r="J33" s="4"/>
      <c r="K33" s="4"/>
      <c r="L33" s="4"/>
      <c r="M33" s="4"/>
    </row>
    <row r="34" spans="1:13" ht="15.75" customHeight="1" x14ac:dyDescent="0.2">
      <c r="A34" s="4"/>
      <c r="B34" s="5"/>
      <c r="C34" s="6">
        <v>45524</v>
      </c>
      <c r="D34" s="8">
        <v>0.40625</v>
      </c>
      <c r="E34" s="4">
        <v>1</v>
      </c>
      <c r="F34" s="4">
        <v>9.06</v>
      </c>
      <c r="G34" s="4">
        <v>103.5</v>
      </c>
      <c r="H34" s="4">
        <v>21.9</v>
      </c>
      <c r="I34" s="4"/>
      <c r="J34" s="4"/>
      <c r="K34" s="4"/>
      <c r="L34" s="4"/>
      <c r="M34" s="4"/>
    </row>
    <row r="35" spans="1:13" ht="15.75" customHeight="1" x14ac:dyDescent="0.2">
      <c r="A35" s="4"/>
      <c r="B35" s="5"/>
      <c r="C35" s="6">
        <v>45524</v>
      </c>
      <c r="D35" s="8">
        <v>0.40625</v>
      </c>
      <c r="E35" s="4">
        <v>2</v>
      </c>
      <c r="F35" s="4">
        <v>9.0299999999999994</v>
      </c>
      <c r="G35" s="4">
        <v>103.3</v>
      </c>
      <c r="H35" s="4">
        <v>22</v>
      </c>
      <c r="I35" s="4"/>
      <c r="J35" s="4"/>
      <c r="K35" s="4"/>
      <c r="L35" s="4"/>
      <c r="M35" s="4"/>
    </row>
    <row r="36" spans="1:13" ht="15.75" customHeight="1" x14ac:dyDescent="0.2">
      <c r="A36" s="4"/>
      <c r="B36" s="5"/>
      <c r="C36" s="6">
        <v>45524</v>
      </c>
      <c r="D36" s="8">
        <v>0.40625</v>
      </c>
      <c r="E36" s="4">
        <v>3</v>
      </c>
      <c r="F36" s="4">
        <v>9.01</v>
      </c>
      <c r="G36" s="4">
        <v>103.1</v>
      </c>
      <c r="H36" s="4">
        <v>22</v>
      </c>
      <c r="I36" s="4"/>
      <c r="J36" s="4"/>
      <c r="K36" s="4"/>
      <c r="L36" s="4"/>
      <c r="M36" s="4"/>
    </row>
    <row r="37" spans="1:13" ht="15.75" customHeight="1" x14ac:dyDescent="0.2">
      <c r="A37" s="4"/>
      <c r="B37" s="5"/>
      <c r="C37" s="6">
        <v>45524</v>
      </c>
      <c r="D37" s="8">
        <v>0.40625</v>
      </c>
      <c r="E37" s="4">
        <v>4</v>
      </c>
      <c r="F37" s="4">
        <v>9</v>
      </c>
      <c r="G37" s="4">
        <v>102.9</v>
      </c>
      <c r="H37" s="4">
        <v>22</v>
      </c>
      <c r="I37" s="4"/>
      <c r="J37" s="4"/>
      <c r="K37" s="4"/>
      <c r="L37" s="4"/>
      <c r="M37" s="4"/>
    </row>
    <row r="38" spans="1:13" ht="15.75" customHeight="1" x14ac:dyDescent="0.2">
      <c r="A38" s="4"/>
      <c r="B38" s="5"/>
      <c r="C38" s="6">
        <v>45524</v>
      </c>
      <c r="D38" s="8">
        <v>0.40625</v>
      </c>
      <c r="E38" s="4">
        <v>5</v>
      </c>
      <c r="F38" s="4">
        <v>8.98</v>
      </c>
      <c r="G38" s="4">
        <v>102.7</v>
      </c>
      <c r="H38" s="4">
        <v>22</v>
      </c>
      <c r="I38" s="4"/>
      <c r="J38" s="4"/>
      <c r="K38" s="4"/>
      <c r="L38" s="4"/>
      <c r="M38" s="4"/>
    </row>
    <row r="39" spans="1:13" ht="15.75" customHeight="1" x14ac:dyDescent="0.2">
      <c r="A39" s="4"/>
      <c r="B39" s="5"/>
      <c r="C39" s="6">
        <v>45524</v>
      </c>
      <c r="D39" s="8">
        <v>0.40625</v>
      </c>
      <c r="E39" s="4">
        <v>6</v>
      </c>
      <c r="F39" s="4">
        <v>8.98</v>
      </c>
      <c r="G39" s="4">
        <v>102.5</v>
      </c>
      <c r="H39" s="4">
        <v>21.9</v>
      </c>
      <c r="I39" s="4"/>
      <c r="J39" s="4"/>
      <c r="K39" s="4"/>
      <c r="L39" s="4"/>
      <c r="M39" s="4"/>
    </row>
    <row r="40" spans="1:13" ht="15.75" customHeight="1" x14ac:dyDescent="0.2">
      <c r="A40" s="4"/>
      <c r="B40" s="5"/>
      <c r="C40" s="6">
        <v>45524</v>
      </c>
      <c r="D40" s="8">
        <v>0.40625</v>
      </c>
      <c r="E40" s="4">
        <v>7</v>
      </c>
      <c r="F40" s="4">
        <v>8.9700000000000006</v>
      </c>
      <c r="G40" s="4">
        <v>102.3</v>
      </c>
      <c r="H40" s="4">
        <v>21.9</v>
      </c>
      <c r="I40" s="4"/>
      <c r="J40" s="4"/>
      <c r="K40" s="4"/>
      <c r="L40" s="4"/>
      <c r="M40" s="4"/>
    </row>
    <row r="41" spans="1:13" ht="15.75" customHeight="1" x14ac:dyDescent="0.2">
      <c r="A41" s="4"/>
      <c r="B41" s="5"/>
      <c r="C41" s="6">
        <v>45524</v>
      </c>
      <c r="D41" s="8">
        <v>0.40625</v>
      </c>
      <c r="E41" s="4">
        <v>8</v>
      </c>
      <c r="F41" s="4">
        <v>8.91</v>
      </c>
      <c r="G41" s="4">
        <v>101.7</v>
      </c>
      <c r="H41" s="4">
        <v>21.9</v>
      </c>
      <c r="I41" s="4"/>
      <c r="J41" s="4"/>
      <c r="K41" s="4"/>
      <c r="L41" s="4"/>
      <c r="M41" s="4"/>
    </row>
    <row r="42" spans="1:13" ht="15.75" customHeight="1" x14ac:dyDescent="0.2">
      <c r="A42" s="4"/>
      <c r="B42" s="5"/>
      <c r="C42" s="6">
        <v>45524</v>
      </c>
      <c r="D42" s="8">
        <v>0.40625</v>
      </c>
      <c r="E42" s="4">
        <v>9</v>
      </c>
      <c r="F42" s="4">
        <v>8.83</v>
      </c>
      <c r="G42" s="4">
        <v>99.8</v>
      </c>
      <c r="H42" s="4">
        <v>21.3</v>
      </c>
      <c r="I42" s="4"/>
      <c r="J42" s="4"/>
      <c r="K42" s="4"/>
      <c r="L42" s="4"/>
      <c r="M42" s="4"/>
    </row>
    <row r="43" spans="1:13" ht="15.75" customHeight="1" x14ac:dyDescent="0.2">
      <c r="A43" s="4"/>
      <c r="B43" s="5"/>
      <c r="C43" s="6">
        <v>45524</v>
      </c>
      <c r="D43" s="8">
        <v>0.40625</v>
      </c>
      <c r="E43" s="4">
        <v>10</v>
      </c>
      <c r="F43" s="4">
        <v>10.32</v>
      </c>
      <c r="G43" s="4">
        <v>106.8</v>
      </c>
      <c r="H43" s="4">
        <v>17</v>
      </c>
      <c r="I43" s="4"/>
      <c r="J43" s="4"/>
      <c r="K43" s="4"/>
      <c r="L43" s="4"/>
      <c r="M43" s="4"/>
    </row>
    <row r="44" spans="1:13" ht="15.75" customHeight="1" x14ac:dyDescent="0.2">
      <c r="A44" s="4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ht="15.75" customHeight="1" x14ac:dyDescent="0.2">
      <c r="A45" s="4"/>
      <c r="B45" s="5"/>
      <c r="C45" s="6">
        <v>45566</v>
      </c>
      <c r="D45" s="8">
        <v>0.52777777777777779</v>
      </c>
      <c r="E45" s="4"/>
      <c r="F45" s="4"/>
      <c r="G45" s="4"/>
      <c r="H45" s="4"/>
      <c r="I45" s="4"/>
      <c r="J45" s="4">
        <v>7.5</v>
      </c>
      <c r="K45" s="4">
        <v>9.5</v>
      </c>
      <c r="L45" s="4"/>
      <c r="M45" s="4"/>
    </row>
    <row r="46" spans="1:13" ht="15.75" customHeight="1" x14ac:dyDescent="0.2">
      <c r="A46" s="4"/>
      <c r="B46" s="5"/>
      <c r="C46" s="6">
        <v>45566</v>
      </c>
      <c r="D46" s="8">
        <v>0.52777777777777779</v>
      </c>
      <c r="E46" s="4">
        <v>0.1</v>
      </c>
      <c r="F46" s="4">
        <v>9.56</v>
      </c>
      <c r="G46" s="4">
        <v>99.5</v>
      </c>
      <c r="H46" s="4">
        <v>17.3</v>
      </c>
      <c r="I46" s="4"/>
      <c r="J46" s="4"/>
      <c r="K46" s="4"/>
      <c r="L46" s="4"/>
      <c r="M46" s="4"/>
    </row>
    <row r="47" spans="1:13" ht="15.75" customHeight="1" x14ac:dyDescent="0.2">
      <c r="A47" s="4"/>
      <c r="B47" s="5"/>
      <c r="C47" s="6">
        <v>45566</v>
      </c>
      <c r="D47" s="8">
        <v>0.52777777777777779</v>
      </c>
      <c r="E47" s="4">
        <v>1</v>
      </c>
      <c r="F47" s="4">
        <v>9.5500000000000007</v>
      </c>
      <c r="G47" s="4">
        <v>99.4</v>
      </c>
      <c r="H47" s="4">
        <v>17.3</v>
      </c>
      <c r="I47" s="4"/>
      <c r="J47" s="4"/>
      <c r="K47" s="4"/>
      <c r="L47" s="4"/>
      <c r="M47" s="4"/>
    </row>
    <row r="48" spans="1:13" ht="15.75" customHeight="1" x14ac:dyDescent="0.2">
      <c r="A48" s="4"/>
      <c r="B48" s="5"/>
      <c r="C48" s="6">
        <v>45566</v>
      </c>
      <c r="D48" s="8">
        <v>0.52777777777777779</v>
      </c>
      <c r="E48" s="4">
        <v>2</v>
      </c>
      <c r="F48" s="4">
        <v>9.52</v>
      </c>
      <c r="G48" s="4">
        <v>99.1</v>
      </c>
      <c r="H48" s="4">
        <v>17.3</v>
      </c>
      <c r="I48" s="4"/>
      <c r="J48" s="4"/>
      <c r="K48" s="4"/>
      <c r="L48" s="4"/>
      <c r="M48" s="4"/>
    </row>
    <row r="49" spans="1:13" ht="15.75" customHeight="1" x14ac:dyDescent="0.2">
      <c r="A49" s="4"/>
      <c r="B49" s="5"/>
      <c r="C49" s="6">
        <v>45566</v>
      </c>
      <c r="D49" s="8">
        <v>0.52777777777777779</v>
      </c>
      <c r="E49" s="4">
        <v>3</v>
      </c>
      <c r="F49" s="4">
        <v>9.51</v>
      </c>
      <c r="G49" s="4">
        <v>99</v>
      </c>
      <c r="H49" s="4">
        <v>17.3</v>
      </c>
      <c r="I49" s="4"/>
      <c r="J49" s="4"/>
      <c r="K49" s="4"/>
      <c r="L49" s="4"/>
      <c r="M49" s="4"/>
    </row>
    <row r="50" spans="1:13" ht="15.75" customHeight="1" x14ac:dyDescent="0.2">
      <c r="A50" s="4"/>
      <c r="B50" s="5"/>
      <c r="C50" s="6">
        <v>45566</v>
      </c>
      <c r="D50" s="8">
        <v>0.52777777777777779</v>
      </c>
      <c r="E50" s="4">
        <v>4</v>
      </c>
      <c r="F50" s="4">
        <v>9.48</v>
      </c>
      <c r="G50" s="4">
        <v>98.7</v>
      </c>
      <c r="H50" s="4">
        <v>17.3</v>
      </c>
      <c r="I50" s="4"/>
      <c r="J50" s="4"/>
      <c r="K50" s="4"/>
      <c r="L50" s="4"/>
      <c r="M50" s="4"/>
    </row>
    <row r="51" spans="1:13" ht="15.75" customHeight="1" x14ac:dyDescent="0.2">
      <c r="A51" s="4"/>
      <c r="B51" s="5"/>
      <c r="C51" s="6">
        <v>45566</v>
      </c>
      <c r="D51" s="8">
        <v>0.52777777777777779</v>
      </c>
      <c r="E51" s="4">
        <v>5</v>
      </c>
      <c r="F51" s="4">
        <v>9.48</v>
      </c>
      <c r="G51" s="4">
        <v>98.5</v>
      </c>
      <c r="H51" s="4">
        <v>17.2</v>
      </c>
      <c r="I51" s="4"/>
      <c r="J51" s="4"/>
      <c r="K51" s="4"/>
      <c r="L51" s="4"/>
      <c r="M51" s="4"/>
    </row>
    <row r="52" spans="1:13" ht="15.75" customHeight="1" x14ac:dyDescent="0.2">
      <c r="A52" s="4"/>
      <c r="B52" s="5"/>
      <c r="C52" s="6">
        <v>45566</v>
      </c>
      <c r="D52" s="8">
        <v>0.52777777777777779</v>
      </c>
      <c r="E52" s="4">
        <v>6</v>
      </c>
      <c r="F52" s="4">
        <v>9.4700000000000006</v>
      </c>
      <c r="G52" s="4">
        <v>98.3</v>
      </c>
      <c r="H52" s="4">
        <v>17.2</v>
      </c>
      <c r="I52" s="4"/>
      <c r="J52" s="4"/>
      <c r="K52" s="4"/>
      <c r="L52" s="4"/>
      <c r="M52" s="4"/>
    </row>
    <row r="53" spans="1:13" ht="15.75" customHeight="1" x14ac:dyDescent="0.2">
      <c r="A53" s="4"/>
      <c r="B53" s="5"/>
      <c r="C53" s="6">
        <v>45566</v>
      </c>
      <c r="D53" s="8">
        <v>0.52777777777777779</v>
      </c>
      <c r="E53" s="4">
        <v>7</v>
      </c>
      <c r="F53" s="4">
        <v>9.4499999999999993</v>
      </c>
      <c r="G53" s="4">
        <v>98.2</v>
      </c>
      <c r="H53" s="4">
        <v>17.2</v>
      </c>
      <c r="I53" s="4"/>
      <c r="J53" s="4"/>
      <c r="K53" s="4"/>
      <c r="L53" s="4"/>
      <c r="M53" s="4"/>
    </row>
    <row r="54" spans="1:13" ht="15.75" customHeight="1" x14ac:dyDescent="0.2">
      <c r="A54" s="4"/>
      <c r="B54" s="5"/>
      <c r="C54" s="6">
        <v>45566</v>
      </c>
      <c r="D54" s="8">
        <v>0.52777777777777779</v>
      </c>
      <c r="E54" s="4">
        <v>8</v>
      </c>
      <c r="F54" s="4">
        <v>9.42</v>
      </c>
      <c r="G54" s="4">
        <v>97.9</v>
      </c>
      <c r="H54" s="4">
        <v>17.2</v>
      </c>
      <c r="I54" s="4"/>
      <c r="J54" s="4"/>
      <c r="K54" s="4"/>
      <c r="L54" s="4"/>
      <c r="M54" s="4"/>
    </row>
    <row r="55" spans="1:13" ht="15.75" customHeight="1" x14ac:dyDescent="0.2">
      <c r="A55" s="4"/>
      <c r="B55" s="5"/>
      <c r="C55" s="6">
        <v>45566</v>
      </c>
      <c r="D55" s="8">
        <v>0.52777777777777779</v>
      </c>
      <c r="E55" s="4">
        <v>9</v>
      </c>
      <c r="F55" s="4">
        <v>9.42</v>
      </c>
      <c r="G55" s="4">
        <v>97.9</v>
      </c>
      <c r="H55" s="4">
        <v>17.2</v>
      </c>
      <c r="I55" s="4"/>
      <c r="J55" s="4"/>
      <c r="K55" s="4"/>
      <c r="L55" s="4"/>
      <c r="M55" s="4"/>
    </row>
    <row r="56" spans="1:13" ht="15.75" customHeight="1" x14ac:dyDescent="0.2">
      <c r="A56" s="4"/>
      <c r="B56" s="5"/>
      <c r="C56" s="6">
        <v>45566</v>
      </c>
      <c r="D56" s="8">
        <v>0.52777777777777779</v>
      </c>
      <c r="E56" s="4">
        <v>10</v>
      </c>
      <c r="F56" s="4">
        <v>9.42</v>
      </c>
      <c r="G56" s="4">
        <v>97.9</v>
      </c>
      <c r="H56" s="4">
        <v>17.2</v>
      </c>
      <c r="I56" s="4"/>
      <c r="J56" s="4"/>
      <c r="K56" s="4"/>
      <c r="L56" s="4"/>
      <c r="M56" s="4"/>
    </row>
    <row r="57" spans="1:13" ht="15.75" customHeight="1" x14ac:dyDescent="0.2">
      <c r="A57" s="4"/>
      <c r="B57" s="5"/>
      <c r="C57" s="6">
        <v>45566</v>
      </c>
      <c r="D57" s="8">
        <v>0.52777777777777779</v>
      </c>
      <c r="E57" s="4">
        <v>11</v>
      </c>
      <c r="F57" s="4">
        <v>9.3800000000000008</v>
      </c>
      <c r="G57" s="4">
        <v>97.5</v>
      </c>
      <c r="H57" s="4">
        <v>17.2</v>
      </c>
      <c r="I57" s="4"/>
      <c r="J57" s="4"/>
      <c r="K57" s="4"/>
      <c r="L57" s="4"/>
      <c r="M57" s="4"/>
    </row>
    <row r="58" spans="1:13" ht="15.75" customHeight="1" x14ac:dyDescent="0.2">
      <c r="A58" s="4"/>
      <c r="B58" s="5"/>
      <c r="C58" s="6">
        <v>45566</v>
      </c>
      <c r="D58" s="8">
        <v>0.52777777777777779</v>
      </c>
      <c r="E58" s="4">
        <v>12</v>
      </c>
      <c r="F58" s="4">
        <v>9.35</v>
      </c>
      <c r="G58" s="4">
        <v>97</v>
      </c>
      <c r="H58" s="4">
        <v>17.2</v>
      </c>
      <c r="I58" s="4"/>
      <c r="J58" s="4"/>
      <c r="K58" s="4"/>
      <c r="L58" s="4"/>
      <c r="M58" s="4"/>
    </row>
    <row r="59" spans="1:13" ht="15.75" customHeight="1" x14ac:dyDescent="0.2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ht="15.75" customHeight="1" x14ac:dyDescent="0.2">
      <c r="A60" s="4"/>
      <c r="B60" s="5"/>
      <c r="C60" s="6">
        <v>44369</v>
      </c>
      <c r="D60" s="8">
        <v>0.46527777777777773</v>
      </c>
      <c r="E60" s="4"/>
      <c r="F60" s="4"/>
      <c r="G60" s="4"/>
      <c r="H60" s="4"/>
      <c r="I60" s="4"/>
      <c r="J60" s="4">
        <v>6.5</v>
      </c>
      <c r="K60" s="4">
        <v>7</v>
      </c>
      <c r="L60" s="4"/>
      <c r="M60" s="4"/>
    </row>
    <row r="61" spans="1:13" ht="15.75" customHeight="1" x14ac:dyDescent="0.2">
      <c r="A61" s="4"/>
      <c r="B61" s="5"/>
      <c r="C61" s="6">
        <v>44369</v>
      </c>
      <c r="D61" s="8">
        <v>0.46527777777777773</v>
      </c>
      <c r="E61" s="4">
        <v>0.1</v>
      </c>
      <c r="F61" s="4">
        <v>8.0500000000000007</v>
      </c>
      <c r="G61" s="4">
        <v>87.5</v>
      </c>
      <c r="H61" s="4">
        <v>19.3</v>
      </c>
      <c r="I61" s="4"/>
      <c r="J61" s="4"/>
      <c r="K61" s="4"/>
      <c r="L61" s="4"/>
      <c r="M61" s="4"/>
    </row>
    <row r="62" spans="1:13" ht="15.75" customHeight="1" x14ac:dyDescent="0.2">
      <c r="A62" s="4"/>
      <c r="B62" s="5"/>
      <c r="C62" s="6">
        <v>44369</v>
      </c>
      <c r="D62" s="8">
        <v>0.46527777777777773</v>
      </c>
      <c r="E62" s="4">
        <v>1</v>
      </c>
      <c r="F62" s="4">
        <v>8.17</v>
      </c>
      <c r="G62" s="4">
        <v>88</v>
      </c>
      <c r="H62" s="4">
        <v>19</v>
      </c>
      <c r="I62" s="4"/>
      <c r="J62" s="4"/>
      <c r="K62" s="4"/>
      <c r="L62" s="4"/>
      <c r="M62" s="4"/>
    </row>
    <row r="63" spans="1:13" ht="15.75" customHeight="1" x14ac:dyDescent="0.2">
      <c r="A63" s="4"/>
      <c r="B63" s="5"/>
      <c r="C63" s="6">
        <v>44369</v>
      </c>
      <c r="D63" s="8">
        <v>0.46527777777777773</v>
      </c>
      <c r="E63" s="4">
        <v>2</v>
      </c>
      <c r="F63" s="4">
        <v>8.17</v>
      </c>
      <c r="G63" s="4">
        <v>87.9</v>
      </c>
      <c r="H63" s="4">
        <v>18.899999999999999</v>
      </c>
      <c r="I63" s="4"/>
      <c r="J63" s="4"/>
      <c r="K63" s="4"/>
      <c r="L63" s="4"/>
      <c r="M63" s="4"/>
    </row>
    <row r="64" spans="1:13" ht="15.75" customHeight="1" x14ac:dyDescent="0.2">
      <c r="A64" s="4"/>
      <c r="B64" s="5"/>
      <c r="C64" s="6">
        <v>44369</v>
      </c>
      <c r="D64" s="8">
        <v>0.46527777777777773</v>
      </c>
      <c r="E64" s="4">
        <v>3</v>
      </c>
      <c r="F64" s="4">
        <v>8.19</v>
      </c>
      <c r="G64" s="4">
        <v>87.9</v>
      </c>
      <c r="H64" s="4">
        <v>18.7</v>
      </c>
      <c r="I64" s="4"/>
      <c r="J64" s="4"/>
      <c r="K64" s="4"/>
      <c r="L64" s="4"/>
      <c r="M64" s="4"/>
    </row>
    <row r="65" spans="1:13" ht="15.75" customHeight="1" x14ac:dyDescent="0.2">
      <c r="A65" s="4"/>
      <c r="B65" s="5"/>
      <c r="C65" s="6">
        <v>44369</v>
      </c>
      <c r="D65" s="8">
        <v>0.46527777777777773</v>
      </c>
      <c r="E65" s="4">
        <v>4</v>
      </c>
      <c r="F65" s="4">
        <v>8.25</v>
      </c>
      <c r="G65" s="4">
        <v>88.1</v>
      </c>
      <c r="H65" s="4">
        <v>18.5</v>
      </c>
      <c r="I65" s="4"/>
      <c r="J65" s="4"/>
      <c r="K65" s="4"/>
      <c r="L65" s="4"/>
      <c r="M65" s="4"/>
    </row>
    <row r="66" spans="1:13" ht="15.75" customHeight="1" x14ac:dyDescent="0.2">
      <c r="A66" s="4"/>
      <c r="B66" s="5"/>
      <c r="C66" s="6">
        <v>44369</v>
      </c>
      <c r="D66" s="8">
        <v>0.46527777777777773</v>
      </c>
      <c r="E66" s="4">
        <v>5</v>
      </c>
      <c r="F66" s="4">
        <v>8.26</v>
      </c>
      <c r="G66" s="4">
        <v>88</v>
      </c>
      <c r="H66" s="4">
        <v>18.399999999999999</v>
      </c>
      <c r="I66" s="4"/>
      <c r="J66" s="4"/>
      <c r="K66" s="4"/>
      <c r="L66" s="4"/>
      <c r="M66" s="4"/>
    </row>
    <row r="67" spans="1:13" ht="15.75" customHeight="1" x14ac:dyDescent="0.2">
      <c r="A67" s="4"/>
      <c r="B67" s="5"/>
      <c r="C67" s="6">
        <v>44369</v>
      </c>
      <c r="D67" s="8">
        <v>0.46527777777777773</v>
      </c>
      <c r="E67" s="4">
        <v>6</v>
      </c>
      <c r="F67" s="4">
        <v>8.3800000000000008</v>
      </c>
      <c r="G67" s="4">
        <v>88.5</v>
      </c>
      <c r="H67" s="4">
        <v>18</v>
      </c>
      <c r="I67" s="4"/>
      <c r="J67" s="4"/>
      <c r="K67" s="4"/>
      <c r="L67" s="4"/>
      <c r="M67" s="4"/>
    </row>
    <row r="68" spans="1:13" ht="15.75" customHeight="1" x14ac:dyDescent="0.2">
      <c r="A68" s="4"/>
      <c r="B68" s="5"/>
      <c r="C68" s="6">
        <v>44369</v>
      </c>
      <c r="D68" s="8">
        <v>0.46527777777777773</v>
      </c>
      <c r="E68" s="4">
        <v>7</v>
      </c>
      <c r="F68" s="4">
        <v>8.3000000000000007</v>
      </c>
      <c r="G68" s="4">
        <v>84.7</v>
      </c>
      <c r="H68" s="4">
        <v>16.7</v>
      </c>
      <c r="I68" s="4"/>
      <c r="J68" s="4"/>
      <c r="K68" s="4"/>
      <c r="L68" s="4"/>
      <c r="M68" s="4"/>
    </row>
    <row r="69" spans="1:13" ht="15.75" customHeight="1" x14ac:dyDescent="0.2">
      <c r="A69" s="4"/>
      <c r="B69" s="5"/>
      <c r="C69" s="6"/>
      <c r="D69" s="8"/>
      <c r="E69" s="4"/>
      <c r="F69" s="4"/>
      <c r="G69" s="4"/>
      <c r="H69" s="4"/>
      <c r="I69" s="4"/>
      <c r="J69" s="4"/>
      <c r="K69" s="4"/>
      <c r="L69" s="4"/>
      <c r="M69" s="4"/>
    </row>
    <row r="70" spans="1:13" ht="15.75" customHeight="1" x14ac:dyDescent="0.2">
      <c r="A70" s="4"/>
      <c r="B70" s="5"/>
      <c r="C70" s="6">
        <v>44403</v>
      </c>
      <c r="D70" s="8">
        <v>0.40625</v>
      </c>
      <c r="E70" s="4"/>
      <c r="F70" s="4"/>
      <c r="G70" s="4"/>
      <c r="H70" s="4"/>
      <c r="I70" s="4"/>
      <c r="J70" s="4">
        <v>10.5</v>
      </c>
      <c r="K70" s="4">
        <v>11.5</v>
      </c>
      <c r="L70" s="4"/>
      <c r="M70" s="4"/>
    </row>
    <row r="71" spans="1:13" ht="15.75" customHeight="1" x14ac:dyDescent="0.2">
      <c r="A71" s="4"/>
      <c r="B71" s="5"/>
      <c r="C71" s="6">
        <v>44403</v>
      </c>
      <c r="D71" s="8">
        <v>0.40625</v>
      </c>
      <c r="E71" s="4">
        <v>0.1</v>
      </c>
      <c r="F71" s="4">
        <v>6.82</v>
      </c>
      <c r="G71" s="4">
        <v>81</v>
      </c>
      <c r="H71" s="4">
        <v>23.9</v>
      </c>
      <c r="I71" s="4"/>
      <c r="J71" s="4"/>
      <c r="K71" s="4"/>
      <c r="L71" s="4"/>
      <c r="M71" s="4"/>
    </row>
    <row r="72" spans="1:13" ht="15.75" customHeight="1" x14ac:dyDescent="0.2">
      <c r="A72" s="4"/>
      <c r="B72" s="5"/>
      <c r="C72" s="6">
        <v>44403</v>
      </c>
      <c r="D72" s="8">
        <v>0.40625</v>
      </c>
      <c r="E72" s="4">
        <v>1</v>
      </c>
      <c r="F72" s="4">
        <v>6.85</v>
      </c>
      <c r="G72" s="4">
        <v>81.099999999999994</v>
      </c>
      <c r="H72" s="4">
        <v>23.8</v>
      </c>
      <c r="I72" s="4"/>
      <c r="J72" s="4"/>
      <c r="K72" s="4"/>
      <c r="L72" s="4"/>
      <c r="M72" s="4"/>
    </row>
    <row r="73" spans="1:13" ht="15.75" customHeight="1" x14ac:dyDescent="0.2">
      <c r="A73" s="4"/>
      <c r="B73" s="5"/>
      <c r="C73" s="6">
        <v>44403</v>
      </c>
      <c r="D73" s="8">
        <v>0.40625</v>
      </c>
      <c r="E73" s="4">
        <v>2</v>
      </c>
      <c r="F73" s="4">
        <v>6.89</v>
      </c>
      <c r="G73" s="4">
        <v>81.2</v>
      </c>
      <c r="H73" s="4">
        <v>23.6</v>
      </c>
      <c r="I73" s="4"/>
      <c r="J73" s="4"/>
      <c r="K73" s="4"/>
      <c r="L73" s="4"/>
      <c r="M73" s="4"/>
    </row>
    <row r="74" spans="1:13" ht="15.75" customHeight="1" x14ac:dyDescent="0.2">
      <c r="A74" s="4"/>
      <c r="B74" s="5"/>
      <c r="C74" s="6">
        <v>44403</v>
      </c>
      <c r="D74" s="8">
        <v>0.40625</v>
      </c>
      <c r="E74" s="4">
        <v>3</v>
      </c>
      <c r="F74" s="4">
        <v>6.88</v>
      </c>
      <c r="G74" s="4">
        <v>81</v>
      </c>
      <c r="H74" s="4">
        <v>23.5</v>
      </c>
      <c r="I74" s="4"/>
      <c r="J74" s="4"/>
      <c r="K74" s="4"/>
      <c r="L74" s="4"/>
      <c r="M74" s="4"/>
    </row>
    <row r="75" spans="1:13" ht="15.75" customHeight="1" x14ac:dyDescent="0.2">
      <c r="A75" s="4"/>
      <c r="B75" s="5"/>
      <c r="C75" s="6">
        <v>44403</v>
      </c>
      <c r="D75" s="8">
        <v>0.40625</v>
      </c>
      <c r="E75" s="4">
        <v>4</v>
      </c>
      <c r="F75" s="4">
        <v>6.87</v>
      </c>
      <c r="G75" s="4">
        <v>80.900000000000006</v>
      </c>
      <c r="H75" s="4">
        <v>23.5</v>
      </c>
      <c r="I75" s="4"/>
      <c r="J75" s="4"/>
      <c r="K75" s="4"/>
      <c r="L75" s="4"/>
      <c r="M75" s="4"/>
    </row>
    <row r="76" spans="1:13" ht="15.75" customHeight="1" x14ac:dyDescent="0.2">
      <c r="A76" s="4"/>
      <c r="B76" s="5"/>
      <c r="C76" s="6">
        <v>44403</v>
      </c>
      <c r="D76" s="8">
        <v>0.40625</v>
      </c>
      <c r="E76" s="4">
        <v>5</v>
      </c>
      <c r="F76" s="4">
        <v>6.86</v>
      </c>
      <c r="G76" s="4">
        <v>80.599999999999994</v>
      </c>
      <c r="H76" s="4">
        <v>23.4</v>
      </c>
      <c r="I76" s="4"/>
      <c r="J76" s="4"/>
      <c r="K76" s="4"/>
      <c r="L76" s="4"/>
      <c r="M76" s="4"/>
    </row>
    <row r="77" spans="1:13" ht="15.75" customHeight="1" x14ac:dyDescent="0.2">
      <c r="A77" s="4"/>
      <c r="B77" s="5"/>
      <c r="C77" s="6">
        <v>44403</v>
      </c>
      <c r="D77" s="8">
        <v>0.40625</v>
      </c>
      <c r="E77" s="4">
        <v>6</v>
      </c>
      <c r="F77" s="4">
        <v>6.87</v>
      </c>
      <c r="G77" s="4">
        <v>80.599999999999994</v>
      </c>
      <c r="H77" s="4">
        <v>23.3</v>
      </c>
      <c r="I77" s="4"/>
      <c r="J77" s="4"/>
      <c r="K77" s="4"/>
      <c r="L77" s="4"/>
      <c r="M77" s="4"/>
    </row>
    <row r="78" spans="1:13" ht="15.75" customHeight="1" x14ac:dyDescent="0.2">
      <c r="A78" s="4"/>
      <c r="B78" s="5"/>
      <c r="C78" s="6">
        <v>44403</v>
      </c>
      <c r="D78" s="8">
        <v>0.40625</v>
      </c>
      <c r="E78" s="4">
        <v>7</v>
      </c>
      <c r="F78" s="4">
        <v>6.87</v>
      </c>
      <c r="G78" s="4">
        <v>80.5</v>
      </c>
      <c r="H78" s="4">
        <v>23.3</v>
      </c>
      <c r="I78" s="4"/>
      <c r="J78" s="4"/>
      <c r="K78" s="4"/>
      <c r="L78" s="4"/>
      <c r="M78" s="4"/>
    </row>
    <row r="79" spans="1:13" ht="15.75" customHeight="1" x14ac:dyDescent="0.2">
      <c r="A79" s="4"/>
      <c r="B79" s="5"/>
      <c r="C79" s="6">
        <v>44403</v>
      </c>
      <c r="D79" s="8">
        <v>0.40625</v>
      </c>
      <c r="E79" s="4">
        <v>8</v>
      </c>
      <c r="F79" s="4">
        <v>6.84</v>
      </c>
      <c r="G79" s="4">
        <v>80.099999999999994</v>
      </c>
      <c r="H79" s="4">
        <v>23.2</v>
      </c>
      <c r="I79" s="4"/>
      <c r="J79" s="4"/>
      <c r="K79" s="4"/>
      <c r="L79" s="4"/>
      <c r="M79" s="4"/>
    </row>
    <row r="80" spans="1:13" ht="15.75" customHeight="1" x14ac:dyDescent="0.2">
      <c r="A80" s="4"/>
      <c r="B80" s="5"/>
      <c r="C80" s="6">
        <v>44403</v>
      </c>
      <c r="D80" s="8">
        <v>0.40625</v>
      </c>
      <c r="E80" s="4">
        <v>9</v>
      </c>
      <c r="F80" s="4">
        <v>8</v>
      </c>
      <c r="G80" s="4">
        <v>89.5</v>
      </c>
      <c r="H80" s="4">
        <v>20.6</v>
      </c>
      <c r="I80" s="4"/>
      <c r="J80" s="4"/>
      <c r="K80" s="4"/>
      <c r="L80" s="4"/>
      <c r="M80" s="4"/>
    </row>
    <row r="81" spans="1:13" ht="15.75" customHeight="1" x14ac:dyDescent="0.2">
      <c r="A81" s="4"/>
      <c r="B81" s="5"/>
      <c r="C81" s="6">
        <v>44403</v>
      </c>
      <c r="D81" s="8">
        <v>0.40625</v>
      </c>
      <c r="E81" s="4">
        <v>11</v>
      </c>
      <c r="F81" s="4">
        <v>9.0399999999999991</v>
      </c>
      <c r="G81" s="4">
        <v>88.4</v>
      </c>
      <c r="H81" s="4">
        <v>14.8</v>
      </c>
      <c r="I81" s="4"/>
      <c r="J81" s="4"/>
      <c r="K81" s="4"/>
      <c r="L81" s="4"/>
      <c r="M81" s="4"/>
    </row>
    <row r="82" spans="1:13" ht="15.75" customHeight="1" x14ac:dyDescent="0.2">
      <c r="A82" s="4"/>
      <c r="B82" s="5"/>
      <c r="C82" s="6"/>
      <c r="D82" s="8"/>
      <c r="E82" s="4"/>
      <c r="F82" s="4"/>
      <c r="G82" s="4"/>
      <c r="H82" s="4"/>
      <c r="I82" s="4"/>
      <c r="J82" s="4"/>
      <c r="K82" s="4"/>
      <c r="L82" s="4"/>
      <c r="M82" s="4"/>
    </row>
    <row r="83" spans="1:13" ht="15.75" customHeight="1" x14ac:dyDescent="0.2">
      <c r="A83" s="4"/>
      <c r="B83" s="5"/>
      <c r="C83" s="6">
        <v>44438</v>
      </c>
      <c r="D83" s="8">
        <v>0.38958333333333334</v>
      </c>
      <c r="E83" s="4"/>
      <c r="F83" s="4"/>
      <c r="G83" s="4"/>
      <c r="H83" s="4"/>
      <c r="I83" s="4"/>
      <c r="J83" s="4">
        <v>9</v>
      </c>
      <c r="K83" s="4">
        <v>9.5</v>
      </c>
      <c r="L83" s="4"/>
      <c r="M83" s="4"/>
    </row>
    <row r="84" spans="1:13" ht="15.75" customHeight="1" x14ac:dyDescent="0.2">
      <c r="A84" s="4"/>
      <c r="B84" s="5"/>
      <c r="C84" s="6">
        <v>44438</v>
      </c>
      <c r="D84" s="8">
        <v>0.40625</v>
      </c>
      <c r="E84" s="4">
        <v>0.1</v>
      </c>
      <c r="F84" s="4">
        <v>7.5</v>
      </c>
      <c r="G84" s="4">
        <v>83.7</v>
      </c>
      <c r="H84" s="4">
        <v>20.3</v>
      </c>
      <c r="I84" s="4"/>
      <c r="J84" s="4"/>
      <c r="K84" s="4"/>
      <c r="L84" s="4"/>
      <c r="M84" s="4"/>
    </row>
    <row r="85" spans="1:13" ht="15.75" customHeight="1" x14ac:dyDescent="0.2">
      <c r="A85" s="4"/>
      <c r="B85" s="5"/>
      <c r="C85" s="6">
        <v>44438</v>
      </c>
      <c r="D85" s="8">
        <v>0.40625</v>
      </c>
      <c r="E85" s="4">
        <v>1</v>
      </c>
      <c r="F85" s="4">
        <v>7.59</v>
      </c>
      <c r="G85" s="4">
        <v>83.8</v>
      </c>
      <c r="H85" s="4">
        <v>20.2</v>
      </c>
      <c r="I85" s="4"/>
      <c r="J85" s="4"/>
      <c r="K85" s="4"/>
      <c r="L85" s="4"/>
      <c r="M85" s="4"/>
    </row>
    <row r="86" spans="1:13" ht="15.75" customHeight="1" x14ac:dyDescent="0.2">
      <c r="A86" s="4"/>
      <c r="B86" s="5"/>
      <c r="C86" s="6">
        <v>44438</v>
      </c>
      <c r="D86" s="8">
        <v>0.40625</v>
      </c>
      <c r="E86" s="4">
        <v>2</v>
      </c>
      <c r="F86" s="4">
        <v>7.6</v>
      </c>
      <c r="G86" s="4">
        <v>83.7</v>
      </c>
      <c r="H86" s="4">
        <v>20.100000000000001</v>
      </c>
      <c r="I86" s="4"/>
      <c r="J86" s="4"/>
      <c r="K86" s="4"/>
      <c r="L86" s="4"/>
      <c r="M86" s="4"/>
    </row>
    <row r="87" spans="1:13" ht="15.75" customHeight="1" x14ac:dyDescent="0.2">
      <c r="A87" s="4"/>
      <c r="B87" s="5"/>
      <c r="C87" s="6">
        <v>44438</v>
      </c>
      <c r="D87" s="8">
        <v>0.40625</v>
      </c>
      <c r="E87" s="4">
        <v>3</v>
      </c>
      <c r="F87" s="4">
        <v>7.58</v>
      </c>
      <c r="G87" s="4">
        <v>83.6</v>
      </c>
      <c r="H87" s="4">
        <v>20.100000000000001</v>
      </c>
      <c r="I87" s="4"/>
      <c r="J87" s="4"/>
      <c r="K87" s="4"/>
      <c r="L87" s="4"/>
      <c r="M87" s="4"/>
    </row>
    <row r="88" spans="1:13" ht="15.75" customHeight="1" x14ac:dyDescent="0.2">
      <c r="A88" s="4"/>
      <c r="B88" s="5"/>
      <c r="C88" s="6">
        <v>44438</v>
      </c>
      <c r="D88" s="8">
        <v>0.40625</v>
      </c>
      <c r="E88" s="4">
        <v>4</v>
      </c>
      <c r="F88" s="4">
        <v>7.6</v>
      </c>
      <c r="G88" s="4">
        <v>83.5</v>
      </c>
      <c r="H88" s="4">
        <v>20</v>
      </c>
      <c r="I88" s="4"/>
      <c r="J88" s="4"/>
      <c r="K88" s="4"/>
      <c r="L88" s="4"/>
      <c r="M88" s="4"/>
    </row>
    <row r="89" spans="1:13" ht="15.75" customHeight="1" x14ac:dyDescent="0.2">
      <c r="A89" s="4"/>
      <c r="B89" s="5"/>
      <c r="C89" s="6">
        <v>44438</v>
      </c>
      <c r="D89" s="8">
        <v>0.40625</v>
      </c>
      <c r="E89" s="4">
        <v>5</v>
      </c>
      <c r="F89" s="4">
        <v>7.59</v>
      </c>
      <c r="G89" s="4">
        <v>83.4</v>
      </c>
      <c r="H89" s="4">
        <v>20</v>
      </c>
      <c r="I89" s="4"/>
      <c r="J89" s="4"/>
      <c r="K89" s="4"/>
      <c r="L89" s="4"/>
      <c r="M89" s="4"/>
    </row>
    <row r="90" spans="1:13" ht="15.75" customHeight="1" x14ac:dyDescent="0.2">
      <c r="A90" s="4"/>
      <c r="B90" s="5"/>
      <c r="C90" s="6">
        <v>44438</v>
      </c>
      <c r="D90" s="8">
        <v>0.40625</v>
      </c>
      <c r="E90" s="4">
        <v>6</v>
      </c>
      <c r="F90" s="4">
        <v>7.59</v>
      </c>
      <c r="G90" s="4">
        <v>83.4</v>
      </c>
      <c r="H90" s="4">
        <v>20</v>
      </c>
      <c r="I90" s="4"/>
      <c r="J90" s="4"/>
      <c r="K90" s="4"/>
      <c r="L90" s="4"/>
      <c r="M90" s="4"/>
    </row>
    <row r="91" spans="1:13" ht="15.75" customHeight="1" x14ac:dyDescent="0.2">
      <c r="A91" s="4"/>
      <c r="B91" s="5"/>
      <c r="C91" s="6">
        <v>44438</v>
      </c>
      <c r="D91" s="8">
        <v>0.40625</v>
      </c>
      <c r="E91" s="4">
        <v>7</v>
      </c>
      <c r="F91" s="4">
        <v>7.58</v>
      </c>
      <c r="G91" s="4">
        <v>83.3</v>
      </c>
      <c r="H91" s="4">
        <v>20</v>
      </c>
      <c r="I91" s="4"/>
      <c r="J91" s="4"/>
      <c r="K91" s="4"/>
      <c r="L91" s="4"/>
      <c r="M91" s="4"/>
    </row>
    <row r="92" spans="1:13" ht="15.75" customHeight="1" x14ac:dyDescent="0.2">
      <c r="A92" s="4"/>
      <c r="B92" s="5"/>
      <c r="C92" s="6">
        <v>44438</v>
      </c>
      <c r="D92" s="8">
        <v>0.40625</v>
      </c>
      <c r="E92" s="4">
        <v>8</v>
      </c>
      <c r="F92" s="4">
        <v>7.57</v>
      </c>
      <c r="G92" s="4">
        <v>83.1</v>
      </c>
      <c r="H92" s="4">
        <v>19.899999999999999</v>
      </c>
      <c r="I92" s="4"/>
      <c r="J92" s="4"/>
      <c r="K92" s="4"/>
      <c r="L92" s="4"/>
      <c r="M92" s="4"/>
    </row>
    <row r="93" spans="1:13" ht="15.75" customHeight="1" x14ac:dyDescent="0.2">
      <c r="A93" s="4"/>
      <c r="B93" s="5"/>
      <c r="C93" s="6">
        <v>44438</v>
      </c>
      <c r="D93" s="8">
        <v>0.40625</v>
      </c>
      <c r="E93" s="4">
        <v>9</v>
      </c>
      <c r="F93" s="4">
        <v>7.53</v>
      </c>
      <c r="G93" s="4">
        <v>82.5</v>
      </c>
      <c r="H93" s="4">
        <v>19.8</v>
      </c>
      <c r="I93" s="4"/>
      <c r="J93" s="4"/>
      <c r="K93" s="4"/>
      <c r="L93" s="4"/>
      <c r="M93" s="4"/>
    </row>
    <row r="94" spans="1:13" ht="15.75" customHeight="1" x14ac:dyDescent="0.2">
      <c r="A94" s="4"/>
      <c r="B94" s="5"/>
      <c r="C94" s="6">
        <v>44438</v>
      </c>
      <c r="D94" s="8">
        <v>0.40625</v>
      </c>
      <c r="E94" s="4">
        <v>10</v>
      </c>
      <c r="F94" s="4">
        <v>7.51</v>
      </c>
      <c r="G94" s="4">
        <v>82.1</v>
      </c>
      <c r="H94" s="4">
        <v>19.7</v>
      </c>
      <c r="I94" s="4"/>
      <c r="J94" s="4"/>
      <c r="K94" s="4"/>
      <c r="L94" s="4"/>
      <c r="M94" s="4"/>
    </row>
    <row r="95" spans="1:13" ht="15.75" customHeight="1" x14ac:dyDescent="0.2">
      <c r="A95" s="4"/>
      <c r="B95" s="5"/>
      <c r="C95" s="6">
        <v>44438</v>
      </c>
      <c r="D95" s="8">
        <v>0.40625</v>
      </c>
      <c r="E95" s="4">
        <v>11</v>
      </c>
      <c r="F95" s="4">
        <v>7.4</v>
      </c>
      <c r="G95" s="4">
        <v>78.3</v>
      </c>
      <c r="H95" s="4">
        <v>18.100000000000001</v>
      </c>
      <c r="I95" s="4"/>
      <c r="J95" s="4"/>
      <c r="K95" s="4"/>
      <c r="L95" s="4"/>
      <c r="M95" s="4"/>
    </row>
    <row r="96" spans="1:13" ht="15.75" customHeight="1" x14ac:dyDescent="0.2">
      <c r="A96" s="4"/>
      <c r="B96" s="5"/>
      <c r="C96" s="6"/>
      <c r="D96" s="8"/>
      <c r="E96" s="4"/>
      <c r="F96" s="4"/>
      <c r="G96" s="4"/>
      <c r="H96" s="4"/>
      <c r="I96" s="4"/>
      <c r="J96" s="4"/>
      <c r="K96" s="4"/>
      <c r="L96" s="4"/>
      <c r="M96" s="4"/>
    </row>
    <row r="97" spans="1:13" ht="15.75" customHeight="1" x14ac:dyDescent="0.2">
      <c r="A97" s="4"/>
      <c r="B97" s="5"/>
      <c r="C97" s="6">
        <v>44459</v>
      </c>
      <c r="D97" s="8">
        <v>0.39583333333333331</v>
      </c>
      <c r="E97" s="4"/>
      <c r="F97" s="4"/>
      <c r="G97" s="4"/>
      <c r="H97" s="4"/>
      <c r="I97" s="4"/>
      <c r="J97" s="4">
        <v>8</v>
      </c>
      <c r="K97" s="4">
        <v>10.5</v>
      </c>
      <c r="L97" s="4"/>
      <c r="M97" s="4"/>
    </row>
    <row r="98" spans="1:13" ht="15.75" customHeight="1" x14ac:dyDescent="0.2">
      <c r="A98" s="4"/>
      <c r="B98" s="5"/>
      <c r="C98" s="6">
        <v>44459</v>
      </c>
      <c r="D98" s="8">
        <v>0.40625</v>
      </c>
      <c r="E98" s="4">
        <v>0.1</v>
      </c>
      <c r="F98" s="4">
        <v>7.88</v>
      </c>
      <c r="G98" s="4">
        <v>81.5</v>
      </c>
      <c r="H98" s="4">
        <v>17</v>
      </c>
      <c r="I98" s="4"/>
      <c r="J98" s="4"/>
      <c r="K98" s="4"/>
      <c r="L98" s="4"/>
      <c r="M98" s="4"/>
    </row>
    <row r="99" spans="1:13" ht="15.75" customHeight="1" x14ac:dyDescent="0.2">
      <c r="A99" s="4"/>
      <c r="B99" s="5"/>
      <c r="C99" s="6">
        <v>44459</v>
      </c>
      <c r="D99" s="8">
        <v>0.40625</v>
      </c>
      <c r="E99" s="4">
        <v>1</v>
      </c>
      <c r="F99" s="4">
        <v>7.83</v>
      </c>
      <c r="G99" s="4">
        <v>81.2</v>
      </c>
      <c r="H99" s="4">
        <v>17.100000000000001</v>
      </c>
      <c r="I99" s="4"/>
      <c r="J99" s="4"/>
      <c r="K99" s="4"/>
      <c r="L99" s="4"/>
      <c r="M99" s="4"/>
    </row>
    <row r="100" spans="1:13" ht="15.75" customHeight="1" x14ac:dyDescent="0.2">
      <c r="A100" s="4"/>
      <c r="B100" s="5"/>
      <c r="C100" s="6">
        <v>44459</v>
      </c>
      <c r="D100" s="8">
        <v>0.40625</v>
      </c>
      <c r="E100" s="4">
        <v>2</v>
      </c>
      <c r="F100" s="4">
        <v>7.81</v>
      </c>
      <c r="G100" s="4">
        <v>81</v>
      </c>
      <c r="H100" s="4">
        <v>17.100000000000001</v>
      </c>
      <c r="I100" s="4"/>
      <c r="J100" s="4"/>
      <c r="K100" s="4"/>
      <c r="L100" s="4"/>
      <c r="M100" s="4"/>
    </row>
    <row r="101" spans="1:13" ht="15.75" customHeight="1" x14ac:dyDescent="0.2">
      <c r="A101" s="4"/>
      <c r="B101" s="5"/>
      <c r="C101" s="6">
        <v>44459</v>
      </c>
      <c r="D101" s="8">
        <v>0.40625</v>
      </c>
      <c r="E101" s="4">
        <v>3</v>
      </c>
      <c r="F101" s="4">
        <v>7.78</v>
      </c>
      <c r="G101" s="4">
        <v>80.8</v>
      </c>
      <c r="H101" s="4">
        <v>17.2</v>
      </c>
      <c r="I101" s="4"/>
      <c r="J101" s="4"/>
      <c r="K101" s="4"/>
      <c r="L101" s="4"/>
      <c r="M101" s="4"/>
    </row>
    <row r="102" spans="1:13" ht="15.75" customHeight="1" x14ac:dyDescent="0.2">
      <c r="A102" s="4"/>
      <c r="B102" s="5"/>
      <c r="C102" s="6">
        <v>44459</v>
      </c>
      <c r="D102" s="8">
        <v>0.40625</v>
      </c>
      <c r="E102" s="4">
        <v>4</v>
      </c>
      <c r="F102" s="4">
        <v>7.76</v>
      </c>
      <c r="G102" s="4">
        <v>80.599999999999994</v>
      </c>
      <c r="H102" s="4">
        <v>17.2</v>
      </c>
      <c r="I102" s="4"/>
      <c r="J102" s="4"/>
      <c r="K102" s="4"/>
      <c r="L102" s="4"/>
      <c r="M102" s="4"/>
    </row>
    <row r="103" spans="1:13" ht="15.75" customHeight="1" x14ac:dyDescent="0.2">
      <c r="A103" s="4"/>
      <c r="B103" s="5"/>
      <c r="C103" s="6">
        <v>44459</v>
      </c>
      <c r="D103" s="8">
        <v>0.40625</v>
      </c>
      <c r="E103" s="4">
        <v>5</v>
      </c>
      <c r="F103" s="4">
        <v>7.74</v>
      </c>
      <c r="G103" s="4">
        <v>80.400000000000006</v>
      </c>
      <c r="H103" s="4">
        <v>17.2</v>
      </c>
      <c r="I103" s="4"/>
      <c r="J103" s="4"/>
      <c r="K103" s="4"/>
      <c r="L103" s="4"/>
      <c r="M103" s="4"/>
    </row>
    <row r="104" spans="1:13" ht="15.75" customHeight="1" x14ac:dyDescent="0.2">
      <c r="A104" s="4"/>
      <c r="B104" s="5"/>
      <c r="C104" s="6">
        <v>44459</v>
      </c>
      <c r="D104" s="8">
        <v>0.40625</v>
      </c>
      <c r="E104" s="4">
        <v>6</v>
      </c>
      <c r="F104" s="4">
        <v>7.73</v>
      </c>
      <c r="G104" s="4">
        <v>80.3</v>
      </c>
      <c r="H104" s="4">
        <v>17.2</v>
      </c>
      <c r="I104" s="4"/>
      <c r="J104" s="4"/>
      <c r="K104" s="4"/>
      <c r="L104" s="4"/>
      <c r="M104" s="4"/>
    </row>
    <row r="105" spans="1:13" ht="15.75" customHeight="1" x14ac:dyDescent="0.2">
      <c r="A105" s="4"/>
      <c r="B105" s="5"/>
      <c r="C105" s="6">
        <v>44459</v>
      </c>
      <c r="D105" s="8">
        <v>0.40625</v>
      </c>
      <c r="E105" s="4">
        <v>7</v>
      </c>
      <c r="F105" s="4">
        <v>7.72</v>
      </c>
      <c r="G105" s="4">
        <v>80.2</v>
      </c>
      <c r="H105" s="4">
        <v>17.2</v>
      </c>
      <c r="I105" s="4"/>
      <c r="J105" s="4"/>
      <c r="K105" s="4"/>
      <c r="L105" s="4"/>
      <c r="M105" s="4"/>
    </row>
    <row r="106" spans="1:13" ht="15.75" customHeight="1" x14ac:dyDescent="0.2">
      <c r="A106" s="4"/>
      <c r="B106" s="5"/>
      <c r="C106" s="6">
        <v>44459</v>
      </c>
      <c r="D106" s="8">
        <v>0.40625</v>
      </c>
      <c r="E106" s="4">
        <v>8</v>
      </c>
      <c r="F106" s="4">
        <v>7.7</v>
      </c>
      <c r="G106" s="4">
        <v>80</v>
      </c>
      <c r="H106" s="4">
        <v>17.2</v>
      </c>
      <c r="I106" s="4"/>
      <c r="J106" s="4"/>
      <c r="K106" s="4"/>
      <c r="L106" s="4"/>
      <c r="M106" s="4"/>
    </row>
    <row r="107" spans="1:13" ht="15.75" customHeight="1" x14ac:dyDescent="0.2">
      <c r="A107" s="4"/>
      <c r="B107" s="5"/>
      <c r="C107" s="6">
        <v>44459</v>
      </c>
      <c r="D107" s="8">
        <v>0.40625</v>
      </c>
      <c r="E107" s="4">
        <v>9</v>
      </c>
      <c r="F107" s="4">
        <v>7.68</v>
      </c>
      <c r="G107" s="4">
        <v>79.8</v>
      </c>
      <c r="H107" s="4">
        <v>17.2</v>
      </c>
      <c r="I107" s="4"/>
      <c r="J107" s="4"/>
      <c r="K107" s="4"/>
      <c r="L107" s="4"/>
      <c r="M107" s="4"/>
    </row>
    <row r="108" spans="1:13" ht="15.75" customHeight="1" x14ac:dyDescent="0.2">
      <c r="A108" s="4"/>
      <c r="B108" s="5"/>
      <c r="C108" s="6">
        <v>44459</v>
      </c>
      <c r="D108" s="8">
        <v>0.40625</v>
      </c>
      <c r="E108" s="4">
        <v>10</v>
      </c>
      <c r="F108" s="4">
        <v>7.66</v>
      </c>
      <c r="G108" s="4">
        <v>79.5</v>
      </c>
      <c r="H108" s="4">
        <v>17.2</v>
      </c>
      <c r="I108" s="4"/>
      <c r="J108" s="4"/>
      <c r="K108" s="4"/>
      <c r="L108" s="4"/>
      <c r="M108" s="4"/>
    </row>
    <row r="109" spans="1:13" ht="15.75" customHeight="1" x14ac:dyDescent="0.2">
      <c r="A109" s="4"/>
      <c r="B109" s="5"/>
      <c r="C109" s="6">
        <v>44459</v>
      </c>
      <c r="D109" s="8">
        <v>0.40625</v>
      </c>
      <c r="E109" s="4">
        <v>11</v>
      </c>
      <c r="F109" s="4">
        <v>7.63</v>
      </c>
      <c r="G109" s="4">
        <v>79</v>
      </c>
      <c r="H109" s="4">
        <v>17.100000000000001</v>
      </c>
      <c r="I109" s="4"/>
      <c r="J109" s="4"/>
      <c r="K109" s="4"/>
      <c r="L109" s="4"/>
      <c r="M109" s="4"/>
    </row>
    <row r="110" spans="1:13" ht="15.75" customHeight="1" x14ac:dyDescent="0.2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1:13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1:13" ht="15.75" customHeight="1" x14ac:dyDescent="0.2">
      <c r="A112" s="4"/>
      <c r="B112" s="4"/>
      <c r="C112" s="6">
        <v>44007</v>
      </c>
      <c r="D112" s="4"/>
      <c r="E112" s="4"/>
      <c r="F112" s="4"/>
      <c r="G112" s="4"/>
      <c r="H112" s="4"/>
      <c r="I112" s="4"/>
      <c r="J112" s="4">
        <v>4.5</v>
      </c>
      <c r="K112" s="4">
        <v>5.5</v>
      </c>
      <c r="L112" s="4"/>
      <c r="M112" s="4"/>
    </row>
    <row r="113" spans="1:13" ht="15.75" customHeight="1" x14ac:dyDescent="0.2">
      <c r="A113" s="4"/>
      <c r="B113" s="4"/>
      <c r="C113" s="6">
        <v>44007</v>
      </c>
      <c r="D113" s="8">
        <v>0.4375</v>
      </c>
      <c r="E113" s="1">
        <v>0.01</v>
      </c>
      <c r="F113" s="9">
        <v>8.5500000000000007</v>
      </c>
      <c r="G113" s="4">
        <v>89.1</v>
      </c>
      <c r="H113" s="10">
        <v>17.100000000000001</v>
      </c>
      <c r="I113" s="4"/>
      <c r="J113" s="4"/>
      <c r="K113" s="4"/>
      <c r="L113" s="4"/>
      <c r="M113" s="4"/>
    </row>
    <row r="114" spans="1:13" ht="15.75" customHeight="1" x14ac:dyDescent="0.2">
      <c r="A114" s="4"/>
      <c r="B114" s="4"/>
      <c r="C114" s="6">
        <v>44007</v>
      </c>
      <c r="D114" s="8">
        <v>0.4375</v>
      </c>
      <c r="E114" s="1">
        <v>1</v>
      </c>
      <c r="F114" s="9">
        <v>8.76</v>
      </c>
      <c r="G114" s="4"/>
      <c r="H114" s="10">
        <v>16.8</v>
      </c>
      <c r="I114" s="4"/>
      <c r="J114" s="4"/>
      <c r="K114" s="4"/>
      <c r="L114" s="4"/>
      <c r="M114" s="4"/>
    </row>
    <row r="115" spans="1:13" ht="15.75" customHeight="1" x14ac:dyDescent="0.2">
      <c r="A115" s="4"/>
      <c r="B115" s="4"/>
      <c r="C115" s="6">
        <v>44007</v>
      </c>
      <c r="D115" s="8">
        <v>0.4375</v>
      </c>
      <c r="E115" s="1">
        <v>2</v>
      </c>
      <c r="F115" s="9">
        <v>8.89</v>
      </c>
      <c r="G115" s="4"/>
      <c r="H115" s="10">
        <v>16.2</v>
      </c>
      <c r="I115" s="4"/>
      <c r="J115" s="4"/>
      <c r="K115" s="4"/>
      <c r="L115" s="4"/>
      <c r="M115" s="4"/>
    </row>
    <row r="116" spans="1:13" ht="15.75" customHeight="1" x14ac:dyDescent="0.2">
      <c r="A116" s="4"/>
      <c r="B116" s="4"/>
      <c r="C116" s="6">
        <v>44007</v>
      </c>
      <c r="D116" s="8">
        <v>0.4375</v>
      </c>
      <c r="E116" s="1">
        <v>3</v>
      </c>
      <c r="F116" s="9">
        <v>8.92</v>
      </c>
      <c r="G116" s="4"/>
      <c r="H116" s="10">
        <v>15.6</v>
      </c>
      <c r="I116" s="4"/>
      <c r="J116" s="4"/>
      <c r="K116" s="4"/>
      <c r="L116" s="4"/>
      <c r="M116" s="4"/>
    </row>
    <row r="117" spans="1:13" ht="15.75" customHeight="1" x14ac:dyDescent="0.2">
      <c r="A117" s="4"/>
      <c r="B117" s="4"/>
      <c r="C117" s="6">
        <v>44007</v>
      </c>
      <c r="D117" s="8">
        <v>0.4375</v>
      </c>
      <c r="E117" s="1">
        <v>4</v>
      </c>
      <c r="F117" s="9">
        <v>8.99</v>
      </c>
      <c r="G117" s="4"/>
      <c r="H117" s="10">
        <v>14.8</v>
      </c>
      <c r="I117" s="4"/>
      <c r="J117" s="4"/>
      <c r="K117" s="4"/>
      <c r="L117" s="4"/>
      <c r="M117" s="4"/>
    </row>
    <row r="118" spans="1:13" ht="15.75" customHeight="1" x14ac:dyDescent="0.2">
      <c r="A118" s="4"/>
      <c r="B118" s="4"/>
      <c r="C118" s="6">
        <v>44007</v>
      </c>
      <c r="D118" s="8">
        <v>0.4375</v>
      </c>
      <c r="E118" s="1">
        <v>5</v>
      </c>
      <c r="F118" s="9">
        <v>8.92</v>
      </c>
      <c r="G118" s="4"/>
      <c r="H118" s="10">
        <v>14.6</v>
      </c>
      <c r="I118" s="4"/>
      <c r="J118" s="4"/>
      <c r="K118" s="4"/>
      <c r="L118" s="4"/>
      <c r="M118" s="4"/>
    </row>
    <row r="119" spans="1:13" ht="15.75" customHeight="1" x14ac:dyDescent="0.2">
      <c r="A119" s="4"/>
      <c r="B119" s="4"/>
      <c r="C119" s="6">
        <v>44007</v>
      </c>
      <c r="D119" s="8">
        <v>0.4375</v>
      </c>
      <c r="E119" s="1">
        <v>6</v>
      </c>
      <c r="F119" s="9">
        <v>8.81</v>
      </c>
      <c r="G119" s="4"/>
      <c r="H119" s="10">
        <v>14</v>
      </c>
      <c r="I119" s="4"/>
      <c r="J119" s="4"/>
      <c r="K119" s="4"/>
      <c r="L119" s="4"/>
      <c r="M119" s="4"/>
    </row>
    <row r="120" spans="1:13" ht="15.75" customHeight="1" x14ac:dyDescent="0.2">
      <c r="A120" s="4"/>
      <c r="B120" s="4"/>
      <c r="C120" s="6">
        <v>44007</v>
      </c>
      <c r="D120" s="8">
        <v>0.4375</v>
      </c>
      <c r="E120" s="1">
        <v>7</v>
      </c>
      <c r="F120" s="9">
        <v>8.81</v>
      </c>
      <c r="G120" s="4"/>
      <c r="H120" s="10">
        <v>13.3</v>
      </c>
      <c r="I120" s="4"/>
      <c r="J120" s="4"/>
      <c r="K120" s="4"/>
      <c r="L120" s="4"/>
      <c r="M120" s="4"/>
    </row>
    <row r="121" spans="1:13" ht="15.75" customHeight="1" x14ac:dyDescent="0.2">
      <c r="A121" s="4"/>
      <c r="B121" s="4"/>
      <c r="C121" s="6">
        <v>44007</v>
      </c>
      <c r="D121" s="8">
        <v>0.4375</v>
      </c>
      <c r="E121" s="1">
        <v>8</v>
      </c>
      <c r="F121" s="9">
        <v>8.8000000000000007</v>
      </c>
      <c r="G121" s="4"/>
      <c r="H121" s="10">
        <v>13.1</v>
      </c>
      <c r="I121" s="4"/>
      <c r="J121" s="4"/>
      <c r="K121" s="4"/>
      <c r="L121" s="4"/>
      <c r="M121" s="4"/>
    </row>
    <row r="122" spans="1:13" ht="15.75" customHeight="1" x14ac:dyDescent="0.2">
      <c r="A122" s="4"/>
      <c r="B122" s="4"/>
      <c r="C122" s="6">
        <v>44007</v>
      </c>
      <c r="D122" s="8">
        <v>0.4375</v>
      </c>
      <c r="E122" s="1">
        <v>9</v>
      </c>
      <c r="F122" s="9">
        <v>8.67</v>
      </c>
      <c r="G122" s="4"/>
      <c r="H122" s="10">
        <v>12.8</v>
      </c>
      <c r="I122" s="4"/>
      <c r="J122" s="4"/>
      <c r="K122" s="4"/>
      <c r="L122" s="4"/>
      <c r="M122" s="4"/>
    </row>
    <row r="123" spans="1:13" ht="15.75" customHeight="1" x14ac:dyDescent="0.2">
      <c r="A123" s="4"/>
      <c r="B123" s="4"/>
      <c r="C123" s="6">
        <v>44007</v>
      </c>
      <c r="D123" s="8">
        <v>0.4375</v>
      </c>
      <c r="E123" s="1">
        <v>10</v>
      </c>
      <c r="F123" s="9">
        <v>8.64</v>
      </c>
      <c r="G123" s="4"/>
      <c r="H123" s="10">
        <v>12.4</v>
      </c>
      <c r="I123" s="4"/>
      <c r="J123" s="4"/>
      <c r="K123" s="4"/>
      <c r="L123" s="4"/>
      <c r="M123" s="4"/>
    </row>
    <row r="124" spans="1:13" ht="15.75" customHeight="1" x14ac:dyDescent="0.2">
      <c r="A124" s="4"/>
      <c r="B124" s="4"/>
      <c r="C124" s="6">
        <v>44007</v>
      </c>
      <c r="D124" s="8">
        <v>0.4375</v>
      </c>
      <c r="E124" s="1">
        <v>11</v>
      </c>
      <c r="F124" s="9">
        <v>8.5</v>
      </c>
      <c r="G124" s="4">
        <v>78.8</v>
      </c>
      <c r="H124" s="10">
        <v>12</v>
      </c>
      <c r="I124" s="4"/>
      <c r="J124" s="4"/>
      <c r="K124" s="4"/>
      <c r="L124" s="4"/>
      <c r="M124" s="4"/>
    </row>
    <row r="125" spans="1:13" ht="15.75" customHeight="1" x14ac:dyDescent="0.2">
      <c r="A125" s="4"/>
      <c r="B125" s="4"/>
      <c r="C125" s="6"/>
      <c r="D125" s="4"/>
      <c r="E125" s="4"/>
      <c r="F125" s="4"/>
      <c r="G125" s="4"/>
      <c r="H125" s="10"/>
      <c r="I125" s="4"/>
      <c r="J125" s="4"/>
      <c r="K125" s="4"/>
      <c r="L125" s="4"/>
      <c r="M125" s="4"/>
    </row>
    <row r="126" spans="1:13" ht="15.75" customHeight="1" x14ac:dyDescent="0.2">
      <c r="A126" s="4"/>
      <c r="B126" s="4"/>
      <c r="C126" s="6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1:13" ht="15.75" customHeight="1" x14ac:dyDescent="0.2">
      <c r="A127" s="4"/>
      <c r="B127" s="4"/>
      <c r="C127" s="6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1:13" ht="15.75" customHeight="1" x14ac:dyDescent="0.2">
      <c r="A128" s="4"/>
      <c r="B128" s="4"/>
      <c r="C128" s="6">
        <v>44039</v>
      </c>
      <c r="D128" s="11">
        <v>0.41319444444444442</v>
      </c>
      <c r="E128" s="4"/>
      <c r="F128" s="4"/>
      <c r="G128" s="4"/>
      <c r="H128" s="4"/>
      <c r="I128" s="4"/>
      <c r="J128" s="4">
        <v>7.5</v>
      </c>
      <c r="K128" s="4">
        <v>8</v>
      </c>
      <c r="L128" s="4"/>
      <c r="M128" s="4"/>
    </row>
    <row r="129" spans="1:13" ht="15.75" customHeight="1" x14ac:dyDescent="0.2">
      <c r="A129" s="4"/>
      <c r="B129" s="4"/>
      <c r="C129" s="6">
        <v>44039</v>
      </c>
      <c r="D129" s="8">
        <v>0.4201388888888889</v>
      </c>
      <c r="E129" s="1">
        <v>0.01</v>
      </c>
      <c r="F129" s="4">
        <v>7.32</v>
      </c>
      <c r="G129" s="4">
        <v>83.7</v>
      </c>
      <c r="H129" s="4">
        <v>21.9</v>
      </c>
      <c r="I129" s="4"/>
      <c r="J129" s="4"/>
      <c r="K129" s="4"/>
      <c r="L129" s="4"/>
      <c r="M129" s="4"/>
    </row>
    <row r="130" spans="1:13" ht="15.75" customHeight="1" x14ac:dyDescent="0.2">
      <c r="A130" s="4"/>
      <c r="B130" s="4"/>
      <c r="C130" s="6">
        <v>44039</v>
      </c>
      <c r="D130" s="8">
        <v>0.4201388888888889</v>
      </c>
      <c r="E130" s="1">
        <v>1</v>
      </c>
      <c r="F130" s="4">
        <v>7.37</v>
      </c>
      <c r="G130" s="4"/>
      <c r="H130" s="4">
        <v>21.9</v>
      </c>
      <c r="I130" s="4"/>
      <c r="J130" s="4"/>
      <c r="K130" s="4"/>
      <c r="L130" s="4"/>
      <c r="M130" s="4"/>
    </row>
    <row r="131" spans="1:13" ht="15.75" customHeight="1" x14ac:dyDescent="0.2">
      <c r="A131" s="4"/>
      <c r="B131" s="4"/>
      <c r="C131" s="6">
        <v>44039</v>
      </c>
      <c r="D131" s="8">
        <v>0.4201388888888889</v>
      </c>
      <c r="E131" s="1">
        <v>2</v>
      </c>
      <c r="F131" s="4">
        <v>7.37</v>
      </c>
      <c r="G131" s="4"/>
      <c r="H131" s="4">
        <v>21.8</v>
      </c>
      <c r="I131" s="4"/>
      <c r="J131" s="4"/>
      <c r="K131" s="4"/>
      <c r="L131" s="4"/>
      <c r="M131" s="4"/>
    </row>
    <row r="132" spans="1:13" ht="15.75" customHeight="1" x14ac:dyDescent="0.2">
      <c r="A132" s="4"/>
      <c r="B132" s="4"/>
      <c r="C132" s="6">
        <v>44039</v>
      </c>
      <c r="D132" s="8">
        <v>0.4201388888888889</v>
      </c>
      <c r="E132" s="1">
        <v>3</v>
      </c>
      <c r="F132" s="4">
        <v>7.37</v>
      </c>
      <c r="G132" s="4"/>
      <c r="H132" s="4">
        <v>21.7</v>
      </c>
      <c r="I132" s="4"/>
      <c r="J132" s="4"/>
      <c r="K132" s="4"/>
      <c r="L132" s="4"/>
      <c r="M132" s="4"/>
    </row>
    <row r="133" spans="1:13" ht="15.75" customHeight="1" x14ac:dyDescent="0.2">
      <c r="A133" s="4"/>
      <c r="B133" s="4"/>
      <c r="C133" s="6">
        <v>44039</v>
      </c>
      <c r="D133" s="8">
        <v>0.4201388888888889</v>
      </c>
      <c r="E133" s="1">
        <v>4</v>
      </c>
      <c r="F133" s="4">
        <v>7.36</v>
      </c>
      <c r="G133" s="4"/>
      <c r="H133" s="4">
        <v>21.6</v>
      </c>
      <c r="I133" s="4"/>
      <c r="J133" s="4"/>
      <c r="K133" s="4"/>
      <c r="L133" s="4"/>
      <c r="M133" s="4"/>
    </row>
    <row r="134" spans="1:13" ht="15.75" customHeight="1" x14ac:dyDescent="0.2">
      <c r="A134" s="4"/>
      <c r="B134" s="4"/>
      <c r="C134" s="6">
        <v>44039</v>
      </c>
      <c r="D134" s="8">
        <v>0.4201388888888889</v>
      </c>
      <c r="E134" s="1">
        <v>5</v>
      </c>
      <c r="F134" s="4">
        <v>7.36</v>
      </c>
      <c r="G134" s="4"/>
      <c r="H134" s="4">
        <v>21.5</v>
      </c>
      <c r="I134" s="4"/>
      <c r="J134" s="4"/>
      <c r="K134" s="4"/>
      <c r="L134" s="4"/>
      <c r="M134" s="4"/>
    </row>
    <row r="135" spans="1:13" ht="15.75" customHeight="1" x14ac:dyDescent="0.2">
      <c r="A135" s="4"/>
      <c r="B135" s="4"/>
      <c r="C135" s="6">
        <v>44039</v>
      </c>
      <c r="D135" s="8">
        <v>0.4201388888888889</v>
      </c>
      <c r="E135" s="1">
        <v>6</v>
      </c>
      <c r="F135" s="4">
        <v>7.34</v>
      </c>
      <c r="G135" s="4"/>
      <c r="H135" s="4">
        <v>21.5</v>
      </c>
      <c r="I135" s="4"/>
      <c r="J135" s="4"/>
      <c r="K135" s="4"/>
      <c r="L135" s="4"/>
      <c r="M135" s="4"/>
    </row>
    <row r="136" spans="1:13" ht="15.75" customHeight="1" x14ac:dyDescent="0.2">
      <c r="A136" s="4"/>
      <c r="B136" s="4"/>
      <c r="C136" s="6">
        <v>44039</v>
      </c>
      <c r="D136" s="8">
        <v>0.4201388888888889</v>
      </c>
      <c r="E136" s="1">
        <v>7</v>
      </c>
      <c r="F136" s="4">
        <v>7.34</v>
      </c>
      <c r="G136" s="4">
        <v>83.1</v>
      </c>
      <c r="H136" s="4">
        <v>21.4</v>
      </c>
      <c r="I136" s="4"/>
      <c r="J136" s="4"/>
      <c r="K136" s="4"/>
      <c r="L136" s="4"/>
      <c r="M136" s="4"/>
    </row>
    <row r="137" spans="1:13" ht="15.75" customHeight="1" x14ac:dyDescent="0.2">
      <c r="A137" s="4"/>
      <c r="B137" s="4"/>
      <c r="C137" s="6">
        <v>44039</v>
      </c>
      <c r="D137" s="8">
        <v>0.4201388888888889</v>
      </c>
      <c r="E137" s="1">
        <v>8</v>
      </c>
      <c r="F137" s="4">
        <v>7.1</v>
      </c>
      <c r="G137" s="4">
        <v>82.9</v>
      </c>
      <c r="H137" s="4">
        <v>20.399999999999999</v>
      </c>
      <c r="I137" s="4"/>
      <c r="J137" s="4"/>
      <c r="K137" s="4"/>
      <c r="L137" s="4"/>
      <c r="M137" s="4"/>
    </row>
    <row r="138" spans="1:13" ht="15.75" customHeight="1" x14ac:dyDescent="0.2">
      <c r="A138" s="4"/>
      <c r="B138" s="4"/>
      <c r="C138" s="6">
        <v>44039</v>
      </c>
      <c r="D138" s="8">
        <v>0.4201388888888889</v>
      </c>
      <c r="E138" s="1">
        <v>9</v>
      </c>
      <c r="F138" s="4">
        <v>8.2100000000000009</v>
      </c>
      <c r="G138" s="4"/>
      <c r="H138" s="4">
        <v>16.2</v>
      </c>
      <c r="I138" s="4"/>
      <c r="J138" s="4"/>
      <c r="K138" s="4"/>
      <c r="L138" s="4"/>
      <c r="M138" s="4"/>
    </row>
    <row r="139" spans="1:13" ht="15.75" customHeight="1" x14ac:dyDescent="0.2">
      <c r="A139" s="4"/>
      <c r="B139" s="4"/>
      <c r="C139" s="6">
        <v>44039</v>
      </c>
      <c r="D139" s="8">
        <v>0.4201388888888889</v>
      </c>
      <c r="E139" s="1">
        <v>10</v>
      </c>
      <c r="F139" s="4">
        <v>8.5299999999999994</v>
      </c>
      <c r="G139" s="4"/>
      <c r="H139" s="4">
        <v>14.2</v>
      </c>
      <c r="I139" s="4"/>
      <c r="J139" s="4"/>
      <c r="K139" s="4"/>
      <c r="L139" s="4"/>
      <c r="M139" s="4"/>
    </row>
    <row r="140" spans="1:13" ht="15.75" customHeight="1" x14ac:dyDescent="0.2">
      <c r="A140" s="4"/>
      <c r="B140" s="4"/>
      <c r="C140" s="6">
        <v>44039</v>
      </c>
      <c r="D140" s="8">
        <v>0.4201388888888889</v>
      </c>
      <c r="E140" s="1">
        <v>11</v>
      </c>
      <c r="F140" s="4">
        <v>8.68</v>
      </c>
      <c r="G140" s="4">
        <v>81.7</v>
      </c>
      <c r="H140" s="4">
        <v>12.6</v>
      </c>
      <c r="I140" s="4"/>
      <c r="J140" s="4"/>
      <c r="K140" s="4"/>
      <c r="L140" s="4"/>
      <c r="M140" s="4"/>
    </row>
    <row r="141" spans="1:13" ht="15.75" customHeight="1" x14ac:dyDescent="0.2">
      <c r="A141" s="4"/>
      <c r="B141" s="4"/>
      <c r="C141" s="6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1:13" ht="15.75" customHeight="1" x14ac:dyDescent="0.2">
      <c r="A142" s="4"/>
      <c r="B142" s="4"/>
      <c r="C142" s="6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1:13" ht="15.75" customHeight="1" x14ac:dyDescent="0.2">
      <c r="A143" s="4"/>
      <c r="B143" s="4"/>
      <c r="C143" s="6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1:13" ht="15.75" customHeight="1" x14ac:dyDescent="0.2">
      <c r="A144" s="4"/>
      <c r="B144" s="4"/>
      <c r="C144" s="6">
        <v>44068</v>
      </c>
      <c r="D144" s="4"/>
      <c r="E144" s="4"/>
      <c r="F144" s="4"/>
      <c r="G144" s="4"/>
      <c r="H144" s="4"/>
      <c r="I144" s="4"/>
      <c r="J144" s="4">
        <v>8</v>
      </c>
      <c r="K144" s="4">
        <v>9</v>
      </c>
      <c r="L144" s="4"/>
      <c r="M144" s="4"/>
    </row>
    <row r="145" spans="1:13" ht="15.75" customHeight="1" x14ac:dyDescent="0.2">
      <c r="A145" s="4"/>
      <c r="B145" s="4"/>
      <c r="C145" s="6">
        <v>44068</v>
      </c>
      <c r="D145" s="8">
        <v>0.39583333333333331</v>
      </c>
      <c r="E145" s="1">
        <v>0.01</v>
      </c>
      <c r="F145" s="4">
        <v>7.28</v>
      </c>
      <c r="G145" s="4">
        <v>83.3</v>
      </c>
      <c r="H145" s="4">
        <v>22</v>
      </c>
      <c r="I145" s="4"/>
      <c r="J145" s="4"/>
      <c r="K145" s="4"/>
      <c r="L145" s="4"/>
      <c r="M145" s="4"/>
    </row>
    <row r="146" spans="1:13" ht="15.75" customHeight="1" x14ac:dyDescent="0.2">
      <c r="A146" s="4"/>
      <c r="B146" s="4"/>
      <c r="C146" s="6">
        <v>44068</v>
      </c>
      <c r="D146" s="8">
        <v>0.39583333333333331</v>
      </c>
      <c r="E146" s="1">
        <v>1</v>
      </c>
      <c r="F146" s="4">
        <v>7.28</v>
      </c>
      <c r="G146" s="4"/>
      <c r="H146" s="4">
        <v>22</v>
      </c>
      <c r="I146" s="4"/>
      <c r="J146" s="4"/>
      <c r="K146" s="4"/>
      <c r="L146" s="4"/>
      <c r="M146" s="4"/>
    </row>
    <row r="147" spans="1:13" ht="15.75" customHeight="1" x14ac:dyDescent="0.2">
      <c r="A147" s="4"/>
      <c r="B147" s="4"/>
      <c r="C147" s="6">
        <v>44068</v>
      </c>
      <c r="D147" s="8">
        <v>0.39583333333333331</v>
      </c>
      <c r="E147" s="1">
        <v>2</v>
      </c>
      <c r="F147" s="4">
        <v>7.26</v>
      </c>
      <c r="G147" s="4"/>
      <c r="H147" s="4">
        <v>22</v>
      </c>
      <c r="I147" s="4"/>
      <c r="J147" s="4"/>
      <c r="K147" s="4"/>
      <c r="L147" s="4"/>
      <c r="M147" s="4"/>
    </row>
    <row r="148" spans="1:13" ht="15.75" customHeight="1" x14ac:dyDescent="0.2">
      <c r="A148" s="4"/>
      <c r="B148" s="4"/>
      <c r="C148" s="6">
        <v>44068</v>
      </c>
      <c r="D148" s="8">
        <v>0.39583333333333331</v>
      </c>
      <c r="E148" s="1">
        <v>3</v>
      </c>
      <c r="F148" s="4">
        <v>7.25</v>
      </c>
      <c r="G148" s="4"/>
      <c r="H148" s="4">
        <v>22</v>
      </c>
      <c r="I148" s="4"/>
      <c r="J148" s="4"/>
      <c r="K148" s="4"/>
      <c r="L148" s="4"/>
      <c r="M148" s="4"/>
    </row>
    <row r="149" spans="1:13" ht="15.75" customHeight="1" x14ac:dyDescent="0.2">
      <c r="A149" s="4"/>
      <c r="B149" s="4"/>
      <c r="C149" s="6">
        <v>44068</v>
      </c>
      <c r="D149" s="8">
        <v>0.39583333333333331</v>
      </c>
      <c r="E149" s="1">
        <v>4</v>
      </c>
      <c r="F149" s="4">
        <v>7.24</v>
      </c>
      <c r="G149" s="4"/>
      <c r="H149" s="4">
        <v>22</v>
      </c>
      <c r="I149" s="4"/>
      <c r="J149" s="4"/>
      <c r="K149" s="4"/>
      <c r="L149" s="4"/>
      <c r="M149" s="4"/>
    </row>
    <row r="150" spans="1:13" ht="15.75" customHeight="1" x14ac:dyDescent="0.2">
      <c r="A150" s="4"/>
      <c r="B150" s="4"/>
      <c r="C150" s="6">
        <v>44068</v>
      </c>
      <c r="D150" s="8">
        <v>0.39583333333333331</v>
      </c>
      <c r="E150" s="1">
        <v>5</v>
      </c>
      <c r="F150" s="4">
        <v>7.23</v>
      </c>
      <c r="G150" s="4"/>
      <c r="H150" s="4">
        <v>22</v>
      </c>
      <c r="I150" s="4"/>
      <c r="J150" s="4"/>
      <c r="K150" s="4"/>
      <c r="L150" s="4"/>
      <c r="M150" s="4"/>
    </row>
    <row r="151" spans="1:13" ht="15.75" customHeight="1" x14ac:dyDescent="0.2">
      <c r="A151" s="4"/>
      <c r="B151" s="4"/>
      <c r="C151" s="6">
        <v>44068</v>
      </c>
      <c r="D151" s="8">
        <v>0.39583333333333331</v>
      </c>
      <c r="E151" s="1">
        <v>6</v>
      </c>
      <c r="F151" s="4">
        <v>7.22</v>
      </c>
      <c r="G151" s="4"/>
      <c r="H151" s="4">
        <v>22</v>
      </c>
      <c r="I151" s="4"/>
      <c r="J151" s="4"/>
      <c r="K151" s="4"/>
      <c r="L151" s="4"/>
      <c r="M151" s="4"/>
    </row>
    <row r="152" spans="1:13" ht="15.75" customHeight="1" x14ac:dyDescent="0.2">
      <c r="A152" s="4"/>
      <c r="B152" s="4"/>
      <c r="C152" s="6">
        <v>44068</v>
      </c>
      <c r="D152" s="8">
        <v>0.39583333333333331</v>
      </c>
      <c r="E152" s="1">
        <v>7</v>
      </c>
      <c r="F152" s="4">
        <v>7.2</v>
      </c>
      <c r="G152" s="4"/>
      <c r="H152" s="4">
        <v>22</v>
      </c>
      <c r="I152" s="4"/>
      <c r="J152" s="4"/>
      <c r="K152" s="4"/>
      <c r="L152" s="4"/>
      <c r="M152" s="4"/>
    </row>
    <row r="153" spans="1:13" ht="15.75" customHeight="1" x14ac:dyDescent="0.2">
      <c r="A153" s="4"/>
      <c r="B153" s="4"/>
      <c r="C153" s="6">
        <v>44068</v>
      </c>
      <c r="D153" s="8">
        <v>0.39583333333333331</v>
      </c>
      <c r="E153" s="1">
        <v>8</v>
      </c>
      <c r="F153" s="4">
        <v>7.2</v>
      </c>
      <c r="G153" s="4"/>
      <c r="H153" s="4">
        <v>21.9</v>
      </c>
      <c r="I153" s="4"/>
      <c r="J153" s="4"/>
      <c r="K153" s="4"/>
      <c r="L153" s="4"/>
      <c r="M153" s="4"/>
    </row>
    <row r="154" spans="1:13" ht="15.75" customHeight="1" x14ac:dyDescent="0.2">
      <c r="A154" s="4"/>
      <c r="B154" s="4"/>
      <c r="C154" s="6">
        <v>44068</v>
      </c>
      <c r="D154" s="8">
        <v>0.39583333333333331</v>
      </c>
      <c r="E154" s="1">
        <v>9</v>
      </c>
      <c r="F154" s="4">
        <v>7.2</v>
      </c>
      <c r="G154" s="4"/>
      <c r="H154" s="4">
        <v>21.7</v>
      </c>
      <c r="I154" s="4"/>
      <c r="J154" s="4"/>
      <c r="K154" s="4"/>
      <c r="L154" s="4"/>
      <c r="M154" s="4"/>
    </row>
    <row r="155" spans="1:13" ht="15.75" customHeight="1" x14ac:dyDescent="0.2">
      <c r="A155" s="4"/>
      <c r="B155" s="4"/>
      <c r="C155" s="6">
        <v>44068</v>
      </c>
      <c r="D155" s="8">
        <v>0.39583333333333331</v>
      </c>
      <c r="E155" s="1">
        <v>10</v>
      </c>
      <c r="F155" s="4">
        <v>7.18</v>
      </c>
      <c r="G155" s="4"/>
      <c r="H155" s="4">
        <v>21.7</v>
      </c>
      <c r="I155" s="4"/>
      <c r="J155" s="4"/>
      <c r="K155" s="4"/>
      <c r="L155" s="4"/>
      <c r="M155" s="4"/>
    </row>
    <row r="156" spans="1:13" ht="15.75" customHeight="1" x14ac:dyDescent="0.2">
      <c r="A156" s="4"/>
      <c r="B156" s="4"/>
      <c r="C156" s="6">
        <v>44068</v>
      </c>
      <c r="D156" s="8">
        <v>0.39583333333333331</v>
      </c>
      <c r="E156" s="1">
        <v>11</v>
      </c>
      <c r="F156" s="4">
        <v>7.13</v>
      </c>
      <c r="G156" s="4">
        <v>80.599999999999994</v>
      </c>
      <c r="H156" s="4">
        <v>21.6</v>
      </c>
      <c r="I156" s="4"/>
      <c r="J156" s="4"/>
      <c r="K156" s="4"/>
      <c r="L156" s="4"/>
      <c r="M156" s="4"/>
    </row>
    <row r="157" spans="1:13" ht="15.75" customHeight="1" x14ac:dyDescent="0.2">
      <c r="A157" s="4"/>
      <c r="B157" s="4"/>
      <c r="C157" s="6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1:13" ht="15.75" customHeight="1" x14ac:dyDescent="0.2">
      <c r="C158" s="6">
        <v>44102</v>
      </c>
      <c r="D158" s="4"/>
      <c r="E158" s="4"/>
      <c r="F158" s="4"/>
      <c r="G158" s="4"/>
      <c r="H158" s="4"/>
      <c r="I158" s="4"/>
      <c r="J158" s="4">
        <v>9.5</v>
      </c>
      <c r="K158" s="4">
        <v>10</v>
      </c>
      <c r="L158" s="4"/>
      <c r="M158" s="4"/>
    </row>
    <row r="159" spans="1:13" ht="15.75" customHeight="1" x14ac:dyDescent="0.2">
      <c r="C159" s="6">
        <v>44102</v>
      </c>
      <c r="D159" s="12">
        <v>0.43055555555555558</v>
      </c>
      <c r="E159" s="1">
        <v>0.01</v>
      </c>
      <c r="F159" s="1">
        <v>8.02</v>
      </c>
      <c r="G159" s="1">
        <v>82.2</v>
      </c>
      <c r="H159" s="4">
        <v>16.600000000000001</v>
      </c>
    </row>
    <row r="160" spans="1:13" ht="15.75" customHeight="1" x14ac:dyDescent="0.2">
      <c r="C160" s="6">
        <v>44102</v>
      </c>
      <c r="D160" s="12">
        <v>0.43055555555555558</v>
      </c>
      <c r="E160" s="1">
        <v>1</v>
      </c>
      <c r="F160" s="1">
        <v>7.9</v>
      </c>
      <c r="H160" s="4">
        <v>16.8</v>
      </c>
    </row>
    <row r="161" spans="3:12" ht="15.75" customHeight="1" x14ac:dyDescent="0.2">
      <c r="C161" s="6">
        <v>44102</v>
      </c>
      <c r="D161" s="12">
        <v>0.43055555555555558</v>
      </c>
      <c r="E161" s="1">
        <v>2</v>
      </c>
      <c r="F161" s="1">
        <v>7.87</v>
      </c>
      <c r="H161" s="4">
        <v>16.8</v>
      </c>
    </row>
    <row r="162" spans="3:12" ht="15.75" customHeight="1" x14ac:dyDescent="0.2">
      <c r="C162" s="6">
        <v>44102</v>
      </c>
      <c r="D162" s="12">
        <v>0.43055555555555558</v>
      </c>
      <c r="E162" s="1">
        <v>3</v>
      </c>
      <c r="F162" s="1">
        <v>7.85</v>
      </c>
      <c r="H162" s="4">
        <v>16.8</v>
      </c>
    </row>
    <row r="163" spans="3:12" ht="15.75" customHeight="1" x14ac:dyDescent="0.2">
      <c r="C163" s="6">
        <v>44102</v>
      </c>
      <c r="D163" s="12">
        <v>0.43055555555555558</v>
      </c>
      <c r="E163" s="1">
        <v>4</v>
      </c>
      <c r="F163" s="1">
        <v>7.84</v>
      </c>
      <c r="H163" s="4">
        <v>16.8</v>
      </c>
    </row>
    <row r="164" spans="3:12" ht="15.75" customHeight="1" x14ac:dyDescent="0.2">
      <c r="C164" s="6">
        <v>44102</v>
      </c>
      <c r="D164" s="12">
        <v>0.43055555555555558</v>
      </c>
      <c r="E164" s="1">
        <v>5</v>
      </c>
      <c r="F164" s="1">
        <v>7.82</v>
      </c>
      <c r="H164" s="4">
        <v>16.8</v>
      </c>
    </row>
    <row r="165" spans="3:12" ht="15.75" customHeight="1" x14ac:dyDescent="0.2">
      <c r="C165" s="6">
        <v>44102</v>
      </c>
      <c r="D165" s="12">
        <v>0.43055555555555558</v>
      </c>
      <c r="E165" s="1">
        <v>6</v>
      </c>
      <c r="F165" s="1">
        <v>7.81</v>
      </c>
      <c r="H165" s="4">
        <v>16.8</v>
      </c>
    </row>
    <row r="166" spans="3:12" ht="15.75" customHeight="1" x14ac:dyDescent="0.2">
      <c r="C166" s="6">
        <v>44102</v>
      </c>
      <c r="D166" s="12">
        <v>0.43055555555555558</v>
      </c>
      <c r="E166" s="1">
        <v>7</v>
      </c>
      <c r="F166" s="1">
        <v>7.8</v>
      </c>
      <c r="H166" s="4">
        <v>16.8</v>
      </c>
    </row>
    <row r="167" spans="3:12" ht="15.75" customHeight="1" x14ac:dyDescent="0.2">
      <c r="C167" s="6">
        <v>44102</v>
      </c>
      <c r="D167" s="12">
        <v>0.43055555555555558</v>
      </c>
      <c r="E167" s="1">
        <v>8</v>
      </c>
      <c r="F167" s="1">
        <v>7.79</v>
      </c>
      <c r="H167" s="4">
        <v>16.8</v>
      </c>
    </row>
    <row r="168" spans="3:12" ht="15.75" customHeight="1" x14ac:dyDescent="0.2">
      <c r="C168" s="6">
        <v>44102</v>
      </c>
      <c r="D168" s="12">
        <v>0.43055555555555558</v>
      </c>
      <c r="E168" s="1">
        <v>9</v>
      </c>
      <c r="F168" s="1">
        <v>7.78</v>
      </c>
      <c r="H168" s="4">
        <v>16.7</v>
      </c>
    </row>
    <row r="169" spans="3:12" ht="15.75" customHeight="1" x14ac:dyDescent="0.2">
      <c r="C169" s="6">
        <v>44102</v>
      </c>
      <c r="D169" s="12">
        <v>0.43055555555555558</v>
      </c>
      <c r="E169" s="1">
        <v>10</v>
      </c>
      <c r="F169" s="1">
        <v>7.78</v>
      </c>
      <c r="H169" s="4">
        <v>16.7</v>
      </c>
    </row>
    <row r="170" spans="3:12" ht="15.75" customHeight="1" x14ac:dyDescent="0.2">
      <c r="C170" s="6">
        <v>44102</v>
      </c>
      <c r="D170" s="12">
        <v>0.43055555555555558</v>
      </c>
      <c r="E170" s="1">
        <v>11</v>
      </c>
      <c r="F170" s="1">
        <v>7.74</v>
      </c>
      <c r="G170" s="1">
        <v>79.5</v>
      </c>
      <c r="H170" s="4">
        <v>16.7</v>
      </c>
    </row>
    <row r="171" spans="3:12" ht="15.75" customHeight="1" x14ac:dyDescent="0.2">
      <c r="H171" s="4"/>
    </row>
    <row r="172" spans="3:12" ht="15.75" customHeight="1" x14ac:dyDescent="0.2">
      <c r="H172" s="4"/>
    </row>
    <row r="173" spans="3:12" ht="15.75" customHeight="1" x14ac:dyDescent="0.2">
      <c r="C173" s="1" t="s">
        <v>63</v>
      </c>
      <c r="H173" s="4"/>
      <c r="J173" s="1">
        <v>6</v>
      </c>
      <c r="K173" s="1">
        <v>7.25</v>
      </c>
      <c r="L173" s="13"/>
    </row>
    <row r="174" spans="3:12" ht="15.75" customHeight="1" x14ac:dyDescent="0.2">
      <c r="C174" s="1" t="s">
        <v>64</v>
      </c>
      <c r="H174" s="4"/>
      <c r="J174" s="1">
        <v>8</v>
      </c>
      <c r="K174" s="1">
        <v>8</v>
      </c>
      <c r="L174" s="13"/>
    </row>
    <row r="175" spans="3:12" ht="15.75" customHeight="1" x14ac:dyDescent="0.2">
      <c r="C175" s="1" t="s">
        <v>65</v>
      </c>
      <c r="J175" s="1">
        <v>7</v>
      </c>
      <c r="K175" s="1">
        <v>7</v>
      </c>
      <c r="L175" s="13"/>
    </row>
    <row r="176" spans="3:12" ht="15.75" customHeight="1" x14ac:dyDescent="0.2">
      <c r="C176" s="1" t="s">
        <v>66</v>
      </c>
      <c r="J176" s="1">
        <v>7</v>
      </c>
      <c r="K176" s="1">
        <v>7</v>
      </c>
      <c r="L176" s="13"/>
    </row>
    <row r="177" spans="3:12" ht="15.75" customHeight="1" x14ac:dyDescent="0.2"/>
    <row r="178" spans="3:12" ht="15.75" customHeight="1" x14ac:dyDescent="0.2">
      <c r="C178" s="205">
        <v>42877</v>
      </c>
      <c r="D178" s="185">
        <v>0.58333333333333337</v>
      </c>
      <c r="J178">
        <v>5</v>
      </c>
      <c r="K178">
        <v>5</v>
      </c>
    </row>
    <row r="179" spans="3:12" ht="15.75" customHeight="1" x14ac:dyDescent="0.2">
      <c r="C179" s="205">
        <v>42877</v>
      </c>
      <c r="D179" s="185">
        <v>0.59027777777777779</v>
      </c>
      <c r="E179">
        <v>0.1</v>
      </c>
      <c r="F179">
        <v>9.51</v>
      </c>
      <c r="G179">
        <v>91</v>
      </c>
      <c r="H179">
        <v>13.3</v>
      </c>
      <c r="J179" s="1"/>
      <c r="K179" s="1"/>
    </row>
    <row r="180" spans="3:12" ht="15.75" customHeight="1" x14ac:dyDescent="0.2">
      <c r="C180" s="205">
        <v>42877</v>
      </c>
      <c r="D180" s="185">
        <v>0.59027777777777779</v>
      </c>
      <c r="E180">
        <v>1</v>
      </c>
      <c r="F180">
        <v>9.6</v>
      </c>
      <c r="G180">
        <v>91.3</v>
      </c>
      <c r="H180">
        <v>13.1</v>
      </c>
      <c r="J180" s="1"/>
      <c r="K180" s="1"/>
      <c r="L180" s="14"/>
    </row>
    <row r="181" spans="3:12" ht="15.75" customHeight="1" x14ac:dyDescent="0.2">
      <c r="C181" s="205">
        <v>42877</v>
      </c>
      <c r="D181" s="185">
        <v>0.59027777777777779</v>
      </c>
      <c r="E181">
        <v>2</v>
      </c>
      <c r="F181">
        <v>9.65</v>
      </c>
      <c r="G181">
        <v>91.2</v>
      </c>
      <c r="H181">
        <v>12.8</v>
      </c>
      <c r="J181" s="1"/>
      <c r="K181" s="1"/>
      <c r="L181" s="14"/>
    </row>
    <row r="182" spans="3:12" ht="15.75" customHeight="1" x14ac:dyDescent="0.2">
      <c r="C182" s="205">
        <v>42877</v>
      </c>
      <c r="D182" s="185">
        <v>0.59027777777777779</v>
      </c>
      <c r="E182">
        <v>3</v>
      </c>
      <c r="F182" s="1">
        <v>9.68</v>
      </c>
      <c r="G182">
        <v>91</v>
      </c>
      <c r="H182">
        <v>12.6</v>
      </c>
      <c r="J182" s="1"/>
      <c r="K182" s="1"/>
      <c r="L182" s="14"/>
    </row>
    <row r="183" spans="3:12" ht="15.75" customHeight="1" x14ac:dyDescent="0.2">
      <c r="C183" s="205">
        <v>42877</v>
      </c>
      <c r="D183" s="185">
        <v>0.59027777777777779</v>
      </c>
      <c r="E183">
        <v>4</v>
      </c>
      <c r="F183">
        <v>10.34</v>
      </c>
      <c r="G183">
        <v>92</v>
      </c>
      <c r="H183">
        <v>10.199999999999999</v>
      </c>
      <c r="J183" s="1"/>
      <c r="K183" s="1"/>
      <c r="L183" s="14"/>
    </row>
    <row r="184" spans="3:12" ht="15.75" customHeight="1" x14ac:dyDescent="0.2">
      <c r="C184" s="1"/>
      <c r="F184" s="1"/>
      <c r="J184" s="1"/>
      <c r="K184" s="1"/>
      <c r="L184" s="14"/>
    </row>
    <row r="185" spans="3:12" ht="15.75" customHeight="1" x14ac:dyDescent="0.2">
      <c r="C185" s="205">
        <v>42905</v>
      </c>
      <c r="D185" s="185">
        <v>0.57638888888888895</v>
      </c>
      <c r="J185">
        <v>6</v>
      </c>
      <c r="K185">
        <v>6</v>
      </c>
    </row>
    <row r="186" spans="3:12" ht="15.75" customHeight="1" x14ac:dyDescent="0.2">
      <c r="C186" s="205">
        <v>42905</v>
      </c>
      <c r="D186" s="185">
        <v>0.57986111111111105</v>
      </c>
      <c r="E186">
        <v>0.1</v>
      </c>
      <c r="F186">
        <v>8.83</v>
      </c>
      <c r="G186">
        <v>90.2</v>
      </c>
      <c r="H186">
        <v>16.399999999999999</v>
      </c>
    </row>
    <row r="187" spans="3:12" ht="15.75" customHeight="1" x14ac:dyDescent="0.2">
      <c r="C187" s="205">
        <v>42905</v>
      </c>
      <c r="D187" s="185">
        <v>0.57986111111111105</v>
      </c>
      <c r="E187">
        <v>1</v>
      </c>
      <c r="F187">
        <v>8.81</v>
      </c>
      <c r="G187">
        <v>89.9</v>
      </c>
      <c r="H187">
        <v>16.3</v>
      </c>
    </row>
    <row r="188" spans="3:12" ht="15.75" customHeight="1" x14ac:dyDescent="0.2">
      <c r="C188" s="205">
        <v>42905</v>
      </c>
      <c r="D188" s="185">
        <v>0.57986111111111105</v>
      </c>
      <c r="E188">
        <v>2</v>
      </c>
      <c r="F188">
        <v>8.83</v>
      </c>
      <c r="G188">
        <v>89.7</v>
      </c>
      <c r="H188">
        <v>16.100000000000001</v>
      </c>
    </row>
    <row r="189" spans="3:12" ht="15.75" customHeight="1" x14ac:dyDescent="0.2">
      <c r="C189" s="205">
        <v>42905</v>
      </c>
      <c r="D189" s="185">
        <v>0.57986111111111105</v>
      </c>
      <c r="E189">
        <v>3</v>
      </c>
      <c r="F189">
        <v>8.83</v>
      </c>
      <c r="G189">
        <v>89.3</v>
      </c>
      <c r="H189">
        <v>15.9</v>
      </c>
    </row>
    <row r="190" spans="3:12" ht="15.75" customHeight="1" x14ac:dyDescent="0.2">
      <c r="C190" s="205">
        <v>42905</v>
      </c>
      <c r="D190" s="185">
        <v>0.57986111111111105</v>
      </c>
      <c r="E190">
        <v>4</v>
      </c>
      <c r="F190">
        <v>8.81</v>
      </c>
      <c r="G190">
        <v>88.1</v>
      </c>
      <c r="H190">
        <v>15.4</v>
      </c>
    </row>
    <row r="191" spans="3:12" ht="15.75" customHeight="1" x14ac:dyDescent="0.2">
      <c r="C191" s="205">
        <v>42905</v>
      </c>
      <c r="D191" s="185">
        <v>0.57986111111111105</v>
      </c>
      <c r="E191">
        <v>5</v>
      </c>
      <c r="F191">
        <v>8.84</v>
      </c>
      <c r="G191">
        <v>88.1</v>
      </c>
      <c r="H191">
        <v>15.2</v>
      </c>
    </row>
    <row r="192" spans="3:12" ht="15.75" customHeight="1" x14ac:dyDescent="0.2"/>
    <row r="193" spans="3:11" ht="15.75" customHeight="1" x14ac:dyDescent="0.2">
      <c r="C193" s="205">
        <v>42933</v>
      </c>
      <c r="D193" s="185">
        <v>0.48958333333333331</v>
      </c>
      <c r="J193">
        <v>5</v>
      </c>
      <c r="K193">
        <v>5</v>
      </c>
    </row>
    <row r="194" spans="3:11" ht="15.75" customHeight="1" x14ac:dyDescent="0.2">
      <c r="C194" s="205">
        <v>42933</v>
      </c>
      <c r="D194" s="185">
        <v>0.49305555555555558</v>
      </c>
      <c r="E194">
        <v>0.1</v>
      </c>
      <c r="F194">
        <v>7.32</v>
      </c>
      <c r="G194">
        <v>85.2</v>
      </c>
      <c r="H194">
        <v>22.9</v>
      </c>
    </row>
    <row r="195" spans="3:11" ht="15.75" customHeight="1" x14ac:dyDescent="0.2">
      <c r="C195" s="205">
        <v>42933</v>
      </c>
      <c r="D195" s="185">
        <v>0.49305555555555558</v>
      </c>
      <c r="E195">
        <v>1</v>
      </c>
      <c r="F195">
        <v>7.34</v>
      </c>
      <c r="G195">
        <v>85.3</v>
      </c>
      <c r="H195">
        <v>22.8</v>
      </c>
    </row>
    <row r="196" spans="3:11" ht="15.75" customHeight="1" x14ac:dyDescent="0.2">
      <c r="C196" s="205">
        <v>42933</v>
      </c>
      <c r="D196" s="185">
        <v>0.49305555555555558</v>
      </c>
      <c r="E196">
        <v>2</v>
      </c>
      <c r="F196">
        <v>7.34</v>
      </c>
      <c r="G196">
        <v>85.2</v>
      </c>
      <c r="H196">
        <v>22.8</v>
      </c>
    </row>
    <row r="197" spans="3:11" ht="15.75" customHeight="1" x14ac:dyDescent="0.2">
      <c r="C197" s="205">
        <v>42933</v>
      </c>
      <c r="D197" s="185">
        <v>0.49305555555555558</v>
      </c>
      <c r="E197">
        <v>3</v>
      </c>
      <c r="F197">
        <v>7.34</v>
      </c>
      <c r="G197">
        <v>85.1</v>
      </c>
      <c r="H197">
        <v>22.7</v>
      </c>
    </row>
    <row r="198" spans="3:11" ht="15.75" customHeight="1" x14ac:dyDescent="0.2">
      <c r="C198" s="205">
        <v>42933</v>
      </c>
      <c r="D198" s="185">
        <v>0.49305555555555558</v>
      </c>
      <c r="E198">
        <v>4</v>
      </c>
      <c r="F198">
        <v>7.74</v>
      </c>
      <c r="G198">
        <v>89.9</v>
      </c>
      <c r="H198">
        <v>22.4</v>
      </c>
    </row>
    <row r="199" spans="3:11" ht="15.75" customHeight="1" x14ac:dyDescent="0.2"/>
    <row r="200" spans="3:11" ht="15.75" customHeight="1" x14ac:dyDescent="0.2">
      <c r="C200" s="205">
        <v>42968</v>
      </c>
      <c r="D200" s="185">
        <v>0.60416666666666663</v>
      </c>
      <c r="J200">
        <v>5.5</v>
      </c>
      <c r="K200">
        <v>5.5</v>
      </c>
    </row>
    <row r="201" spans="3:11" ht="15.75" customHeight="1" x14ac:dyDescent="0.2">
      <c r="C201" s="205">
        <v>42968</v>
      </c>
      <c r="D201" s="185">
        <v>0.60763888888888895</v>
      </c>
      <c r="E201">
        <v>0.1</v>
      </c>
      <c r="F201">
        <v>7.36</v>
      </c>
      <c r="G201">
        <v>84.9</v>
      </c>
      <c r="H201">
        <v>22.4</v>
      </c>
    </row>
    <row r="202" spans="3:11" ht="15.75" customHeight="1" x14ac:dyDescent="0.2">
      <c r="C202" s="205">
        <v>42968</v>
      </c>
      <c r="D202" s="185">
        <v>0.60763888888888895</v>
      </c>
      <c r="E202">
        <v>1</v>
      </c>
      <c r="F202">
        <v>7.38</v>
      </c>
      <c r="G202">
        <v>84.9</v>
      </c>
      <c r="H202">
        <v>22.3</v>
      </c>
    </row>
    <row r="203" spans="3:11" ht="15.75" customHeight="1" x14ac:dyDescent="0.2">
      <c r="C203" s="205">
        <v>42968</v>
      </c>
      <c r="D203" s="185">
        <v>0.60763888888888895</v>
      </c>
      <c r="E203">
        <v>2</v>
      </c>
      <c r="F203">
        <v>7.37</v>
      </c>
      <c r="G203">
        <v>84.7</v>
      </c>
      <c r="H203">
        <v>22.3</v>
      </c>
    </row>
    <row r="204" spans="3:11" ht="15.75" customHeight="1" x14ac:dyDescent="0.2">
      <c r="C204" s="205">
        <v>42968</v>
      </c>
      <c r="D204" s="185">
        <v>0.60763888888888895</v>
      </c>
      <c r="E204">
        <v>3</v>
      </c>
      <c r="F204">
        <v>7.36</v>
      </c>
      <c r="G204">
        <v>84.6</v>
      </c>
      <c r="H204">
        <v>22.2</v>
      </c>
    </row>
    <row r="205" spans="3:11" ht="15.75" customHeight="1" x14ac:dyDescent="0.2">
      <c r="C205" s="205">
        <v>42968</v>
      </c>
      <c r="D205" s="185">
        <v>0.60763888888888895</v>
      </c>
      <c r="E205">
        <v>4</v>
      </c>
      <c r="F205">
        <v>7.35</v>
      </c>
      <c r="G205">
        <v>84.4</v>
      </c>
      <c r="H205">
        <v>22.2</v>
      </c>
    </row>
    <row r="206" spans="3:11" ht="15.75" customHeight="1" x14ac:dyDescent="0.2"/>
    <row r="207" spans="3:11" ht="15.75" customHeight="1" x14ac:dyDescent="0.2">
      <c r="C207" s="205">
        <v>43003</v>
      </c>
      <c r="D207" s="185">
        <v>0.60763888888888895</v>
      </c>
      <c r="J207">
        <v>4.75</v>
      </c>
      <c r="K207">
        <v>4.75</v>
      </c>
    </row>
    <row r="208" spans="3:11" ht="15.75" customHeight="1" x14ac:dyDescent="0.2">
      <c r="C208" s="205">
        <v>43003</v>
      </c>
      <c r="D208" s="185">
        <v>0.61458333333333337</v>
      </c>
      <c r="E208">
        <v>0.1</v>
      </c>
      <c r="F208">
        <v>8.08</v>
      </c>
      <c r="G208">
        <v>83.1</v>
      </c>
      <c r="H208">
        <v>16.7</v>
      </c>
    </row>
    <row r="209" spans="2:11" ht="15.75" customHeight="1" x14ac:dyDescent="0.2">
      <c r="C209" s="205">
        <v>43003</v>
      </c>
      <c r="D209" s="185">
        <v>0.61458333333333337</v>
      </c>
      <c r="E209">
        <v>1</v>
      </c>
      <c r="F209">
        <v>8.09</v>
      </c>
      <c r="G209">
        <v>83</v>
      </c>
      <c r="H209">
        <v>16.600000000000001</v>
      </c>
    </row>
    <row r="210" spans="2:11" ht="15.75" customHeight="1" x14ac:dyDescent="0.2">
      <c r="C210" s="205">
        <v>43003</v>
      </c>
      <c r="D210" s="185">
        <v>0.61458333333333337</v>
      </c>
      <c r="E210">
        <v>2</v>
      </c>
      <c r="F210">
        <v>8.08</v>
      </c>
      <c r="G210">
        <v>82.9</v>
      </c>
      <c r="H210">
        <v>16.600000000000001</v>
      </c>
    </row>
    <row r="211" spans="2:11" ht="15.75" customHeight="1" x14ac:dyDescent="0.2">
      <c r="C211" s="205">
        <v>43003</v>
      </c>
      <c r="D211" s="185">
        <v>0.61458333333333337</v>
      </c>
      <c r="E211">
        <v>3</v>
      </c>
      <c r="F211">
        <v>8.07</v>
      </c>
      <c r="G211">
        <v>82.8</v>
      </c>
      <c r="H211">
        <v>16.600000000000001</v>
      </c>
    </row>
    <row r="212" spans="2:11" ht="15.75" customHeight="1" x14ac:dyDescent="0.2">
      <c r="C212" s="205">
        <v>43003</v>
      </c>
      <c r="D212" s="185">
        <v>0.61458333333333337</v>
      </c>
      <c r="E212">
        <v>4</v>
      </c>
      <c r="F212">
        <v>8.5500000000000007</v>
      </c>
      <c r="G212">
        <v>87.3</v>
      </c>
      <c r="H212">
        <v>16.2</v>
      </c>
    </row>
    <row r="213" spans="2:11" ht="15.75" customHeight="1" x14ac:dyDescent="0.2"/>
    <row r="214" spans="2:11" ht="15.75" customHeight="1" x14ac:dyDescent="0.2">
      <c r="C214" s="205">
        <v>43024</v>
      </c>
      <c r="D214" s="185">
        <v>0.47916666666666669</v>
      </c>
      <c r="J214">
        <v>5</v>
      </c>
      <c r="K214">
        <v>5</v>
      </c>
    </row>
    <row r="215" spans="2:11" ht="15.75" customHeight="1" x14ac:dyDescent="0.2">
      <c r="C215" s="205">
        <v>43024</v>
      </c>
      <c r="D215" s="185">
        <v>0.4826388888888889</v>
      </c>
      <c r="E215">
        <v>0.1</v>
      </c>
      <c r="F215">
        <v>8.65</v>
      </c>
      <c r="G215">
        <v>81.599999999999994</v>
      </c>
      <c r="H215">
        <v>12.7</v>
      </c>
    </row>
    <row r="216" spans="2:11" ht="15.75" customHeight="1" x14ac:dyDescent="0.2">
      <c r="C216" s="205">
        <v>43024</v>
      </c>
      <c r="D216" s="185">
        <v>0.4826388888888889</v>
      </c>
      <c r="E216">
        <v>1</v>
      </c>
      <c r="F216">
        <v>8.64</v>
      </c>
      <c r="G216">
        <v>81.099999999999994</v>
      </c>
      <c r="H216">
        <v>12.6</v>
      </c>
    </row>
    <row r="217" spans="2:11" ht="15.75" customHeight="1" x14ac:dyDescent="0.2">
      <c r="C217" s="205">
        <v>43024</v>
      </c>
      <c r="D217" s="185">
        <v>0.4826388888888889</v>
      </c>
      <c r="E217">
        <v>2</v>
      </c>
      <c r="F217">
        <v>8.6199999999999992</v>
      </c>
      <c r="G217">
        <v>80.900000000000006</v>
      </c>
      <c r="H217">
        <v>12.5</v>
      </c>
    </row>
    <row r="218" spans="2:11" ht="15.75" customHeight="1" x14ac:dyDescent="0.2">
      <c r="C218" s="205">
        <v>43024</v>
      </c>
      <c r="D218" s="185">
        <v>0.4826388888888889</v>
      </c>
      <c r="E218">
        <v>3</v>
      </c>
      <c r="F218">
        <v>8.61</v>
      </c>
      <c r="G218">
        <v>80.5</v>
      </c>
      <c r="H218">
        <v>12.4</v>
      </c>
    </row>
    <row r="219" spans="2:11" ht="15.75" customHeight="1" x14ac:dyDescent="0.2">
      <c r="C219" s="205">
        <v>43024</v>
      </c>
      <c r="D219" s="185">
        <v>0.4826388888888889</v>
      </c>
      <c r="E219">
        <v>4</v>
      </c>
      <c r="F219">
        <v>8.9600000000000009</v>
      </c>
      <c r="G219">
        <v>81.3</v>
      </c>
      <c r="H219">
        <v>11</v>
      </c>
    </row>
    <row r="220" spans="2:11" ht="15.75" customHeight="1" x14ac:dyDescent="0.2"/>
    <row r="221" spans="2:11" ht="15.75" customHeight="1" x14ac:dyDescent="0.2"/>
    <row r="222" spans="2:11" ht="15.75" customHeight="1" x14ac:dyDescent="0.2">
      <c r="B222">
        <v>7.7</v>
      </c>
      <c r="C222" s="205">
        <v>34963</v>
      </c>
      <c r="D222" s="226" t="s">
        <v>598</v>
      </c>
      <c r="J222" t="s">
        <v>599</v>
      </c>
    </row>
    <row r="223" spans="2:11" ht="15.75" customHeight="1" x14ac:dyDescent="0.2">
      <c r="C223" s="205">
        <v>34963</v>
      </c>
      <c r="D223" s="226" t="s">
        <v>598</v>
      </c>
      <c r="E223">
        <v>1</v>
      </c>
      <c r="F223">
        <v>9.1999999999999993</v>
      </c>
      <c r="H223">
        <v>17.899999999999999</v>
      </c>
    </row>
    <row r="224" spans="2:11" ht="15.75" customHeight="1" x14ac:dyDescent="0.2">
      <c r="C224" s="205">
        <v>34963</v>
      </c>
      <c r="D224" s="226" t="s">
        <v>598</v>
      </c>
      <c r="E224">
        <v>9</v>
      </c>
      <c r="F224">
        <v>8.6</v>
      </c>
      <c r="H224">
        <v>17.600000000000001</v>
      </c>
    </row>
    <row r="225" spans="2:10" ht="15.75" customHeight="1" x14ac:dyDescent="0.2">
      <c r="D225" s="226"/>
    </row>
    <row r="226" spans="2:10" ht="15.75" customHeight="1" x14ac:dyDescent="0.2">
      <c r="C226" s="205">
        <v>34885</v>
      </c>
      <c r="D226" s="227">
        <v>0.58333333333333337</v>
      </c>
      <c r="J226" t="s">
        <v>599</v>
      </c>
    </row>
    <row r="227" spans="2:10" ht="15.75" customHeight="1" x14ac:dyDescent="0.2">
      <c r="B227">
        <v>9.8000000000000007</v>
      </c>
      <c r="C227" s="205">
        <v>34885</v>
      </c>
      <c r="D227" s="227">
        <v>0.58333333333333337</v>
      </c>
      <c r="E227">
        <v>1</v>
      </c>
      <c r="F227">
        <v>9.9</v>
      </c>
      <c r="H227">
        <v>18.600000000000001</v>
      </c>
    </row>
    <row r="228" spans="2:10" ht="15.75" customHeight="1" x14ac:dyDescent="0.2">
      <c r="C228" s="205">
        <v>34885</v>
      </c>
      <c r="D228" s="227">
        <v>0.58333333333333337</v>
      </c>
      <c r="E228">
        <v>7</v>
      </c>
      <c r="F228">
        <v>9.8000000000000007</v>
      </c>
      <c r="H228">
        <v>17.899999999999999</v>
      </c>
    </row>
    <row r="229" spans="2:10" ht="15.75" customHeight="1" x14ac:dyDescent="0.2">
      <c r="D229" s="226"/>
    </row>
    <row r="230" spans="2:10" ht="15.75" customHeight="1" x14ac:dyDescent="0.2">
      <c r="C230" s="205">
        <v>34862</v>
      </c>
      <c r="D230" s="227">
        <v>0.66666666666666663</v>
      </c>
      <c r="J230">
        <v>5</v>
      </c>
    </row>
    <row r="231" spans="2:10" ht="15.75" customHeight="1" x14ac:dyDescent="0.2">
      <c r="B231">
        <v>9.1</v>
      </c>
      <c r="C231" s="205">
        <v>34862</v>
      </c>
      <c r="D231" s="227">
        <v>0.66666666666666663</v>
      </c>
      <c r="E231">
        <v>1</v>
      </c>
      <c r="F231">
        <v>7.7</v>
      </c>
      <c r="H231">
        <v>15.7</v>
      </c>
    </row>
    <row r="232" spans="2:10" ht="15.75" customHeight="1" x14ac:dyDescent="0.2">
      <c r="C232" s="205">
        <v>34862</v>
      </c>
      <c r="D232" s="227">
        <v>0.66666666666666663</v>
      </c>
      <c r="E232">
        <v>9</v>
      </c>
      <c r="F232">
        <v>7.6</v>
      </c>
      <c r="H232">
        <v>14.1</v>
      </c>
    </row>
    <row r="233" spans="2:10" ht="15.75" customHeight="1" x14ac:dyDescent="0.2">
      <c r="D233" s="226"/>
    </row>
    <row r="234" spans="2:10" ht="15.75" customHeight="1" x14ac:dyDescent="0.2">
      <c r="C234" s="205">
        <v>34841</v>
      </c>
      <c r="D234" s="227">
        <v>0.6875</v>
      </c>
      <c r="J234">
        <v>5.5</v>
      </c>
    </row>
    <row r="235" spans="2:10" ht="15.75" customHeight="1" x14ac:dyDescent="0.2">
      <c r="B235" s="186">
        <f>37/3.28</f>
        <v>11.280487804878049</v>
      </c>
      <c r="C235" s="205">
        <v>34841</v>
      </c>
      <c r="D235" s="227">
        <v>0.6875</v>
      </c>
      <c r="E235">
        <v>1</v>
      </c>
      <c r="F235">
        <v>12.9</v>
      </c>
      <c r="H235">
        <v>10.6</v>
      </c>
    </row>
    <row r="236" spans="2:10" ht="15.75" customHeight="1" x14ac:dyDescent="0.2">
      <c r="C236" s="205">
        <v>34841</v>
      </c>
      <c r="D236" s="227">
        <v>0.6875</v>
      </c>
      <c r="E236">
        <v>8</v>
      </c>
      <c r="F236">
        <v>12</v>
      </c>
      <c r="H236">
        <v>9</v>
      </c>
    </row>
    <row r="237" spans="2:10" ht="15.75" customHeight="1" x14ac:dyDescent="0.2">
      <c r="C237" s="205"/>
      <c r="D237" s="227"/>
    </row>
    <row r="238" spans="2:10" ht="15.75" customHeight="1" x14ac:dyDescent="0.2">
      <c r="B238">
        <v>8.1</v>
      </c>
      <c r="C238" s="205">
        <v>34822</v>
      </c>
      <c r="D238" s="227">
        <v>0.6875</v>
      </c>
      <c r="J238">
        <v>7.5</v>
      </c>
    </row>
    <row r="239" spans="2:10" ht="15.75" customHeight="1" x14ac:dyDescent="0.2">
      <c r="C239" s="205">
        <v>34822</v>
      </c>
      <c r="D239" s="227">
        <v>0.6875</v>
      </c>
      <c r="E239">
        <v>1</v>
      </c>
      <c r="F239">
        <v>12.6</v>
      </c>
      <c r="H239">
        <v>7</v>
      </c>
    </row>
    <row r="240" spans="2:10" ht="15.75" customHeight="1" x14ac:dyDescent="0.2">
      <c r="C240" s="205">
        <v>34822</v>
      </c>
      <c r="D240" s="227">
        <v>0.6875</v>
      </c>
      <c r="E240">
        <v>7</v>
      </c>
      <c r="F240">
        <v>12.2</v>
      </c>
      <c r="H240">
        <v>6.2</v>
      </c>
    </row>
    <row r="241" spans="2:10" ht="15.75" customHeight="1" x14ac:dyDescent="0.2">
      <c r="D241" s="226"/>
    </row>
    <row r="242" spans="2:10" ht="15.75" customHeight="1" x14ac:dyDescent="0.2">
      <c r="B242">
        <v>12</v>
      </c>
      <c r="C242" s="205">
        <v>34801</v>
      </c>
      <c r="D242" s="226" t="s">
        <v>257</v>
      </c>
      <c r="J242">
        <v>6.5</v>
      </c>
    </row>
    <row r="243" spans="2:10" ht="15.75" customHeight="1" x14ac:dyDescent="0.2">
      <c r="C243" s="205">
        <v>34801</v>
      </c>
      <c r="D243" s="226"/>
      <c r="E243">
        <v>0</v>
      </c>
      <c r="F243">
        <v>12.9</v>
      </c>
      <c r="H243">
        <v>4.7</v>
      </c>
    </row>
    <row r="244" spans="2:10" ht="15.75" customHeight="1" x14ac:dyDescent="0.2">
      <c r="C244" s="205">
        <v>34801</v>
      </c>
      <c r="D244" s="226"/>
      <c r="E244">
        <v>5</v>
      </c>
      <c r="F244">
        <v>12.4</v>
      </c>
      <c r="H244">
        <v>4.7</v>
      </c>
    </row>
    <row r="245" spans="2:10" ht="15.75" customHeight="1" x14ac:dyDescent="0.2">
      <c r="C245" s="205">
        <v>34801</v>
      </c>
      <c r="D245" s="226"/>
      <c r="E245">
        <v>10</v>
      </c>
      <c r="F245">
        <v>12.1</v>
      </c>
      <c r="H245">
        <v>4.5999999999999996</v>
      </c>
    </row>
    <row r="246" spans="2:10" ht="15.75" customHeight="1" x14ac:dyDescent="0.2">
      <c r="D246" s="226"/>
    </row>
    <row r="247" spans="2:10" ht="15.75" customHeight="1" x14ac:dyDescent="0.2">
      <c r="B247">
        <v>15</v>
      </c>
      <c r="C247" s="205">
        <v>34451</v>
      </c>
      <c r="J247">
        <v>5.3</v>
      </c>
    </row>
    <row r="248" spans="2:10" ht="15.75" customHeight="1" x14ac:dyDescent="0.2"/>
    <row r="249" spans="2:10" ht="15.75" customHeight="1" x14ac:dyDescent="0.2"/>
    <row r="250" spans="2:10" ht="15.75" customHeight="1" x14ac:dyDescent="0.2"/>
    <row r="251" spans="2:10" ht="15.75" customHeight="1" x14ac:dyDescent="0.2"/>
    <row r="252" spans="2:10" ht="15.75" customHeight="1" x14ac:dyDescent="0.2"/>
    <row r="253" spans="2:10" ht="15.75" customHeight="1" x14ac:dyDescent="0.2"/>
    <row r="254" spans="2:10" ht="15.75" customHeight="1" x14ac:dyDescent="0.2"/>
    <row r="255" spans="2:10" ht="15.75" customHeight="1" x14ac:dyDescent="0.2"/>
    <row r="256" spans="2:10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  <row r="1082" ht="15.75" customHeight="1" x14ac:dyDescent="0.2"/>
    <row r="1083" ht="15.75" customHeight="1" x14ac:dyDescent="0.2"/>
    <row r="1084" ht="15.75" customHeight="1" x14ac:dyDescent="0.2"/>
    <row r="1085" ht="15.75" customHeight="1" x14ac:dyDescent="0.2"/>
    <row r="1086" ht="15.75" customHeight="1" x14ac:dyDescent="0.2"/>
    <row r="1087" ht="15.75" customHeight="1" x14ac:dyDescent="0.2"/>
    <row r="1088" ht="15.75" customHeight="1" x14ac:dyDescent="0.2"/>
    <row r="1089" ht="15.75" customHeight="1" x14ac:dyDescent="0.2"/>
    <row r="1090" ht="15.75" customHeight="1" x14ac:dyDescent="0.2"/>
    <row r="1091" ht="15.75" customHeight="1" x14ac:dyDescent="0.2"/>
    <row r="1092" ht="15.75" customHeight="1" x14ac:dyDescent="0.2"/>
    <row r="1093" ht="15.75" customHeight="1" x14ac:dyDescent="0.2"/>
    <row r="1094" ht="15.75" customHeight="1" x14ac:dyDescent="0.2"/>
    <row r="1095" ht="15.75" customHeight="1" x14ac:dyDescent="0.2"/>
    <row r="1096" ht="15.75" customHeight="1" x14ac:dyDescent="0.2"/>
    <row r="1097" ht="15.75" customHeight="1" x14ac:dyDescent="0.2"/>
    <row r="1098" ht="15.75" customHeight="1" x14ac:dyDescent="0.2"/>
    <row r="1099" ht="15.75" customHeight="1" x14ac:dyDescent="0.2"/>
    <row r="1100" ht="15.75" customHeight="1" x14ac:dyDescent="0.2"/>
    <row r="1101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125"/>
  <sheetViews>
    <sheetView zoomScale="115" workbookViewId="0">
      <pane ySplit="1" topLeftCell="A325" activePane="bottomLeft" state="frozen"/>
      <selection pane="bottomLeft" activeCell="J354" sqref="J354"/>
    </sheetView>
  </sheetViews>
  <sheetFormatPr baseColWidth="10" defaultColWidth="11.1640625" defaultRowHeight="15" customHeight="1" x14ac:dyDescent="0.2"/>
  <cols>
    <col min="1" max="2" width="10.5" customWidth="1"/>
    <col min="3" max="3" width="10.5" style="192" customWidth="1"/>
    <col min="4" max="4" width="10.5" customWidth="1"/>
    <col min="5" max="5" width="10.83203125" customWidth="1"/>
    <col min="6" max="6" width="10.83203125" style="188" customWidth="1"/>
    <col min="7" max="7" width="10.83203125" style="191" customWidth="1"/>
    <col min="8" max="8" width="10.83203125" style="186" customWidth="1"/>
    <col min="9" max="11" width="10.83203125" customWidth="1"/>
    <col min="12" max="26" width="10.5" customWidth="1"/>
  </cols>
  <sheetData>
    <row r="1" spans="1:26" ht="58.5" customHeight="1" x14ac:dyDescent="0.2">
      <c r="A1" s="3"/>
      <c r="B1" s="3" t="s">
        <v>49</v>
      </c>
      <c r="C1" s="187" t="s">
        <v>50</v>
      </c>
      <c r="D1" s="3" t="s">
        <v>51</v>
      </c>
      <c r="E1" s="3" t="s">
        <v>52</v>
      </c>
      <c r="F1" s="40" t="s">
        <v>53</v>
      </c>
      <c r="G1" s="7" t="s">
        <v>54</v>
      </c>
      <c r="H1" s="41" t="s">
        <v>55</v>
      </c>
      <c r="I1" s="2" t="s">
        <v>56</v>
      </c>
      <c r="J1" s="2" t="s">
        <v>57</v>
      </c>
      <c r="K1" s="2" t="s">
        <v>58</v>
      </c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B2" s="1" t="s">
        <v>19</v>
      </c>
      <c r="C2" s="187"/>
      <c r="D2" s="3"/>
      <c r="E2" s="3"/>
      <c r="F2" s="40"/>
      <c r="G2" s="7"/>
      <c r="H2" s="41"/>
      <c r="I2" s="2"/>
      <c r="J2" s="2"/>
      <c r="K2" s="2"/>
      <c r="L2" s="2"/>
      <c r="M2" s="2"/>
      <c r="N2" s="3"/>
      <c r="O2" s="3"/>
      <c r="P2" s="3"/>
    </row>
    <row r="3" spans="1:26" ht="15.75" customHeight="1" x14ac:dyDescent="0.2">
      <c r="A3" s="4"/>
      <c r="B3" s="4" t="s">
        <v>59</v>
      </c>
      <c r="C3" s="187"/>
      <c r="D3" s="3"/>
      <c r="E3" s="3"/>
      <c r="F3" s="40"/>
      <c r="G3" s="7"/>
      <c r="H3" s="41"/>
      <c r="I3" s="2"/>
      <c r="J3" s="2"/>
      <c r="K3" s="2"/>
      <c r="L3" s="2"/>
      <c r="M3" s="2"/>
      <c r="N3" s="3"/>
      <c r="O3" s="3"/>
      <c r="P3" s="3"/>
    </row>
    <row r="4" spans="1:26" ht="15.75" customHeight="1" x14ac:dyDescent="0.2">
      <c r="A4" s="4" t="s">
        <v>60</v>
      </c>
      <c r="B4" s="4" t="s">
        <v>74</v>
      </c>
      <c r="C4" s="187"/>
      <c r="D4" s="3"/>
      <c r="E4" s="3"/>
      <c r="F4" s="40"/>
      <c r="G4" s="7"/>
      <c r="H4" s="41"/>
      <c r="I4" s="2"/>
      <c r="J4" s="2"/>
      <c r="K4" s="2"/>
      <c r="L4" s="2"/>
      <c r="M4" s="2"/>
      <c r="N4" s="3"/>
      <c r="O4" s="3"/>
      <c r="P4" s="3"/>
    </row>
    <row r="5" spans="1:26" ht="15.75" customHeight="1" x14ac:dyDescent="0.2">
      <c r="A5" s="4"/>
      <c r="B5" s="5" t="s">
        <v>62</v>
      </c>
      <c r="C5" s="187"/>
      <c r="D5" s="3"/>
      <c r="E5" s="3"/>
      <c r="F5" s="40"/>
      <c r="G5" s="7"/>
      <c r="H5" s="41"/>
      <c r="I5" s="2"/>
      <c r="J5" s="2"/>
      <c r="K5" s="2"/>
      <c r="L5" s="2"/>
      <c r="M5" s="2"/>
      <c r="N5" s="3"/>
      <c r="O5" s="3"/>
      <c r="P5" s="3"/>
    </row>
    <row r="6" spans="1:26" ht="15.75" customHeight="1" x14ac:dyDescent="0.2">
      <c r="C6" s="187"/>
      <c r="D6" s="3"/>
      <c r="E6" s="3"/>
      <c r="F6" s="40"/>
      <c r="G6" s="7"/>
      <c r="H6" s="41"/>
      <c r="I6" s="2"/>
      <c r="J6" s="2"/>
      <c r="K6" s="2"/>
      <c r="L6" s="2"/>
      <c r="M6" s="2"/>
      <c r="N6" s="3"/>
      <c r="O6" s="3"/>
      <c r="P6" s="3"/>
    </row>
    <row r="7" spans="1:26" ht="15.75" customHeight="1" x14ac:dyDescent="0.2">
      <c r="C7" s="187"/>
      <c r="D7" s="3"/>
      <c r="E7" s="3"/>
      <c r="F7" s="40"/>
      <c r="G7" s="7"/>
      <c r="H7" s="41"/>
      <c r="I7" s="2"/>
      <c r="J7" s="2"/>
      <c r="K7" s="2"/>
      <c r="L7" s="2"/>
      <c r="M7" s="2"/>
      <c r="N7" s="3"/>
      <c r="O7" s="3"/>
      <c r="P7" s="3"/>
    </row>
    <row r="8" spans="1:26" ht="15.75" customHeight="1" x14ac:dyDescent="0.2">
      <c r="C8" s="187"/>
      <c r="D8" s="3"/>
      <c r="E8" s="3"/>
      <c r="F8" s="40"/>
      <c r="G8" s="7"/>
      <c r="H8" s="41"/>
      <c r="I8" s="2"/>
      <c r="J8" s="2"/>
      <c r="K8" s="2"/>
      <c r="L8" s="2"/>
      <c r="M8" s="2"/>
      <c r="N8" s="3"/>
      <c r="O8" s="3"/>
      <c r="P8" s="3"/>
    </row>
    <row r="9" spans="1:26" ht="15.75" customHeight="1" x14ac:dyDescent="0.2">
      <c r="C9" s="187">
        <v>45097</v>
      </c>
      <c r="D9" s="12">
        <v>0.39930555555555558</v>
      </c>
      <c r="E9" s="3"/>
      <c r="F9" s="40"/>
      <c r="G9" s="7"/>
      <c r="H9" s="41"/>
      <c r="I9" s="2"/>
      <c r="J9" s="2">
        <v>8</v>
      </c>
      <c r="K9" s="2">
        <v>8.5</v>
      </c>
      <c r="L9" s="2"/>
      <c r="M9" s="2"/>
      <c r="N9" s="3"/>
      <c r="O9" s="3"/>
      <c r="P9" s="3"/>
    </row>
    <row r="10" spans="1:26" ht="15.75" customHeight="1" x14ac:dyDescent="0.2">
      <c r="C10" s="187">
        <v>45097</v>
      </c>
      <c r="D10" s="12">
        <v>0.40277777777777773</v>
      </c>
      <c r="E10" s="3">
        <v>0.1</v>
      </c>
      <c r="F10" s="40">
        <v>10.46</v>
      </c>
      <c r="G10" s="7">
        <v>105.5</v>
      </c>
      <c r="H10" s="41">
        <v>15.9</v>
      </c>
      <c r="I10" s="2"/>
      <c r="J10" s="2"/>
      <c r="K10" s="2"/>
      <c r="L10" s="2"/>
      <c r="M10" s="2"/>
      <c r="N10" s="3"/>
      <c r="O10" s="3"/>
      <c r="P10" s="3"/>
    </row>
    <row r="11" spans="1:26" ht="15.75" customHeight="1" x14ac:dyDescent="0.2">
      <c r="C11" s="187">
        <v>45097</v>
      </c>
      <c r="D11" s="12">
        <v>0.40277777777777773</v>
      </c>
      <c r="E11" s="3">
        <v>1</v>
      </c>
      <c r="F11" s="40">
        <v>10.38</v>
      </c>
      <c r="G11" s="7">
        <v>105.2</v>
      </c>
      <c r="H11" s="41">
        <v>16</v>
      </c>
      <c r="I11" s="2"/>
      <c r="J11" s="2"/>
      <c r="K11" s="2"/>
      <c r="L11" s="2"/>
      <c r="M11" s="2"/>
      <c r="N11" s="3"/>
      <c r="O11" s="3"/>
      <c r="P11" s="3"/>
    </row>
    <row r="12" spans="1:26" ht="15.75" customHeight="1" x14ac:dyDescent="0.2">
      <c r="C12" s="187">
        <v>45097</v>
      </c>
      <c r="D12" s="12">
        <v>0.40277777777777773</v>
      </c>
      <c r="E12" s="3">
        <v>2</v>
      </c>
      <c r="F12" s="40">
        <v>10.36</v>
      </c>
      <c r="G12" s="7">
        <v>105</v>
      </c>
      <c r="H12" s="41">
        <v>16</v>
      </c>
      <c r="I12" s="2"/>
      <c r="J12" s="2"/>
      <c r="K12" s="2"/>
      <c r="L12" s="2"/>
      <c r="M12" s="2"/>
      <c r="N12" s="3"/>
      <c r="O12" s="3"/>
      <c r="P12" s="3"/>
    </row>
    <row r="13" spans="1:26" ht="15.75" customHeight="1" x14ac:dyDescent="0.2">
      <c r="C13" s="187">
        <v>45097</v>
      </c>
      <c r="D13" s="12">
        <v>0.40277777777777773</v>
      </c>
      <c r="E13" s="3">
        <v>3</v>
      </c>
      <c r="F13" s="40">
        <v>10.35</v>
      </c>
      <c r="G13" s="7">
        <v>104.8</v>
      </c>
      <c r="H13" s="41">
        <v>16</v>
      </c>
      <c r="I13" s="3"/>
      <c r="J13" s="2"/>
      <c r="K13" s="2"/>
      <c r="L13" s="7"/>
      <c r="M13" s="3"/>
      <c r="N13" s="3"/>
    </row>
    <row r="14" spans="1:26" ht="15.75" customHeight="1" x14ac:dyDescent="0.2">
      <c r="C14" s="187">
        <v>45097</v>
      </c>
      <c r="D14" s="12">
        <v>0.40277777777777773</v>
      </c>
      <c r="E14" s="3">
        <v>4</v>
      </c>
      <c r="F14" s="24">
        <v>10.86</v>
      </c>
      <c r="G14" s="7">
        <v>108.6</v>
      </c>
      <c r="H14" s="7">
        <v>15.4</v>
      </c>
      <c r="I14" s="3"/>
      <c r="J14" s="3"/>
      <c r="K14" s="3"/>
      <c r="L14" s="7"/>
      <c r="M14" s="3"/>
    </row>
    <row r="15" spans="1:26" ht="15.75" customHeight="1" x14ac:dyDescent="0.2">
      <c r="C15" s="187">
        <v>45097</v>
      </c>
      <c r="D15" s="12">
        <v>0.40277777777777773</v>
      </c>
      <c r="E15" s="3">
        <v>5</v>
      </c>
      <c r="F15" s="24">
        <v>11.06</v>
      </c>
      <c r="G15" s="7">
        <v>107.8</v>
      </c>
      <c r="H15" s="7">
        <v>14.3</v>
      </c>
      <c r="I15" s="3"/>
      <c r="J15" s="3"/>
      <c r="K15" s="3"/>
      <c r="L15" s="7"/>
      <c r="M15" s="3"/>
      <c r="N15" s="3"/>
    </row>
    <row r="16" spans="1:26" ht="15.75" customHeight="1" x14ac:dyDescent="0.2">
      <c r="C16" s="187">
        <v>45097</v>
      </c>
      <c r="D16" s="12">
        <v>0.40277777777777773</v>
      </c>
      <c r="E16" s="3">
        <v>6</v>
      </c>
      <c r="F16" s="24">
        <v>11.57</v>
      </c>
      <c r="G16" s="7">
        <v>109.7</v>
      </c>
      <c r="H16" s="7">
        <v>13.7</v>
      </c>
      <c r="I16" s="3"/>
      <c r="J16" s="3"/>
      <c r="K16" s="3"/>
      <c r="L16" s="7"/>
      <c r="M16" s="3"/>
      <c r="N16" s="3"/>
    </row>
    <row r="17" spans="3:11" ht="15.75" customHeight="1" x14ac:dyDescent="0.2">
      <c r="C17" s="187">
        <v>45097</v>
      </c>
      <c r="D17" s="12">
        <v>0.40277777777777773</v>
      </c>
      <c r="E17" s="3">
        <v>7</v>
      </c>
      <c r="F17" s="24">
        <v>11.7</v>
      </c>
      <c r="G17" s="7">
        <v>109.6</v>
      </c>
      <c r="H17" s="7">
        <v>12.4</v>
      </c>
      <c r="I17" s="3"/>
      <c r="J17" s="3"/>
      <c r="K17" s="3"/>
    </row>
    <row r="18" spans="3:11" ht="15.75" customHeight="1" x14ac:dyDescent="0.2">
      <c r="C18" s="187">
        <v>45097</v>
      </c>
      <c r="D18" s="12">
        <v>0.40277777777777773</v>
      </c>
      <c r="E18" s="3">
        <v>8</v>
      </c>
      <c r="F18" s="24">
        <v>11.51</v>
      </c>
      <c r="G18" s="7">
        <v>109.5</v>
      </c>
      <c r="H18" s="7">
        <v>12</v>
      </c>
      <c r="I18" s="3"/>
      <c r="J18" s="3"/>
      <c r="K18" s="3"/>
    </row>
    <row r="19" spans="3:11" ht="15.75" customHeight="1" x14ac:dyDescent="0.2">
      <c r="C19" s="187">
        <v>45097</v>
      </c>
      <c r="D19" s="12">
        <v>0.40277777777777773</v>
      </c>
      <c r="E19" s="3">
        <v>9</v>
      </c>
      <c r="F19" s="24">
        <v>12.03</v>
      </c>
      <c r="G19" s="7">
        <v>108.4</v>
      </c>
      <c r="H19" s="7">
        <v>10.8</v>
      </c>
      <c r="I19" s="3"/>
      <c r="J19" s="3"/>
      <c r="K19" s="3"/>
    </row>
    <row r="20" spans="3:11" ht="15.75" customHeight="1" x14ac:dyDescent="0.2">
      <c r="C20" s="187">
        <v>45097</v>
      </c>
      <c r="D20" s="12">
        <v>0.40277777777777773</v>
      </c>
      <c r="E20" s="3">
        <v>10</v>
      </c>
      <c r="F20" s="24">
        <v>12.18</v>
      </c>
      <c r="G20" s="7">
        <v>106.4</v>
      </c>
      <c r="H20" s="7">
        <v>9.5</v>
      </c>
      <c r="I20" s="3"/>
      <c r="J20" s="3"/>
      <c r="K20" s="3"/>
    </row>
    <row r="21" spans="3:11" ht="15.75" customHeight="1" x14ac:dyDescent="0.2">
      <c r="C21" s="187">
        <v>45097</v>
      </c>
      <c r="D21" s="12">
        <v>0.40277777777777773</v>
      </c>
      <c r="E21" s="3">
        <v>11</v>
      </c>
      <c r="F21" s="24">
        <v>12.26</v>
      </c>
      <c r="G21" s="7">
        <v>104.2</v>
      </c>
      <c r="H21" s="7">
        <v>8.4</v>
      </c>
      <c r="I21" s="3"/>
      <c r="J21" s="3"/>
      <c r="K21" s="3"/>
    </row>
    <row r="22" spans="3:11" ht="15.75" customHeight="1" x14ac:dyDescent="0.2">
      <c r="C22" s="187">
        <v>45097</v>
      </c>
      <c r="D22" s="12">
        <v>0.40277777777777773</v>
      </c>
      <c r="E22" s="3">
        <v>12</v>
      </c>
      <c r="F22" s="24">
        <v>12.27</v>
      </c>
      <c r="G22" s="7">
        <v>101.1</v>
      </c>
      <c r="H22" s="7">
        <v>7.1</v>
      </c>
      <c r="I22" s="3"/>
      <c r="J22" s="3"/>
      <c r="K22" s="3"/>
    </row>
    <row r="23" spans="3:11" ht="15.75" customHeight="1" x14ac:dyDescent="0.2">
      <c r="C23" s="187">
        <v>45097</v>
      </c>
      <c r="D23" s="12">
        <v>0.40277777777777773</v>
      </c>
      <c r="E23" s="3">
        <v>13</v>
      </c>
      <c r="F23" s="24">
        <v>12.25</v>
      </c>
      <c r="G23" s="7">
        <v>99.9</v>
      </c>
      <c r="H23" s="7">
        <v>6.6</v>
      </c>
      <c r="I23" s="3"/>
      <c r="J23" s="3"/>
      <c r="K23" s="3"/>
    </row>
    <row r="24" spans="3:11" ht="15.75" customHeight="1" x14ac:dyDescent="0.2">
      <c r="C24" s="187">
        <v>45097</v>
      </c>
      <c r="D24" s="12">
        <v>0.40277777777777773</v>
      </c>
      <c r="E24" s="3">
        <v>14</v>
      </c>
      <c r="F24" s="24">
        <v>12.19</v>
      </c>
      <c r="G24" s="7">
        <v>98.2</v>
      </c>
      <c r="H24" s="7">
        <v>6.2</v>
      </c>
      <c r="I24" s="3"/>
      <c r="J24" s="3"/>
      <c r="K24" s="3"/>
    </row>
    <row r="25" spans="3:11" ht="15.75" customHeight="1" x14ac:dyDescent="0.2">
      <c r="C25" s="187">
        <v>45097</v>
      </c>
      <c r="D25" s="12">
        <v>0.40277777777777773</v>
      </c>
      <c r="E25" s="3">
        <v>15</v>
      </c>
      <c r="F25" s="24">
        <v>12.11</v>
      </c>
      <c r="G25" s="7">
        <v>97.3</v>
      </c>
      <c r="H25" s="7">
        <v>6</v>
      </c>
      <c r="I25" s="3"/>
      <c r="J25" s="3"/>
      <c r="K25" s="3"/>
    </row>
    <row r="26" spans="3:11" ht="15.75" customHeight="1" x14ac:dyDescent="0.2">
      <c r="C26" s="187"/>
      <c r="D26" s="12"/>
      <c r="E26" s="3"/>
      <c r="F26" s="24"/>
      <c r="G26" s="7"/>
      <c r="H26" s="7"/>
      <c r="I26" s="3"/>
      <c r="J26" s="3"/>
      <c r="K26" s="3"/>
    </row>
    <row r="27" spans="3:11" ht="15.75" customHeight="1" x14ac:dyDescent="0.2">
      <c r="C27" s="187">
        <v>45134</v>
      </c>
      <c r="D27" s="12">
        <v>0.51111111111111118</v>
      </c>
      <c r="E27" s="3"/>
      <c r="F27" s="24"/>
      <c r="G27" s="7"/>
      <c r="H27" s="7"/>
      <c r="I27" s="3"/>
      <c r="J27" s="3">
        <v>11.5</v>
      </c>
      <c r="K27" s="3"/>
    </row>
    <row r="28" spans="3:11" ht="15.75" customHeight="1" x14ac:dyDescent="0.2">
      <c r="C28" s="187">
        <v>45134</v>
      </c>
      <c r="D28" s="12">
        <v>0.51111111111111118</v>
      </c>
      <c r="E28" s="3">
        <v>0.1</v>
      </c>
      <c r="F28" s="24">
        <v>9.07</v>
      </c>
      <c r="G28" s="7">
        <v>104.7</v>
      </c>
      <c r="H28" s="7">
        <v>22.5</v>
      </c>
      <c r="I28" s="3"/>
      <c r="J28" s="3"/>
      <c r="K28" s="3"/>
    </row>
    <row r="29" spans="3:11" ht="15.75" customHeight="1" x14ac:dyDescent="0.2">
      <c r="C29" s="187">
        <v>45134</v>
      </c>
      <c r="D29" s="12">
        <v>0.51111111111111118</v>
      </c>
      <c r="E29" s="3">
        <v>1</v>
      </c>
      <c r="F29" s="24">
        <v>9.09</v>
      </c>
      <c r="G29" s="7">
        <v>104.5</v>
      </c>
      <c r="H29" s="7">
        <v>22.4</v>
      </c>
      <c r="I29" s="3"/>
      <c r="J29" s="3"/>
      <c r="K29" s="3"/>
    </row>
    <row r="30" spans="3:11" ht="15.75" customHeight="1" x14ac:dyDescent="0.2">
      <c r="C30" s="187">
        <v>45134</v>
      </c>
      <c r="D30" s="12">
        <v>0.51111111111111118</v>
      </c>
      <c r="E30" s="3">
        <v>2</v>
      </c>
      <c r="F30" s="24">
        <v>9.08</v>
      </c>
      <c r="G30" s="7">
        <v>104.2</v>
      </c>
      <c r="H30" s="7">
        <v>22.2</v>
      </c>
      <c r="I30" s="3"/>
      <c r="J30" s="3"/>
      <c r="K30" s="3"/>
    </row>
    <row r="31" spans="3:11" ht="15.75" customHeight="1" x14ac:dyDescent="0.2">
      <c r="C31" s="187">
        <v>45134</v>
      </c>
      <c r="D31" s="12">
        <v>0.51111111111111118</v>
      </c>
      <c r="E31" s="3">
        <v>3</v>
      </c>
      <c r="F31" s="24">
        <v>9.85</v>
      </c>
      <c r="G31" s="7">
        <v>109.9</v>
      </c>
      <c r="H31" s="7">
        <v>20.8</v>
      </c>
      <c r="I31" s="3"/>
      <c r="J31" s="3"/>
      <c r="K31" s="3"/>
    </row>
    <row r="32" spans="3:11" ht="15.75" customHeight="1" x14ac:dyDescent="0.2">
      <c r="C32" s="187">
        <v>45134</v>
      </c>
      <c r="D32" s="12">
        <v>0.51111111111111118</v>
      </c>
      <c r="E32" s="3">
        <v>4</v>
      </c>
      <c r="F32" s="24">
        <v>9.69</v>
      </c>
      <c r="G32" s="7">
        <v>107.3</v>
      </c>
      <c r="H32" s="7">
        <v>20.3</v>
      </c>
      <c r="I32" s="3"/>
      <c r="J32" s="3"/>
      <c r="K32" s="3"/>
    </row>
    <row r="33" spans="3:11" ht="15.75" customHeight="1" x14ac:dyDescent="0.2">
      <c r="C33" s="187">
        <v>45134</v>
      </c>
      <c r="D33" s="12">
        <v>0.51111111111111118</v>
      </c>
      <c r="E33" s="3">
        <v>5</v>
      </c>
      <c r="F33" s="24">
        <v>9.7200000000000006</v>
      </c>
      <c r="G33" s="7">
        <v>107.4</v>
      </c>
      <c r="H33" s="7">
        <v>20.2</v>
      </c>
      <c r="I33" s="3"/>
      <c r="J33" s="3"/>
      <c r="K33" s="3"/>
    </row>
    <row r="34" spans="3:11" ht="15.75" customHeight="1" x14ac:dyDescent="0.2">
      <c r="C34" s="187">
        <v>45134</v>
      </c>
      <c r="D34" s="12">
        <v>0.51111111111111118</v>
      </c>
      <c r="E34" s="3">
        <v>6</v>
      </c>
      <c r="F34" s="24">
        <v>9.73</v>
      </c>
      <c r="G34" s="7">
        <v>107.2</v>
      </c>
      <c r="H34" s="7">
        <v>20.100000000000001</v>
      </c>
      <c r="I34" s="3"/>
      <c r="J34" s="3"/>
      <c r="K34" s="3"/>
    </row>
    <row r="35" spans="3:11" ht="15.75" customHeight="1" x14ac:dyDescent="0.2">
      <c r="C35" s="187">
        <v>45134</v>
      </c>
      <c r="D35" s="12">
        <v>0.51111111111111118</v>
      </c>
      <c r="E35" s="3">
        <v>7</v>
      </c>
      <c r="F35" s="24">
        <v>9.74</v>
      </c>
      <c r="G35" s="7">
        <v>107.1</v>
      </c>
      <c r="H35" s="7">
        <v>20</v>
      </c>
      <c r="I35" s="3"/>
      <c r="J35" s="3"/>
      <c r="K35" s="3"/>
    </row>
    <row r="36" spans="3:11" ht="15.75" customHeight="1" x14ac:dyDescent="0.2">
      <c r="C36" s="187">
        <v>45134</v>
      </c>
      <c r="D36" s="12">
        <v>0.51111111111111118</v>
      </c>
      <c r="E36" s="3">
        <v>8</v>
      </c>
      <c r="F36" s="24">
        <v>9.74</v>
      </c>
      <c r="G36" s="7">
        <v>107.1</v>
      </c>
      <c r="H36" s="7">
        <v>20</v>
      </c>
      <c r="I36" s="3"/>
      <c r="J36" s="3"/>
      <c r="K36" s="3"/>
    </row>
    <row r="37" spans="3:11" ht="15.75" customHeight="1" x14ac:dyDescent="0.2">
      <c r="C37" s="187">
        <v>45134</v>
      </c>
      <c r="D37" s="12">
        <v>0.51111111111111118</v>
      </c>
      <c r="E37" s="3">
        <v>9</v>
      </c>
      <c r="F37" s="24">
        <v>9.81</v>
      </c>
      <c r="G37" s="7">
        <v>107.4</v>
      </c>
      <c r="H37" s="7">
        <v>19.8</v>
      </c>
      <c r="I37" s="3"/>
      <c r="J37" s="3"/>
      <c r="K37" s="3"/>
    </row>
    <row r="38" spans="3:11" ht="15.75" customHeight="1" x14ac:dyDescent="0.2">
      <c r="C38" s="187">
        <v>45134</v>
      </c>
      <c r="D38" s="12">
        <v>0.51111111111111118</v>
      </c>
      <c r="E38" s="3">
        <v>10</v>
      </c>
      <c r="F38" s="24">
        <v>10.43</v>
      </c>
      <c r="G38" s="7">
        <v>110.7</v>
      </c>
      <c r="H38" s="7">
        <v>18.3</v>
      </c>
      <c r="I38" s="3"/>
      <c r="J38" s="3"/>
      <c r="K38" s="3"/>
    </row>
    <row r="39" spans="3:11" ht="15.75" customHeight="1" x14ac:dyDescent="0.2">
      <c r="C39" s="187"/>
      <c r="D39" s="12"/>
      <c r="E39" s="3"/>
      <c r="F39" s="24"/>
      <c r="G39" s="7"/>
      <c r="H39" s="7"/>
      <c r="I39" s="3"/>
      <c r="J39" s="3"/>
      <c r="K39" s="3"/>
    </row>
    <row r="40" spans="3:11" ht="15.75" customHeight="1" x14ac:dyDescent="0.2">
      <c r="C40" s="187">
        <v>45161</v>
      </c>
      <c r="D40" s="12">
        <v>0.52430555555555558</v>
      </c>
      <c r="E40" s="3"/>
      <c r="F40" s="24"/>
      <c r="G40" s="7"/>
      <c r="H40" s="7"/>
      <c r="I40" s="3"/>
      <c r="J40" s="3">
        <v>9.5</v>
      </c>
      <c r="K40" s="3">
        <v>10.5</v>
      </c>
    </row>
    <row r="41" spans="3:11" ht="15.75" customHeight="1" x14ac:dyDescent="0.2">
      <c r="C41" s="187">
        <v>45161</v>
      </c>
      <c r="D41" s="12">
        <v>0.52430555555555558</v>
      </c>
      <c r="E41" s="3">
        <v>0.1</v>
      </c>
      <c r="F41" s="24">
        <v>9.43</v>
      </c>
      <c r="G41" s="7">
        <v>105.7</v>
      </c>
      <c r="H41" s="7">
        <v>21</v>
      </c>
      <c r="I41" s="3"/>
      <c r="J41" s="3"/>
      <c r="K41" s="3"/>
    </row>
    <row r="42" spans="3:11" ht="15.75" customHeight="1" x14ac:dyDescent="0.2">
      <c r="C42" s="187">
        <v>45161</v>
      </c>
      <c r="D42" s="12">
        <v>0.52430555555555558</v>
      </c>
      <c r="E42" s="3">
        <v>1</v>
      </c>
      <c r="F42" s="24">
        <v>9.3699999999999992</v>
      </c>
      <c r="G42" s="7">
        <v>105.2</v>
      </c>
      <c r="H42" s="7">
        <v>21.1</v>
      </c>
      <c r="I42" s="3"/>
      <c r="J42" s="3"/>
      <c r="K42" s="3"/>
    </row>
    <row r="43" spans="3:11" ht="15.75" customHeight="1" x14ac:dyDescent="0.2">
      <c r="C43" s="187">
        <v>45161</v>
      </c>
      <c r="D43" s="12">
        <v>0.52430555555555558</v>
      </c>
      <c r="E43" s="3">
        <v>2</v>
      </c>
      <c r="F43" s="24">
        <v>9.35</v>
      </c>
      <c r="G43" s="7">
        <v>105.1</v>
      </c>
      <c r="H43" s="7">
        <v>21.1</v>
      </c>
      <c r="I43" s="3"/>
      <c r="J43" s="3"/>
      <c r="K43" s="3"/>
    </row>
    <row r="44" spans="3:11" ht="15.75" customHeight="1" x14ac:dyDescent="0.2">
      <c r="C44" s="187">
        <v>45161</v>
      </c>
      <c r="D44" s="12">
        <v>0.52430555555555558</v>
      </c>
      <c r="E44" s="3">
        <v>3</v>
      </c>
      <c r="F44" s="24">
        <v>9.31</v>
      </c>
      <c r="G44" s="7">
        <v>104.8</v>
      </c>
      <c r="H44" s="7">
        <v>21.2</v>
      </c>
      <c r="I44" s="3"/>
      <c r="J44" s="3"/>
      <c r="K44" s="3"/>
    </row>
    <row r="45" spans="3:11" ht="15.75" customHeight="1" x14ac:dyDescent="0.2">
      <c r="C45" s="187">
        <v>45161</v>
      </c>
      <c r="D45" s="12">
        <v>0.52430555555555558</v>
      </c>
      <c r="E45" s="3">
        <v>4</v>
      </c>
      <c r="F45" s="24">
        <v>9.2799999999999994</v>
      </c>
      <c r="G45" s="7">
        <v>104.5</v>
      </c>
      <c r="H45" s="7">
        <v>21.2</v>
      </c>
      <c r="I45" s="3"/>
      <c r="J45" s="3"/>
      <c r="K45" s="3"/>
    </row>
    <row r="46" spans="3:11" ht="15.75" customHeight="1" x14ac:dyDescent="0.2">
      <c r="C46" s="187">
        <v>45161</v>
      </c>
      <c r="D46" s="12">
        <v>0.52430555555555558</v>
      </c>
      <c r="E46" s="3">
        <v>5</v>
      </c>
      <c r="F46" s="24">
        <v>9.27</v>
      </c>
      <c r="G46" s="7">
        <v>104.3</v>
      </c>
      <c r="H46" s="7">
        <v>21.2</v>
      </c>
      <c r="I46" s="3"/>
      <c r="J46" s="3"/>
      <c r="K46" s="3"/>
    </row>
    <row r="47" spans="3:11" ht="15.75" customHeight="1" x14ac:dyDescent="0.2">
      <c r="C47" s="187">
        <v>45161</v>
      </c>
      <c r="D47" s="12">
        <v>0.52430555555555558</v>
      </c>
      <c r="E47" s="3">
        <v>6</v>
      </c>
      <c r="F47" s="24">
        <v>9.25</v>
      </c>
      <c r="G47" s="7">
        <v>104.1</v>
      </c>
      <c r="H47" s="7">
        <v>21.2</v>
      </c>
      <c r="I47" s="3"/>
      <c r="J47" s="3"/>
      <c r="K47" s="3"/>
    </row>
    <row r="48" spans="3:11" ht="15.75" customHeight="1" x14ac:dyDescent="0.2">
      <c r="C48" s="187">
        <v>45161</v>
      </c>
      <c r="D48" s="12">
        <v>0.52430555555555558</v>
      </c>
      <c r="E48" s="3">
        <v>7</v>
      </c>
      <c r="F48" s="24">
        <v>9.24</v>
      </c>
      <c r="G48" s="7">
        <v>103.9</v>
      </c>
      <c r="H48" s="7">
        <v>21.1</v>
      </c>
      <c r="I48" s="3"/>
      <c r="J48" s="3"/>
      <c r="K48" s="3"/>
    </row>
    <row r="49" spans="3:11" ht="15.75" customHeight="1" x14ac:dyDescent="0.2">
      <c r="C49" s="187">
        <v>45161</v>
      </c>
      <c r="D49" s="12">
        <v>0.52430555555555558</v>
      </c>
      <c r="E49" s="3">
        <v>8</v>
      </c>
      <c r="F49" s="24">
        <v>9.2899999999999991</v>
      </c>
      <c r="G49" s="7">
        <v>104.3</v>
      </c>
      <c r="H49" s="7">
        <v>21</v>
      </c>
      <c r="I49" s="3"/>
      <c r="J49" s="3"/>
      <c r="K49" s="3"/>
    </row>
    <row r="50" spans="3:11" ht="15.75" customHeight="1" x14ac:dyDescent="0.2">
      <c r="C50" s="187">
        <v>45161</v>
      </c>
      <c r="D50" s="12">
        <v>0.52430555555555558</v>
      </c>
      <c r="E50" s="3">
        <v>9</v>
      </c>
      <c r="F50" s="24">
        <v>9.6</v>
      </c>
      <c r="G50" s="7">
        <v>106.1</v>
      </c>
      <c r="H50" s="7">
        <v>19.8</v>
      </c>
      <c r="I50" s="3"/>
      <c r="J50" s="3"/>
      <c r="K50" s="3"/>
    </row>
    <row r="51" spans="3:11" ht="15.75" customHeight="1" x14ac:dyDescent="0.2">
      <c r="C51" s="187">
        <v>45161</v>
      </c>
      <c r="D51" s="12">
        <v>0.52430555555555558</v>
      </c>
      <c r="E51" s="3">
        <v>10</v>
      </c>
      <c r="F51" s="24">
        <v>11.9</v>
      </c>
      <c r="G51" s="7">
        <v>113.9</v>
      </c>
      <c r="H51" s="7">
        <v>13.4</v>
      </c>
      <c r="I51" s="3"/>
      <c r="J51" s="3"/>
      <c r="K51" s="3"/>
    </row>
    <row r="52" spans="3:11" ht="15.75" customHeight="1" x14ac:dyDescent="0.2">
      <c r="C52" s="187"/>
      <c r="D52" s="12"/>
      <c r="E52" s="3"/>
      <c r="F52" s="24"/>
      <c r="G52" s="7"/>
      <c r="H52" s="7"/>
      <c r="I52" s="3"/>
      <c r="J52" s="3"/>
      <c r="K52" s="3"/>
    </row>
    <row r="53" spans="3:11" ht="15.75" customHeight="1" x14ac:dyDescent="0.2">
      <c r="C53" s="187">
        <v>45188</v>
      </c>
      <c r="D53" s="12">
        <v>0.4861111111111111</v>
      </c>
      <c r="E53" s="3"/>
      <c r="F53" s="24"/>
      <c r="G53" s="7"/>
      <c r="H53" s="7"/>
      <c r="I53" s="3"/>
      <c r="J53" s="3">
        <v>10.5</v>
      </c>
      <c r="K53" s="3">
        <v>11</v>
      </c>
    </row>
    <row r="54" spans="3:11" ht="15.75" customHeight="1" x14ac:dyDescent="0.2">
      <c r="C54" s="187">
        <v>45188</v>
      </c>
      <c r="D54" s="12">
        <v>0.4861111111111111</v>
      </c>
      <c r="E54" s="3">
        <v>0.1</v>
      </c>
      <c r="F54" s="24">
        <v>9.73</v>
      </c>
      <c r="G54" s="7">
        <v>104.4</v>
      </c>
      <c r="H54" s="7">
        <v>18.8</v>
      </c>
      <c r="I54" s="3"/>
      <c r="J54" s="3"/>
      <c r="K54" s="3"/>
    </row>
    <row r="55" spans="3:11" ht="15.75" customHeight="1" x14ac:dyDescent="0.2">
      <c r="C55" s="187">
        <v>45188</v>
      </c>
      <c r="D55" s="12">
        <v>0.4861111111111111</v>
      </c>
      <c r="E55" s="3">
        <v>1</v>
      </c>
      <c r="F55" s="24">
        <v>9.69</v>
      </c>
      <c r="G55" s="7">
        <v>104.2</v>
      </c>
      <c r="H55" s="7">
        <v>18.899999999999999</v>
      </c>
      <c r="I55" s="3"/>
      <c r="J55" s="3"/>
      <c r="K55" s="3"/>
    </row>
    <row r="56" spans="3:11" ht="15.75" customHeight="1" x14ac:dyDescent="0.2">
      <c r="C56" s="187">
        <v>45188</v>
      </c>
      <c r="D56" s="12">
        <v>0.4861111111111111</v>
      </c>
      <c r="E56" s="3">
        <v>2</v>
      </c>
      <c r="F56" s="24">
        <v>9.67</v>
      </c>
      <c r="G56" s="7">
        <v>104</v>
      </c>
      <c r="H56" s="7">
        <v>18.899999999999999</v>
      </c>
      <c r="I56" s="3"/>
      <c r="J56" s="3"/>
      <c r="K56" s="3"/>
    </row>
    <row r="57" spans="3:11" ht="15.75" customHeight="1" x14ac:dyDescent="0.2">
      <c r="C57" s="187">
        <v>45188</v>
      </c>
      <c r="D57" s="12">
        <v>0.4861111111111111</v>
      </c>
      <c r="E57" s="3">
        <v>3</v>
      </c>
      <c r="F57" s="24">
        <v>9.64</v>
      </c>
      <c r="G57" s="7">
        <v>103.7</v>
      </c>
      <c r="H57" s="7">
        <v>18.899999999999999</v>
      </c>
      <c r="I57" s="3"/>
      <c r="J57" s="3"/>
      <c r="K57" s="3"/>
    </row>
    <row r="58" spans="3:11" ht="15.75" customHeight="1" x14ac:dyDescent="0.2">
      <c r="C58" s="187">
        <v>45188</v>
      </c>
      <c r="D58" s="12">
        <v>0.4861111111111111</v>
      </c>
      <c r="E58" s="3">
        <v>4</v>
      </c>
      <c r="F58" s="24">
        <v>9.6300000000000008</v>
      </c>
      <c r="G58" s="7">
        <v>103.5</v>
      </c>
      <c r="H58" s="7">
        <v>18.899999999999999</v>
      </c>
      <c r="I58" s="3"/>
      <c r="J58" s="3"/>
      <c r="K58" s="3"/>
    </row>
    <row r="59" spans="3:11" ht="15.75" customHeight="1" x14ac:dyDescent="0.2">
      <c r="C59" s="187">
        <v>45188</v>
      </c>
      <c r="D59" s="12">
        <v>0.4861111111111111</v>
      </c>
      <c r="E59" s="3">
        <v>5</v>
      </c>
      <c r="F59" s="24">
        <v>9.6</v>
      </c>
      <c r="G59" s="7">
        <v>103.3</v>
      </c>
      <c r="H59" s="7">
        <v>18.899999999999999</v>
      </c>
      <c r="I59" s="3"/>
      <c r="J59" s="3"/>
      <c r="K59" s="3"/>
    </row>
    <row r="60" spans="3:11" ht="15.75" customHeight="1" x14ac:dyDescent="0.2">
      <c r="C60" s="187">
        <v>45188</v>
      </c>
      <c r="D60" s="12">
        <v>0.4861111111111111</v>
      </c>
      <c r="E60" s="3">
        <v>6</v>
      </c>
      <c r="F60" s="24">
        <v>9.56</v>
      </c>
      <c r="G60" s="7">
        <v>103</v>
      </c>
      <c r="H60" s="7">
        <v>18.899999999999999</v>
      </c>
      <c r="I60" s="3"/>
      <c r="J60" s="3"/>
      <c r="K60" s="3"/>
    </row>
    <row r="61" spans="3:11" ht="15.75" customHeight="1" x14ac:dyDescent="0.2">
      <c r="C61" s="187">
        <v>45188</v>
      </c>
      <c r="D61" s="12">
        <v>0.4861111111111111</v>
      </c>
      <c r="E61" s="3">
        <v>7</v>
      </c>
      <c r="F61" s="24">
        <v>9.5299999999999994</v>
      </c>
      <c r="G61" s="7">
        <v>102.7</v>
      </c>
      <c r="H61" s="7">
        <v>19</v>
      </c>
      <c r="I61" s="3"/>
      <c r="J61" s="3"/>
      <c r="K61" s="3"/>
    </row>
    <row r="62" spans="3:11" ht="15.75" customHeight="1" x14ac:dyDescent="0.2">
      <c r="C62" s="187">
        <v>45188</v>
      </c>
      <c r="D62" s="12">
        <v>0.4861111111111111</v>
      </c>
      <c r="E62" s="3">
        <v>8</v>
      </c>
      <c r="F62" s="24">
        <v>9.52</v>
      </c>
      <c r="G62" s="7">
        <v>102.6</v>
      </c>
      <c r="H62" s="7">
        <v>19</v>
      </c>
      <c r="I62" s="3"/>
      <c r="J62" s="3"/>
      <c r="K62" s="3"/>
    </row>
    <row r="63" spans="3:11" ht="15.75" customHeight="1" x14ac:dyDescent="0.2">
      <c r="C63" s="187">
        <v>45188</v>
      </c>
      <c r="D63" s="12">
        <v>0.4861111111111111</v>
      </c>
      <c r="E63" s="3">
        <v>9</v>
      </c>
      <c r="F63" s="24">
        <v>9.51</v>
      </c>
      <c r="G63" s="7">
        <v>102.5</v>
      </c>
      <c r="H63" s="7">
        <v>19</v>
      </c>
      <c r="I63" s="3"/>
      <c r="J63" s="3"/>
      <c r="K63" s="3"/>
    </row>
    <row r="64" spans="3:11" ht="15.75" customHeight="1" x14ac:dyDescent="0.2">
      <c r="C64" s="187">
        <v>45188</v>
      </c>
      <c r="D64" s="12">
        <v>0.4861111111111111</v>
      </c>
      <c r="E64" s="3">
        <v>10</v>
      </c>
      <c r="F64" s="24">
        <v>9.65</v>
      </c>
      <c r="G64" s="7"/>
      <c r="H64" s="7">
        <v>18.3</v>
      </c>
      <c r="I64" s="3"/>
      <c r="J64" s="3"/>
      <c r="K64" s="3"/>
    </row>
    <row r="65" spans="3:11" ht="15.75" customHeight="1" x14ac:dyDescent="0.2">
      <c r="C65" s="187"/>
      <c r="D65" s="12"/>
      <c r="E65" s="3"/>
      <c r="F65" s="24"/>
      <c r="G65" s="7"/>
      <c r="H65" s="7"/>
      <c r="I65" s="3"/>
      <c r="J65" s="3"/>
      <c r="K65" s="3"/>
    </row>
    <row r="66" spans="3:11" ht="15.75" customHeight="1" x14ac:dyDescent="0.2">
      <c r="C66" s="187">
        <v>44369</v>
      </c>
      <c r="D66" s="12">
        <v>0.58680555555555558</v>
      </c>
      <c r="E66" s="3"/>
      <c r="F66" s="24"/>
      <c r="G66" s="7"/>
      <c r="H66" s="7"/>
      <c r="I66" s="3"/>
      <c r="J66" s="3">
        <v>9.5</v>
      </c>
      <c r="K66" s="3">
        <v>11.5</v>
      </c>
    </row>
    <row r="67" spans="3:11" ht="15.75" customHeight="1" x14ac:dyDescent="0.2">
      <c r="C67" s="187">
        <v>44369</v>
      </c>
      <c r="D67" s="12">
        <v>0.59027777777777779</v>
      </c>
      <c r="E67" s="3">
        <v>0.1</v>
      </c>
      <c r="F67" s="24">
        <v>7.96</v>
      </c>
      <c r="G67" s="7">
        <v>88.2</v>
      </c>
      <c r="H67" s="7">
        <v>20.399999999999999</v>
      </c>
      <c r="I67" s="3"/>
      <c r="J67" s="3"/>
      <c r="K67" s="3"/>
    </row>
    <row r="68" spans="3:11" ht="15.75" customHeight="1" x14ac:dyDescent="0.2">
      <c r="C68" s="187">
        <v>44369</v>
      </c>
      <c r="D68" s="12">
        <v>0.59027777777777779</v>
      </c>
      <c r="E68" s="3">
        <v>1</v>
      </c>
      <c r="F68" s="24">
        <v>8.06</v>
      </c>
      <c r="G68" s="7">
        <v>86.9</v>
      </c>
      <c r="H68" s="7">
        <v>19</v>
      </c>
      <c r="I68" s="3"/>
      <c r="J68" s="3"/>
      <c r="K68" s="3"/>
    </row>
    <row r="69" spans="3:11" ht="15.75" customHeight="1" x14ac:dyDescent="0.2">
      <c r="C69" s="187">
        <v>44369</v>
      </c>
      <c r="D69" s="12">
        <v>0.59027777777777779</v>
      </c>
      <c r="E69" s="3">
        <v>2</v>
      </c>
      <c r="F69" s="24">
        <v>8.1</v>
      </c>
      <c r="G69" s="7">
        <v>86.6</v>
      </c>
      <c r="H69" s="7">
        <v>18.600000000000001</v>
      </c>
      <c r="I69" s="3"/>
      <c r="J69" s="3"/>
      <c r="K69" s="3"/>
    </row>
    <row r="70" spans="3:11" ht="15.75" customHeight="1" x14ac:dyDescent="0.2">
      <c r="C70" s="187">
        <v>44369</v>
      </c>
      <c r="D70" s="12">
        <v>0.59027777777777779</v>
      </c>
      <c r="E70" s="3">
        <v>3</v>
      </c>
      <c r="F70" s="24">
        <v>8.27</v>
      </c>
      <c r="G70" s="7">
        <v>87.1</v>
      </c>
      <c r="H70" s="7">
        <v>17.899999999999999</v>
      </c>
      <c r="I70" s="3"/>
      <c r="J70" s="3"/>
      <c r="K70" s="3"/>
    </row>
    <row r="71" spans="3:11" ht="15.75" customHeight="1" x14ac:dyDescent="0.2">
      <c r="C71" s="187">
        <v>44369</v>
      </c>
      <c r="D71" s="12">
        <v>0.59027777777777779</v>
      </c>
      <c r="E71" s="3">
        <v>4</v>
      </c>
      <c r="F71" s="24">
        <v>8.35</v>
      </c>
      <c r="G71" s="7">
        <v>87</v>
      </c>
      <c r="H71" s="7">
        <v>17.3</v>
      </c>
      <c r="I71" s="3"/>
      <c r="J71" s="3"/>
      <c r="K71" s="3"/>
    </row>
    <row r="72" spans="3:11" ht="15.75" customHeight="1" x14ac:dyDescent="0.2">
      <c r="C72" s="187">
        <v>44369</v>
      </c>
      <c r="D72" s="12">
        <v>0.59027777777777779</v>
      </c>
      <c r="E72" s="3">
        <v>5</v>
      </c>
      <c r="F72" s="24">
        <v>8.4600000000000009</v>
      </c>
      <c r="G72" s="7">
        <v>86.9</v>
      </c>
      <c r="H72" s="7">
        <v>16.7</v>
      </c>
      <c r="I72" s="3"/>
      <c r="J72" s="3"/>
      <c r="K72" s="3"/>
    </row>
    <row r="73" spans="3:11" ht="15.75" customHeight="1" x14ac:dyDescent="0.2">
      <c r="C73" s="187">
        <v>44369</v>
      </c>
      <c r="D73" s="12">
        <v>0.59027777777777779</v>
      </c>
      <c r="E73" s="3">
        <v>6</v>
      </c>
      <c r="F73" s="24">
        <v>8.5500000000000007</v>
      </c>
      <c r="G73" s="7">
        <v>86.7</v>
      </c>
      <c r="H73" s="7">
        <v>16</v>
      </c>
      <c r="I73" s="3"/>
      <c r="J73" s="3"/>
      <c r="K73" s="3"/>
    </row>
    <row r="74" spans="3:11" ht="15.75" customHeight="1" x14ac:dyDescent="0.2">
      <c r="C74" s="187">
        <v>44369</v>
      </c>
      <c r="D74" s="12">
        <v>0.59027777777777779</v>
      </c>
      <c r="E74" s="3">
        <v>7</v>
      </c>
      <c r="F74" s="24">
        <v>8.59</v>
      </c>
      <c r="G74" s="7">
        <v>86.1</v>
      </c>
      <c r="H74" s="7">
        <v>15.5</v>
      </c>
      <c r="I74" s="3"/>
      <c r="J74" s="3"/>
      <c r="K74" s="3"/>
    </row>
    <row r="75" spans="3:11" ht="15.75" customHeight="1" x14ac:dyDescent="0.2">
      <c r="C75" s="187">
        <v>44369</v>
      </c>
      <c r="D75" s="12">
        <v>0.59027777777777779</v>
      </c>
      <c r="E75" s="3">
        <v>8</v>
      </c>
      <c r="F75" s="24">
        <v>8.6</v>
      </c>
      <c r="G75" s="7">
        <v>85.9</v>
      </c>
      <c r="H75" s="7">
        <v>15.3</v>
      </c>
      <c r="I75" s="3"/>
      <c r="J75" s="3"/>
      <c r="K75" s="3"/>
    </row>
    <row r="76" spans="3:11" ht="15.75" customHeight="1" x14ac:dyDescent="0.2">
      <c r="C76" s="187">
        <v>44369</v>
      </c>
      <c r="D76" s="12">
        <v>0.59027777777777779</v>
      </c>
      <c r="E76" s="3">
        <v>9</v>
      </c>
      <c r="F76" s="24">
        <v>8.67</v>
      </c>
      <c r="G76" s="7">
        <v>85.8</v>
      </c>
      <c r="H76" s="7">
        <v>14.9</v>
      </c>
      <c r="I76" s="3"/>
      <c r="J76" s="3"/>
      <c r="K76" s="3"/>
    </row>
    <row r="77" spans="3:11" ht="15.75" customHeight="1" x14ac:dyDescent="0.2">
      <c r="C77" s="187">
        <v>44369</v>
      </c>
      <c r="D77" s="12">
        <v>0.59027777777777779</v>
      </c>
      <c r="E77" s="3">
        <v>10</v>
      </c>
      <c r="F77" s="24">
        <v>8.8000000000000007</v>
      </c>
      <c r="G77" s="7">
        <v>85.9</v>
      </c>
      <c r="H77" s="7">
        <v>14.2</v>
      </c>
      <c r="I77" s="3"/>
      <c r="J77" s="3"/>
      <c r="K77" s="3"/>
    </row>
    <row r="78" spans="3:11" ht="15.75" customHeight="1" x14ac:dyDescent="0.2">
      <c r="C78" s="187">
        <v>44369</v>
      </c>
      <c r="D78" s="12">
        <v>0.59027777777777779</v>
      </c>
      <c r="E78" s="3">
        <v>11</v>
      </c>
      <c r="F78" s="24">
        <v>9.01</v>
      </c>
      <c r="G78" s="7">
        <v>86.7</v>
      </c>
      <c r="H78" s="7">
        <v>13.4</v>
      </c>
      <c r="I78" s="3"/>
      <c r="J78" s="3"/>
      <c r="K78" s="3"/>
    </row>
    <row r="79" spans="3:11" ht="15.75" customHeight="1" x14ac:dyDescent="0.2">
      <c r="C79" s="187"/>
      <c r="D79" s="12"/>
      <c r="E79" s="3"/>
      <c r="F79" s="24"/>
      <c r="G79" s="7"/>
      <c r="H79" s="7"/>
      <c r="I79" s="3"/>
      <c r="J79" s="3"/>
      <c r="K79" s="3"/>
    </row>
    <row r="80" spans="3:11" ht="15.75" customHeight="1" x14ac:dyDescent="0.2">
      <c r="C80" s="187">
        <v>44403</v>
      </c>
      <c r="D80" s="12">
        <v>0.62847222222222221</v>
      </c>
      <c r="E80" s="3"/>
      <c r="F80" s="24"/>
      <c r="G80" s="7"/>
      <c r="H80" s="7"/>
      <c r="I80" s="3"/>
      <c r="J80" s="3">
        <v>9.5</v>
      </c>
      <c r="K80" s="3">
        <v>12</v>
      </c>
    </row>
    <row r="81" spans="3:11" ht="15.75" customHeight="1" x14ac:dyDescent="0.2">
      <c r="C81" s="187">
        <v>44403</v>
      </c>
      <c r="D81" s="12">
        <v>0.62847222222222221</v>
      </c>
      <c r="E81" s="3">
        <v>0.1</v>
      </c>
      <c r="F81" s="24">
        <v>7.15</v>
      </c>
      <c r="G81" s="7">
        <v>84.3</v>
      </c>
      <c r="H81" s="7">
        <v>23.6</v>
      </c>
      <c r="I81" s="3"/>
      <c r="J81" s="3"/>
      <c r="K81" s="3"/>
    </row>
    <row r="82" spans="3:11" ht="15.75" customHeight="1" x14ac:dyDescent="0.2">
      <c r="C82" s="187">
        <v>44403</v>
      </c>
      <c r="D82" s="12">
        <v>0.62847222222222221</v>
      </c>
      <c r="E82" s="3">
        <v>1</v>
      </c>
      <c r="F82" s="24">
        <v>7.13</v>
      </c>
      <c r="G82" s="7">
        <v>83.3</v>
      </c>
      <c r="H82" s="7">
        <v>23.1</v>
      </c>
      <c r="I82" s="3"/>
      <c r="J82" s="3"/>
      <c r="K82" s="3"/>
    </row>
    <row r="83" spans="3:11" ht="15.75" customHeight="1" x14ac:dyDescent="0.2">
      <c r="C83" s="187">
        <v>44403</v>
      </c>
      <c r="D83" s="12">
        <v>0.62847222222222221</v>
      </c>
      <c r="E83" s="3">
        <v>2</v>
      </c>
      <c r="F83" s="24">
        <v>7.15</v>
      </c>
      <c r="G83" s="7">
        <v>83</v>
      </c>
      <c r="H83" s="7">
        <v>22.8</v>
      </c>
      <c r="I83" s="3"/>
      <c r="J83" s="3"/>
      <c r="K83" s="3"/>
    </row>
    <row r="84" spans="3:11" ht="15.75" customHeight="1" x14ac:dyDescent="0.2">
      <c r="C84" s="187">
        <v>44403</v>
      </c>
      <c r="D84" s="12">
        <v>0.62847222222222221</v>
      </c>
      <c r="E84" s="3">
        <v>3</v>
      </c>
      <c r="F84" s="24">
        <v>7.17</v>
      </c>
      <c r="G84" s="7">
        <v>83.2</v>
      </c>
      <c r="H84" s="7">
        <v>22.7</v>
      </c>
      <c r="I84" s="3"/>
      <c r="J84" s="3"/>
      <c r="K84" s="3"/>
    </row>
    <row r="85" spans="3:11" ht="15.75" customHeight="1" x14ac:dyDescent="0.2">
      <c r="C85" s="187">
        <v>44403</v>
      </c>
      <c r="D85" s="12">
        <v>0.62847222222222221</v>
      </c>
      <c r="E85" s="3">
        <v>4</v>
      </c>
      <c r="F85" s="24">
        <v>7.17</v>
      </c>
      <c r="G85" s="7">
        <v>83</v>
      </c>
      <c r="H85" s="7">
        <v>22.7</v>
      </c>
      <c r="I85" s="3"/>
      <c r="J85" s="3"/>
      <c r="K85" s="3"/>
    </row>
    <row r="86" spans="3:11" ht="15.75" customHeight="1" x14ac:dyDescent="0.2">
      <c r="C86" s="187">
        <v>44403</v>
      </c>
      <c r="D86" s="12">
        <v>0.62847222222222221</v>
      </c>
      <c r="E86" s="3">
        <v>5</v>
      </c>
      <c r="F86" s="24">
        <v>7.16</v>
      </c>
      <c r="G86" s="7">
        <v>82.8</v>
      </c>
      <c r="H86" s="7">
        <v>22.6</v>
      </c>
      <c r="I86" s="3"/>
      <c r="J86" s="3"/>
      <c r="K86" s="3"/>
    </row>
    <row r="87" spans="3:11" ht="15.75" customHeight="1" x14ac:dyDescent="0.2">
      <c r="C87" s="187">
        <v>44403</v>
      </c>
      <c r="D87" s="12">
        <v>0.62847222222222221</v>
      </c>
      <c r="E87" s="3">
        <v>6</v>
      </c>
      <c r="F87" s="24">
        <v>7.16</v>
      </c>
      <c r="G87" s="7">
        <v>82.7</v>
      </c>
      <c r="H87" s="7">
        <v>22.5</v>
      </c>
      <c r="I87" s="3"/>
      <c r="J87" s="3"/>
      <c r="K87" s="3"/>
    </row>
    <row r="88" spans="3:11" ht="15.75" customHeight="1" x14ac:dyDescent="0.2">
      <c r="C88" s="187">
        <v>44403</v>
      </c>
      <c r="D88" s="12">
        <v>0.62847222222222221</v>
      </c>
      <c r="E88" s="3">
        <v>7</v>
      </c>
      <c r="F88" s="24">
        <v>8.18</v>
      </c>
      <c r="G88" s="7">
        <v>90.8</v>
      </c>
      <c r="H88" s="7">
        <v>20.399999999999999</v>
      </c>
      <c r="I88" s="3"/>
      <c r="J88" s="3"/>
      <c r="K88" s="3"/>
    </row>
    <row r="89" spans="3:11" ht="15.75" customHeight="1" x14ac:dyDescent="0.2">
      <c r="C89" s="187">
        <v>44403</v>
      </c>
      <c r="D89" s="12">
        <v>0.62847222222222221</v>
      </c>
      <c r="E89" s="3">
        <v>9</v>
      </c>
      <c r="F89" s="24">
        <v>8.84</v>
      </c>
      <c r="G89" s="7">
        <v>91.9</v>
      </c>
      <c r="H89" s="7">
        <v>17.2</v>
      </c>
      <c r="I89" s="3"/>
      <c r="J89" s="3"/>
      <c r="K89" s="3"/>
    </row>
    <row r="90" spans="3:11" ht="15.75" customHeight="1" x14ac:dyDescent="0.2">
      <c r="C90" s="187">
        <v>44403</v>
      </c>
      <c r="D90" s="12">
        <v>0.62847222222222221</v>
      </c>
      <c r="E90" s="3">
        <v>11</v>
      </c>
      <c r="F90" s="24">
        <v>9</v>
      </c>
      <c r="G90" s="7">
        <v>91.1</v>
      </c>
      <c r="H90" s="7">
        <v>16</v>
      </c>
      <c r="I90" s="3"/>
      <c r="J90" s="3"/>
      <c r="K90" s="3"/>
    </row>
    <row r="91" spans="3:11" ht="15.75" customHeight="1" x14ac:dyDescent="0.2">
      <c r="C91" s="187"/>
      <c r="D91" s="12"/>
      <c r="E91" s="3"/>
      <c r="F91" s="24"/>
      <c r="G91" s="7"/>
      <c r="H91" s="7"/>
      <c r="I91" s="3"/>
      <c r="J91" s="3"/>
      <c r="K91" s="3"/>
    </row>
    <row r="92" spans="3:11" ht="15.75" customHeight="1" x14ac:dyDescent="0.2">
      <c r="C92" s="187">
        <v>44438</v>
      </c>
      <c r="D92" s="12">
        <v>0.59027777777777779</v>
      </c>
      <c r="E92" s="3"/>
      <c r="F92" s="24"/>
      <c r="G92" s="7"/>
      <c r="H92" s="7"/>
      <c r="I92" s="3"/>
      <c r="J92" s="3">
        <v>8.5</v>
      </c>
      <c r="K92" s="3">
        <v>10.5</v>
      </c>
    </row>
    <row r="93" spans="3:11" ht="15.75" customHeight="1" x14ac:dyDescent="0.2">
      <c r="C93" s="187">
        <v>44438</v>
      </c>
      <c r="D93" s="12">
        <v>0.59930555555555554</v>
      </c>
      <c r="E93" s="3">
        <v>0.1</v>
      </c>
      <c r="F93" s="24">
        <v>7.57</v>
      </c>
      <c r="G93" s="7">
        <v>85.5</v>
      </c>
      <c r="H93" s="7">
        <v>21.3</v>
      </c>
      <c r="I93" s="3"/>
      <c r="J93" s="3"/>
      <c r="K93" s="3"/>
    </row>
    <row r="94" spans="3:11" ht="15.75" customHeight="1" x14ac:dyDescent="0.2">
      <c r="C94" s="187">
        <v>44438</v>
      </c>
      <c r="D94" s="12">
        <v>0.59930555555555554</v>
      </c>
      <c r="E94" s="3">
        <v>1</v>
      </c>
      <c r="F94" s="24">
        <v>7.62</v>
      </c>
      <c r="G94" s="7">
        <v>84.7</v>
      </c>
      <c r="H94" s="7">
        <v>20.6</v>
      </c>
      <c r="I94" s="3"/>
      <c r="J94" s="3"/>
      <c r="K94" s="3"/>
    </row>
    <row r="95" spans="3:11" ht="15.75" customHeight="1" x14ac:dyDescent="0.2">
      <c r="C95" s="187">
        <v>44438</v>
      </c>
      <c r="D95" s="12">
        <v>0.59930555555555554</v>
      </c>
      <c r="E95" s="3">
        <v>2</v>
      </c>
      <c r="F95" s="24">
        <v>7.61</v>
      </c>
      <c r="G95" s="7">
        <v>84.4</v>
      </c>
      <c r="H95" s="7">
        <v>20.399999999999999</v>
      </c>
      <c r="I95" s="3"/>
      <c r="J95" s="3"/>
      <c r="K95" s="3"/>
    </row>
    <row r="96" spans="3:11" ht="15.75" customHeight="1" x14ac:dyDescent="0.2">
      <c r="C96" s="187">
        <v>44438</v>
      </c>
      <c r="D96" s="12">
        <v>0.59930555555555554</v>
      </c>
      <c r="E96" s="3">
        <v>3</v>
      </c>
      <c r="F96" s="24">
        <v>7.61</v>
      </c>
      <c r="G96" s="7">
        <v>84.2</v>
      </c>
      <c r="H96" s="7">
        <v>20.3</v>
      </c>
      <c r="I96" s="3"/>
      <c r="J96" s="3"/>
      <c r="K96" s="3"/>
    </row>
    <row r="97" spans="3:11" ht="15.75" customHeight="1" x14ac:dyDescent="0.2">
      <c r="C97" s="187">
        <v>44438</v>
      </c>
      <c r="D97" s="12">
        <v>0.59930555555555554</v>
      </c>
      <c r="E97" s="3">
        <v>4</v>
      </c>
      <c r="F97" s="24">
        <v>7.62</v>
      </c>
      <c r="G97" s="7">
        <v>84.1</v>
      </c>
      <c r="H97" s="7">
        <v>20.2</v>
      </c>
      <c r="I97" s="3"/>
      <c r="J97" s="3"/>
      <c r="K97" s="3"/>
    </row>
    <row r="98" spans="3:11" ht="15.75" customHeight="1" x14ac:dyDescent="0.2">
      <c r="C98" s="187">
        <v>44438</v>
      </c>
      <c r="D98" s="12">
        <v>0.59930555555555554</v>
      </c>
      <c r="E98" s="3">
        <v>5</v>
      </c>
      <c r="F98" s="24">
        <v>7.61</v>
      </c>
      <c r="G98" s="7">
        <v>84</v>
      </c>
      <c r="H98" s="7">
        <v>20.2</v>
      </c>
      <c r="I98" s="3"/>
      <c r="J98" s="3"/>
      <c r="K98" s="3"/>
    </row>
    <row r="99" spans="3:11" ht="15.75" customHeight="1" x14ac:dyDescent="0.2">
      <c r="C99" s="187">
        <v>44438</v>
      </c>
      <c r="D99" s="12">
        <v>0.59930555555555554</v>
      </c>
      <c r="E99" s="3">
        <v>6</v>
      </c>
      <c r="F99" s="24">
        <v>7.61</v>
      </c>
      <c r="G99" s="7">
        <v>83.9</v>
      </c>
      <c r="H99" s="7">
        <v>20.100000000000001</v>
      </c>
      <c r="I99" s="3"/>
      <c r="J99" s="3"/>
      <c r="K99" s="3"/>
    </row>
    <row r="100" spans="3:11" ht="15.75" customHeight="1" x14ac:dyDescent="0.2">
      <c r="C100" s="187">
        <v>44438</v>
      </c>
      <c r="D100" s="12">
        <v>0.59930555555555554</v>
      </c>
      <c r="E100" s="3">
        <v>7</v>
      </c>
      <c r="F100" s="24">
        <v>7.6</v>
      </c>
      <c r="G100" s="7">
        <v>83.7</v>
      </c>
      <c r="H100" s="7">
        <v>20.100000000000001</v>
      </c>
      <c r="I100" s="3"/>
      <c r="J100" s="3"/>
      <c r="K100" s="3"/>
    </row>
    <row r="101" spans="3:11" ht="15.75" customHeight="1" x14ac:dyDescent="0.2">
      <c r="C101" s="187">
        <v>44438</v>
      </c>
      <c r="D101" s="12">
        <v>0.59930555555555554</v>
      </c>
      <c r="E101" s="3">
        <v>8</v>
      </c>
      <c r="F101" s="24">
        <v>7.56</v>
      </c>
      <c r="G101" s="7">
        <v>83.3</v>
      </c>
      <c r="H101" s="7">
        <v>20</v>
      </c>
      <c r="I101" s="3"/>
      <c r="J101" s="3"/>
      <c r="K101" s="3"/>
    </row>
    <row r="102" spans="3:11" ht="15.75" customHeight="1" x14ac:dyDescent="0.2">
      <c r="C102" s="187">
        <v>44438</v>
      </c>
      <c r="D102" s="12">
        <v>0.59930555555555554</v>
      </c>
      <c r="E102" s="3">
        <v>9</v>
      </c>
      <c r="F102" s="24">
        <v>7.58</v>
      </c>
      <c r="G102" s="7">
        <v>83.3</v>
      </c>
      <c r="H102" s="7">
        <v>20</v>
      </c>
      <c r="I102" s="3"/>
      <c r="J102" s="3"/>
      <c r="K102" s="3"/>
    </row>
    <row r="103" spans="3:11" ht="15.75" customHeight="1" x14ac:dyDescent="0.2">
      <c r="C103" s="187">
        <v>44438</v>
      </c>
      <c r="D103" s="12">
        <v>0.59930555555555554</v>
      </c>
      <c r="E103" s="3">
        <v>10</v>
      </c>
      <c r="F103" s="24">
        <v>7.57</v>
      </c>
      <c r="G103" s="7">
        <v>83.2</v>
      </c>
      <c r="H103" s="7">
        <v>20</v>
      </c>
      <c r="I103" s="3"/>
      <c r="J103" s="3"/>
      <c r="K103" s="3"/>
    </row>
    <row r="104" spans="3:11" ht="15.75" customHeight="1" x14ac:dyDescent="0.2">
      <c r="C104" s="187"/>
      <c r="D104" s="12"/>
      <c r="E104" s="3"/>
      <c r="F104" s="24"/>
      <c r="G104" s="7"/>
      <c r="H104" s="7"/>
      <c r="I104" s="3"/>
      <c r="J104" s="3"/>
      <c r="K104" s="3"/>
    </row>
    <row r="105" spans="3:11" ht="15.75" customHeight="1" x14ac:dyDescent="0.2">
      <c r="C105" s="187">
        <v>44459</v>
      </c>
      <c r="D105" s="12">
        <v>0.57291666666666663</v>
      </c>
      <c r="E105" s="3"/>
      <c r="F105" s="24"/>
      <c r="G105" s="7"/>
      <c r="H105" s="7"/>
      <c r="I105" s="3"/>
      <c r="J105" s="3">
        <v>9.5</v>
      </c>
      <c r="K105" s="3">
        <v>11</v>
      </c>
    </row>
    <row r="106" spans="3:11" ht="15.75" customHeight="1" x14ac:dyDescent="0.2">
      <c r="C106" s="187">
        <v>44459</v>
      </c>
      <c r="D106" s="12">
        <v>0.57638888888888895</v>
      </c>
      <c r="E106" s="3">
        <v>0.1</v>
      </c>
      <c r="F106" s="24">
        <v>8.0399999999999991</v>
      </c>
      <c r="G106" s="7">
        <v>84</v>
      </c>
      <c r="H106" s="7">
        <v>17.5</v>
      </c>
      <c r="I106" s="3"/>
      <c r="J106" s="3"/>
      <c r="K106" s="3"/>
    </row>
    <row r="107" spans="3:11" ht="15.75" customHeight="1" x14ac:dyDescent="0.2">
      <c r="C107" s="187">
        <v>44459</v>
      </c>
      <c r="D107" s="12">
        <v>0.57638888888888895</v>
      </c>
      <c r="E107" s="3">
        <v>1</v>
      </c>
      <c r="F107" s="24">
        <v>7.93</v>
      </c>
      <c r="G107" s="7">
        <v>83.2</v>
      </c>
      <c r="H107" s="7">
        <v>17.7</v>
      </c>
      <c r="I107" s="3"/>
      <c r="J107" s="3"/>
      <c r="K107" s="3"/>
    </row>
    <row r="108" spans="3:11" ht="15.75" customHeight="1" x14ac:dyDescent="0.2">
      <c r="C108" s="187">
        <v>44459</v>
      </c>
      <c r="D108" s="12">
        <v>0.57638888888888895</v>
      </c>
      <c r="E108" s="3">
        <v>2</v>
      </c>
      <c r="F108" s="24">
        <v>7.89</v>
      </c>
      <c r="G108" s="7">
        <v>82.5</v>
      </c>
      <c r="H108" s="7">
        <v>17.5</v>
      </c>
      <c r="I108" s="3"/>
      <c r="J108" s="3"/>
      <c r="K108" s="3"/>
    </row>
    <row r="109" spans="3:11" ht="15.75" customHeight="1" x14ac:dyDescent="0.2">
      <c r="C109" s="187">
        <v>44459</v>
      </c>
      <c r="D109" s="12">
        <v>0.57638888888888895</v>
      </c>
      <c r="E109" s="3">
        <v>3</v>
      </c>
      <c r="F109" s="24">
        <v>7.86</v>
      </c>
      <c r="G109" s="7">
        <v>82.1</v>
      </c>
      <c r="H109" s="7">
        <v>17.5</v>
      </c>
      <c r="I109" s="3"/>
      <c r="J109" s="3"/>
      <c r="K109" s="3"/>
    </row>
    <row r="110" spans="3:11" ht="15.75" customHeight="1" x14ac:dyDescent="0.2">
      <c r="C110" s="187">
        <v>44459</v>
      </c>
      <c r="D110" s="12">
        <v>0.57638888888888895</v>
      </c>
      <c r="E110" s="3">
        <v>4</v>
      </c>
      <c r="F110" s="24">
        <v>7.83</v>
      </c>
      <c r="G110" s="7">
        <v>81.8</v>
      </c>
      <c r="H110" s="7">
        <v>17.5</v>
      </c>
      <c r="I110" s="3"/>
      <c r="J110" s="3"/>
      <c r="K110" s="3"/>
    </row>
    <row r="111" spans="3:11" ht="15.75" customHeight="1" x14ac:dyDescent="0.2">
      <c r="C111" s="187">
        <v>44459</v>
      </c>
      <c r="D111" s="12">
        <v>0.57638888888888895</v>
      </c>
      <c r="E111" s="3">
        <v>5</v>
      </c>
      <c r="F111" s="24">
        <v>7.83</v>
      </c>
      <c r="G111" s="7">
        <v>81.7</v>
      </c>
      <c r="H111" s="7">
        <v>17.399999999999999</v>
      </c>
      <c r="I111" s="3"/>
      <c r="J111" s="3"/>
      <c r="K111" s="3"/>
    </row>
    <row r="112" spans="3:11" ht="15.75" customHeight="1" x14ac:dyDescent="0.2">
      <c r="C112" s="187">
        <v>44459</v>
      </c>
      <c r="D112" s="12">
        <v>0.57638888888888895</v>
      </c>
      <c r="E112" s="3">
        <v>6</v>
      </c>
      <c r="F112" s="24">
        <v>7.82</v>
      </c>
      <c r="G112" s="7">
        <v>81.599999999999994</v>
      </c>
      <c r="H112" s="7">
        <v>17.399999999999999</v>
      </c>
      <c r="I112" s="3"/>
      <c r="J112" s="3"/>
      <c r="K112" s="3"/>
    </row>
    <row r="113" spans="3:11" ht="15.75" customHeight="1" x14ac:dyDescent="0.2">
      <c r="C113" s="187">
        <v>44459</v>
      </c>
      <c r="D113" s="12">
        <v>0.57638888888888895</v>
      </c>
      <c r="E113" s="3">
        <v>7</v>
      </c>
      <c r="F113" s="24">
        <v>7.81</v>
      </c>
      <c r="G113" s="7">
        <v>81.400000000000006</v>
      </c>
      <c r="H113" s="7">
        <v>17.399999999999999</v>
      </c>
      <c r="I113" s="3"/>
      <c r="J113" s="3"/>
      <c r="K113" s="3"/>
    </row>
    <row r="114" spans="3:11" ht="15.75" customHeight="1" x14ac:dyDescent="0.2">
      <c r="C114" s="187">
        <v>44459</v>
      </c>
      <c r="D114" s="12">
        <v>0.57638888888888895</v>
      </c>
      <c r="E114" s="3">
        <v>8</v>
      </c>
      <c r="F114" s="24">
        <v>7.79</v>
      </c>
      <c r="G114" s="7">
        <v>81.3</v>
      </c>
      <c r="H114" s="7">
        <v>17.399999999999999</v>
      </c>
      <c r="I114" s="3"/>
      <c r="J114" s="3"/>
      <c r="K114" s="3"/>
    </row>
    <row r="115" spans="3:11" ht="15.75" customHeight="1" x14ac:dyDescent="0.2">
      <c r="C115" s="187">
        <v>44459</v>
      </c>
      <c r="D115" s="12">
        <v>0.57638888888888895</v>
      </c>
      <c r="E115" s="3">
        <v>9</v>
      </c>
      <c r="F115" s="24">
        <v>7.78</v>
      </c>
      <c r="G115" s="7">
        <v>81.099999999999994</v>
      </c>
      <c r="H115" s="7">
        <v>17.399999999999999</v>
      </c>
      <c r="I115" s="3"/>
      <c r="J115" s="3"/>
      <c r="K115" s="3"/>
    </row>
    <row r="116" spans="3:11" ht="15.75" customHeight="1" x14ac:dyDescent="0.2">
      <c r="C116" s="187">
        <v>44459</v>
      </c>
      <c r="D116" s="12">
        <v>0.57638888888888895</v>
      </c>
      <c r="E116" s="3">
        <v>10</v>
      </c>
      <c r="F116" s="24">
        <v>7.76</v>
      </c>
      <c r="G116" s="7">
        <v>81</v>
      </c>
      <c r="H116" s="7">
        <v>17.399999999999999</v>
      </c>
      <c r="I116" s="3"/>
      <c r="J116" s="3"/>
      <c r="K116" s="3"/>
    </row>
    <row r="117" spans="3:11" ht="15.75" customHeight="1" x14ac:dyDescent="0.2">
      <c r="C117" s="187">
        <v>44459</v>
      </c>
      <c r="D117" s="12">
        <v>0.57638888888888895</v>
      </c>
      <c r="E117" s="3">
        <v>11</v>
      </c>
      <c r="F117" s="24">
        <v>7.76</v>
      </c>
      <c r="G117" s="7">
        <v>81</v>
      </c>
      <c r="H117" s="7">
        <v>17.399999999999999</v>
      </c>
      <c r="I117" s="3"/>
      <c r="J117" s="3"/>
      <c r="K117" s="3"/>
    </row>
    <row r="118" spans="3:11" ht="15.75" customHeight="1" x14ac:dyDescent="0.2">
      <c r="C118" s="187"/>
      <c r="D118" s="12"/>
      <c r="E118" s="3"/>
      <c r="F118" s="24"/>
      <c r="G118" s="7"/>
      <c r="H118" s="7"/>
      <c r="I118" s="3"/>
      <c r="J118" s="3"/>
      <c r="K118" s="3"/>
    </row>
    <row r="119" spans="3:11" ht="15.75" customHeight="1" x14ac:dyDescent="0.2">
      <c r="C119" s="187"/>
      <c r="D119" s="12"/>
      <c r="E119" s="3"/>
      <c r="F119" s="24"/>
      <c r="G119" s="7"/>
      <c r="H119" s="7"/>
      <c r="I119" s="3"/>
      <c r="J119" s="3"/>
      <c r="K119" s="3"/>
    </row>
    <row r="120" spans="3:11" ht="15.75" customHeight="1" x14ac:dyDescent="0.2">
      <c r="C120" s="187"/>
      <c r="D120" s="12"/>
      <c r="E120" s="3"/>
      <c r="F120" s="24"/>
      <c r="G120" s="7"/>
      <c r="H120" s="7"/>
      <c r="I120" s="3"/>
      <c r="J120" s="3"/>
      <c r="K120" s="3"/>
    </row>
    <row r="121" spans="3:11" ht="15.75" customHeight="1" x14ac:dyDescent="0.2">
      <c r="C121" s="187"/>
      <c r="E121" s="3"/>
      <c r="F121" s="24"/>
      <c r="G121" s="7"/>
      <c r="H121" s="7"/>
      <c r="I121" s="3"/>
      <c r="J121" s="3"/>
      <c r="K121" s="3"/>
    </row>
    <row r="122" spans="3:11" ht="15.75" customHeight="1" x14ac:dyDescent="0.2">
      <c r="C122" s="187">
        <v>44007</v>
      </c>
      <c r="D122" s="12">
        <v>0.61458333333333337</v>
      </c>
      <c r="E122" s="3"/>
      <c r="F122" s="24"/>
      <c r="G122" s="7"/>
      <c r="H122" s="7"/>
      <c r="I122" s="3"/>
      <c r="J122" s="3">
        <v>8.5</v>
      </c>
      <c r="K122" s="3">
        <v>9.5</v>
      </c>
    </row>
    <row r="123" spans="3:11" ht="15.75" customHeight="1" x14ac:dyDescent="0.2">
      <c r="C123" s="187">
        <v>44007</v>
      </c>
      <c r="D123" s="12"/>
      <c r="E123" s="3">
        <v>0.1</v>
      </c>
      <c r="F123" s="24">
        <v>7.11</v>
      </c>
      <c r="G123" s="7">
        <v>84.9</v>
      </c>
      <c r="H123" s="7">
        <v>24.5</v>
      </c>
      <c r="I123" s="3">
        <f>+K122*2</f>
        <v>19</v>
      </c>
      <c r="J123" s="3"/>
      <c r="K123" s="3"/>
    </row>
    <row r="124" spans="3:11" ht="15.75" customHeight="1" x14ac:dyDescent="0.2">
      <c r="C124" s="187">
        <v>44007</v>
      </c>
      <c r="D124" s="12"/>
      <c r="E124" s="3">
        <v>1</v>
      </c>
      <c r="F124" s="24">
        <v>7.35</v>
      </c>
      <c r="G124" s="7"/>
      <c r="H124" s="7">
        <v>22.2</v>
      </c>
      <c r="I124" s="3">
        <v>24.5</v>
      </c>
      <c r="J124" s="3"/>
      <c r="K124" s="3"/>
    </row>
    <row r="125" spans="3:11" ht="15.75" customHeight="1" x14ac:dyDescent="0.2">
      <c r="C125" s="187">
        <v>44007</v>
      </c>
      <c r="D125" s="12"/>
      <c r="E125" s="3">
        <v>2</v>
      </c>
      <c r="F125" s="24">
        <v>7.42</v>
      </c>
      <c r="G125" s="7"/>
      <c r="H125" s="7">
        <v>21.9</v>
      </c>
      <c r="I125" s="3">
        <v>22.2</v>
      </c>
      <c r="J125" s="3"/>
      <c r="K125" s="3"/>
    </row>
    <row r="126" spans="3:11" ht="15.75" customHeight="1" x14ac:dyDescent="0.2">
      <c r="C126" s="187">
        <v>44007</v>
      </c>
      <c r="D126" s="12"/>
      <c r="E126" s="3">
        <v>3</v>
      </c>
      <c r="F126" s="24">
        <v>7.51</v>
      </c>
      <c r="G126" s="7"/>
      <c r="H126" s="7">
        <v>21.5</v>
      </c>
      <c r="I126" s="3">
        <v>21.9</v>
      </c>
      <c r="J126" s="3"/>
      <c r="K126" s="3"/>
    </row>
    <row r="127" spans="3:11" ht="15.75" customHeight="1" x14ac:dyDescent="0.2">
      <c r="C127" s="187">
        <v>44007</v>
      </c>
      <c r="D127" s="12"/>
      <c r="E127" s="3">
        <v>4</v>
      </c>
      <c r="F127" s="24">
        <v>7.74</v>
      </c>
      <c r="G127" s="7"/>
      <c r="H127" s="7">
        <v>20.8</v>
      </c>
      <c r="I127" s="3">
        <v>21.5</v>
      </c>
      <c r="J127" s="3"/>
      <c r="K127" s="3"/>
    </row>
    <row r="128" spans="3:11" ht="15.75" customHeight="1" x14ac:dyDescent="0.2">
      <c r="C128" s="187">
        <v>44007</v>
      </c>
      <c r="D128" s="12"/>
      <c r="E128" s="3">
        <v>5</v>
      </c>
      <c r="F128" s="24">
        <v>7.9</v>
      </c>
      <c r="G128" s="7"/>
      <c r="H128" s="7">
        <v>20.8</v>
      </c>
      <c r="I128" s="3">
        <v>20.8</v>
      </c>
      <c r="J128" s="3"/>
      <c r="K128" s="3"/>
    </row>
    <row r="129" spans="3:11" ht="15.75" customHeight="1" x14ac:dyDescent="0.2">
      <c r="C129" s="187">
        <v>44007</v>
      </c>
      <c r="E129" s="3">
        <v>6</v>
      </c>
      <c r="F129" s="24">
        <v>7.93</v>
      </c>
      <c r="G129" s="7"/>
      <c r="H129" s="7">
        <v>19.7</v>
      </c>
      <c r="I129" s="3">
        <v>20.8</v>
      </c>
      <c r="J129" s="3"/>
      <c r="K129" s="3"/>
    </row>
    <row r="130" spans="3:11" ht="15.75" customHeight="1" x14ac:dyDescent="0.2">
      <c r="C130" s="187">
        <v>44007</v>
      </c>
      <c r="E130" s="3">
        <v>7</v>
      </c>
      <c r="F130" s="24">
        <v>7.98</v>
      </c>
      <c r="G130" s="7"/>
      <c r="H130" s="7">
        <v>19.399999999999999</v>
      </c>
      <c r="I130" s="3">
        <v>19.7</v>
      </c>
      <c r="J130" s="3"/>
      <c r="K130" s="3"/>
    </row>
    <row r="131" spans="3:11" ht="15.75" customHeight="1" x14ac:dyDescent="0.2">
      <c r="C131" s="187">
        <v>44007</v>
      </c>
      <c r="E131" s="3">
        <v>8</v>
      </c>
      <c r="F131" s="24">
        <v>8.0299999999999994</v>
      </c>
      <c r="G131" s="7"/>
      <c r="H131" s="7">
        <v>19.100000000000001</v>
      </c>
      <c r="I131" s="3">
        <v>19.399999999999999</v>
      </c>
      <c r="J131" s="3"/>
      <c r="K131" s="3"/>
    </row>
    <row r="132" spans="3:11" ht="15.75" customHeight="1" x14ac:dyDescent="0.2">
      <c r="C132" s="187">
        <v>44007</v>
      </c>
      <c r="E132" s="3">
        <v>9</v>
      </c>
      <c r="F132" s="24">
        <v>8.1999999999999993</v>
      </c>
      <c r="G132" s="7">
        <v>87.4</v>
      </c>
      <c r="H132" s="7">
        <v>18.3</v>
      </c>
      <c r="I132" s="3">
        <v>19.100000000000001</v>
      </c>
      <c r="J132" s="3"/>
      <c r="K132" s="3"/>
    </row>
    <row r="133" spans="3:11" ht="15.75" customHeight="1" x14ac:dyDescent="0.2">
      <c r="C133" s="187">
        <v>44007</v>
      </c>
      <c r="E133" s="3">
        <v>10</v>
      </c>
      <c r="F133" s="24">
        <v>8.5399999999999991</v>
      </c>
      <c r="G133" s="7">
        <v>88</v>
      </c>
      <c r="H133" s="7">
        <v>16.8</v>
      </c>
      <c r="I133" s="3">
        <v>18.3</v>
      </c>
      <c r="J133" s="3"/>
      <c r="K133" s="3"/>
    </row>
    <row r="134" spans="3:11" ht="15.75" customHeight="1" x14ac:dyDescent="0.2">
      <c r="C134" s="187">
        <v>44007</v>
      </c>
      <c r="E134" s="3">
        <v>11</v>
      </c>
      <c r="F134" s="24">
        <v>9.15</v>
      </c>
      <c r="G134" s="7">
        <v>86.7</v>
      </c>
      <c r="H134" s="7">
        <v>13</v>
      </c>
      <c r="I134" s="7">
        <f>AVERAGE(I123:I133)</f>
        <v>20.654545454545456</v>
      </c>
      <c r="J134" s="3"/>
      <c r="K134" s="3"/>
    </row>
    <row r="135" spans="3:11" ht="15.75" customHeight="1" x14ac:dyDescent="0.2">
      <c r="C135" s="187"/>
      <c r="E135" s="3"/>
      <c r="F135" s="24"/>
      <c r="G135" s="7"/>
      <c r="H135" s="7"/>
      <c r="I135" s="3"/>
      <c r="J135" s="3"/>
      <c r="K135" s="3"/>
    </row>
    <row r="136" spans="3:11" ht="15.75" customHeight="1" x14ac:dyDescent="0.2">
      <c r="C136" s="187">
        <v>44039</v>
      </c>
      <c r="D136" s="12">
        <v>0.60069444444444442</v>
      </c>
      <c r="E136" s="3"/>
      <c r="F136" s="24"/>
      <c r="G136" s="7"/>
      <c r="H136" s="7"/>
      <c r="I136" s="3"/>
      <c r="J136" s="3">
        <v>9.5</v>
      </c>
      <c r="K136" s="3">
        <v>11</v>
      </c>
    </row>
    <row r="137" spans="3:11" ht="15.75" customHeight="1" x14ac:dyDescent="0.2">
      <c r="C137" s="187">
        <v>44039</v>
      </c>
      <c r="E137" s="3">
        <v>0.1</v>
      </c>
      <c r="F137" s="24">
        <v>7.33</v>
      </c>
      <c r="G137" s="7">
        <v>84.3</v>
      </c>
      <c r="H137" s="7">
        <v>22.2</v>
      </c>
      <c r="I137" s="3">
        <f>+K136*2</f>
        <v>22</v>
      </c>
      <c r="J137" s="3"/>
      <c r="K137" s="3"/>
    </row>
    <row r="138" spans="3:11" ht="15.75" customHeight="1" x14ac:dyDescent="0.2">
      <c r="C138" s="187">
        <v>44039</v>
      </c>
      <c r="E138" s="3">
        <v>1</v>
      </c>
      <c r="F138" s="24">
        <v>7.4</v>
      </c>
      <c r="G138" s="7"/>
      <c r="H138" s="7">
        <v>21.9</v>
      </c>
      <c r="I138" s="3">
        <v>22.2</v>
      </c>
      <c r="J138" s="3"/>
      <c r="K138" s="3"/>
    </row>
    <row r="139" spans="3:11" ht="15.75" customHeight="1" x14ac:dyDescent="0.2">
      <c r="C139" s="187">
        <v>44039</v>
      </c>
      <c r="E139" s="3">
        <v>2</v>
      </c>
      <c r="F139" s="24">
        <v>7.42</v>
      </c>
      <c r="G139" s="7"/>
      <c r="H139" s="7">
        <v>21.7</v>
      </c>
      <c r="I139" s="3">
        <v>21.9</v>
      </c>
      <c r="J139" s="3"/>
      <c r="K139" s="3"/>
    </row>
    <row r="140" spans="3:11" ht="15.75" customHeight="1" x14ac:dyDescent="0.2">
      <c r="C140" s="187">
        <v>44039</v>
      </c>
      <c r="E140" s="3">
        <v>3</v>
      </c>
      <c r="F140" s="24">
        <v>7.42</v>
      </c>
      <c r="G140" s="7"/>
      <c r="H140" s="7">
        <v>21.6</v>
      </c>
      <c r="I140" s="3">
        <v>21.7</v>
      </c>
      <c r="J140" s="3"/>
      <c r="K140" s="3"/>
    </row>
    <row r="141" spans="3:11" ht="15.75" customHeight="1" x14ac:dyDescent="0.2">
      <c r="C141" s="187">
        <v>44039</v>
      </c>
      <c r="E141" s="3">
        <v>4</v>
      </c>
      <c r="F141" s="24">
        <v>7.41</v>
      </c>
      <c r="G141" s="7"/>
      <c r="H141" s="7">
        <v>21.6</v>
      </c>
      <c r="I141" s="3">
        <v>21.6</v>
      </c>
      <c r="J141" s="3"/>
      <c r="K141" s="3"/>
    </row>
    <row r="142" spans="3:11" ht="15.75" customHeight="1" x14ac:dyDescent="0.2">
      <c r="C142" s="187">
        <v>44039</v>
      </c>
      <c r="E142" s="3">
        <v>5</v>
      </c>
      <c r="F142" s="24">
        <v>7.43</v>
      </c>
      <c r="G142" s="7"/>
      <c r="H142" s="7">
        <v>21.4</v>
      </c>
      <c r="I142" s="3">
        <v>21.6</v>
      </c>
      <c r="J142" s="3"/>
      <c r="K142" s="3"/>
    </row>
    <row r="143" spans="3:11" ht="15.75" customHeight="1" x14ac:dyDescent="0.2">
      <c r="C143" s="187">
        <v>44039</v>
      </c>
      <c r="E143" s="3">
        <v>6</v>
      </c>
      <c r="F143" s="24">
        <v>7.42</v>
      </c>
      <c r="G143" s="7"/>
      <c r="H143" s="7">
        <v>21.4</v>
      </c>
      <c r="I143" s="3">
        <v>21.4</v>
      </c>
      <c r="J143" s="3"/>
      <c r="K143" s="3"/>
    </row>
    <row r="144" spans="3:11" ht="15.75" customHeight="1" x14ac:dyDescent="0.2">
      <c r="C144" s="187">
        <v>44039</v>
      </c>
      <c r="E144" s="3">
        <v>7</v>
      </c>
      <c r="F144" s="24">
        <v>7.43</v>
      </c>
      <c r="G144" s="7"/>
      <c r="H144" s="7">
        <v>21.3</v>
      </c>
      <c r="I144" s="3">
        <v>21.4</v>
      </c>
      <c r="J144" s="3"/>
      <c r="K144" s="3"/>
    </row>
    <row r="145" spans="3:11" ht="15.75" customHeight="1" x14ac:dyDescent="0.2">
      <c r="C145" s="187">
        <v>44039</v>
      </c>
      <c r="E145" s="3">
        <v>8</v>
      </c>
      <c r="F145" s="24">
        <v>7.42</v>
      </c>
      <c r="G145" s="7"/>
      <c r="H145" s="7">
        <v>21.2</v>
      </c>
      <c r="I145" s="3">
        <v>21.3</v>
      </c>
      <c r="J145" s="3"/>
      <c r="K145" s="3"/>
    </row>
    <row r="146" spans="3:11" ht="15.75" customHeight="1" x14ac:dyDescent="0.2">
      <c r="C146" s="187">
        <v>44039</v>
      </c>
      <c r="E146" s="3">
        <v>9</v>
      </c>
      <c r="F146" s="24">
        <v>7.96</v>
      </c>
      <c r="G146" s="7">
        <v>86.8</v>
      </c>
      <c r="H146" s="7">
        <v>20.100000000000001</v>
      </c>
      <c r="I146" s="3">
        <v>21.2</v>
      </c>
      <c r="J146" s="3"/>
      <c r="K146" s="3"/>
    </row>
    <row r="147" spans="3:11" ht="15.75" customHeight="1" x14ac:dyDescent="0.2">
      <c r="C147" s="187">
        <v>44039</v>
      </c>
      <c r="E147" s="3">
        <v>10</v>
      </c>
      <c r="F147" s="24">
        <v>8.67</v>
      </c>
      <c r="G147" s="7">
        <v>89.2</v>
      </c>
      <c r="H147" s="7">
        <v>16.8</v>
      </c>
      <c r="I147" s="17">
        <f>AVERAGE(I137:I146)</f>
        <v>21.630000000000003</v>
      </c>
      <c r="J147" s="3"/>
      <c r="K147" s="3"/>
    </row>
    <row r="148" spans="3:11" ht="15.75" customHeight="1" x14ac:dyDescent="0.2">
      <c r="C148" s="187">
        <v>44039</v>
      </c>
      <c r="E148" s="3">
        <v>11</v>
      </c>
      <c r="F148" s="24">
        <v>9.27</v>
      </c>
      <c r="G148" s="7">
        <v>89</v>
      </c>
      <c r="H148" s="7">
        <v>13.8</v>
      </c>
      <c r="I148" s="3"/>
      <c r="J148" s="3"/>
      <c r="K148" s="3"/>
    </row>
    <row r="149" spans="3:11" ht="15.75" customHeight="1" x14ac:dyDescent="0.2">
      <c r="C149" s="187"/>
      <c r="E149" s="3"/>
      <c r="F149" s="24"/>
      <c r="G149" s="7"/>
      <c r="H149" s="7"/>
      <c r="I149" s="3"/>
      <c r="J149" s="3"/>
      <c r="K149" s="3"/>
    </row>
    <row r="150" spans="3:11" ht="15.75" customHeight="1" x14ac:dyDescent="0.2">
      <c r="C150" s="187">
        <v>44068</v>
      </c>
      <c r="E150" s="3"/>
      <c r="F150" s="24"/>
      <c r="G150" s="7"/>
      <c r="H150" s="7"/>
      <c r="I150" s="3"/>
      <c r="J150" s="3">
        <v>11</v>
      </c>
      <c r="K150" s="3">
        <v>11</v>
      </c>
    </row>
    <row r="151" spans="3:11" ht="15.75" customHeight="1" x14ac:dyDescent="0.2">
      <c r="C151" s="187">
        <v>44068</v>
      </c>
      <c r="D151" s="12">
        <v>0.60416666666666663</v>
      </c>
      <c r="E151" s="3">
        <v>0.1</v>
      </c>
      <c r="F151" s="24">
        <v>7.99</v>
      </c>
      <c r="G151" s="7">
        <v>83.8</v>
      </c>
      <c r="H151" s="7">
        <v>17.600000000000001</v>
      </c>
      <c r="I151" s="3" t="s">
        <v>75</v>
      </c>
      <c r="J151" s="3"/>
      <c r="K151" s="3"/>
    </row>
    <row r="152" spans="3:11" ht="15.75" customHeight="1" x14ac:dyDescent="0.2">
      <c r="C152" s="187">
        <v>44068</v>
      </c>
      <c r="D152" s="12">
        <v>0.60416666666666663</v>
      </c>
      <c r="E152" s="3">
        <v>1</v>
      </c>
      <c r="F152" s="24">
        <v>8.02</v>
      </c>
      <c r="G152" s="7">
        <v>83.7</v>
      </c>
      <c r="H152" s="7">
        <v>17.399999999999999</v>
      </c>
      <c r="I152" s="3"/>
      <c r="J152" s="3"/>
      <c r="K152" s="3"/>
    </row>
    <row r="153" spans="3:11" ht="15.75" customHeight="1" x14ac:dyDescent="0.2">
      <c r="C153" s="187">
        <v>44068</v>
      </c>
      <c r="D153" s="12">
        <v>0.60416666666666663</v>
      </c>
      <c r="E153" s="3">
        <v>2</v>
      </c>
      <c r="F153" s="24">
        <v>8.0299999999999994</v>
      </c>
      <c r="G153" s="7">
        <v>83.3</v>
      </c>
      <c r="H153" s="7">
        <v>17.100000000000001</v>
      </c>
      <c r="I153" s="3"/>
      <c r="J153" s="3"/>
      <c r="K153" s="3"/>
    </row>
    <row r="154" spans="3:11" ht="15.75" customHeight="1" x14ac:dyDescent="0.2">
      <c r="C154" s="187">
        <v>44068</v>
      </c>
      <c r="D154" s="12">
        <v>0.60416666666666663</v>
      </c>
      <c r="E154" s="3">
        <v>3</v>
      </c>
      <c r="F154" s="24">
        <v>8.0399999999999991</v>
      </c>
      <c r="G154" s="7">
        <v>83.1</v>
      </c>
      <c r="H154" s="7">
        <v>17</v>
      </c>
      <c r="I154" s="3"/>
      <c r="J154" s="3"/>
      <c r="K154" s="3"/>
    </row>
    <row r="155" spans="3:11" ht="15.75" customHeight="1" x14ac:dyDescent="0.2">
      <c r="C155" s="187">
        <v>44068</v>
      </c>
      <c r="D155" s="12">
        <v>0.60416666666666663</v>
      </c>
      <c r="E155" s="3">
        <v>4</v>
      </c>
      <c r="F155" s="24">
        <v>8.0399999999999991</v>
      </c>
      <c r="G155" s="7">
        <v>83.1</v>
      </c>
      <c r="H155" s="7">
        <v>16.899999999999999</v>
      </c>
      <c r="I155" s="3"/>
      <c r="J155" s="3"/>
      <c r="K155" s="3"/>
    </row>
    <row r="156" spans="3:11" ht="15.75" customHeight="1" x14ac:dyDescent="0.2">
      <c r="C156" s="187">
        <v>44068</v>
      </c>
      <c r="D156" s="12">
        <v>0.60416666666666663</v>
      </c>
      <c r="E156" s="3">
        <v>5</v>
      </c>
      <c r="F156" s="24">
        <v>8.02</v>
      </c>
      <c r="G156" s="7">
        <v>82.8</v>
      </c>
      <c r="H156" s="7">
        <v>16.899999999999999</v>
      </c>
      <c r="I156" s="3"/>
      <c r="J156" s="3"/>
      <c r="K156" s="3"/>
    </row>
    <row r="157" spans="3:11" ht="15.75" customHeight="1" x14ac:dyDescent="0.2">
      <c r="C157" s="187">
        <v>44068</v>
      </c>
      <c r="D157" s="12">
        <v>0.60416666666666663</v>
      </c>
      <c r="E157" s="3">
        <v>6</v>
      </c>
      <c r="F157" s="24">
        <v>8.01</v>
      </c>
      <c r="G157" s="7">
        <v>82.5</v>
      </c>
      <c r="H157" s="7">
        <v>16.8</v>
      </c>
      <c r="I157" s="3"/>
      <c r="J157" s="3"/>
      <c r="K157" s="3"/>
    </row>
    <row r="158" spans="3:11" ht="15.75" customHeight="1" x14ac:dyDescent="0.2">
      <c r="C158" s="187">
        <v>44068</v>
      </c>
      <c r="D158" s="12">
        <v>0.60416666666666663</v>
      </c>
      <c r="E158" s="3">
        <v>7</v>
      </c>
      <c r="F158" s="24">
        <v>8</v>
      </c>
      <c r="G158" s="7">
        <v>82.2</v>
      </c>
      <c r="H158" s="7">
        <v>16.7</v>
      </c>
      <c r="I158" s="3"/>
      <c r="J158" s="3"/>
      <c r="K158" s="3"/>
    </row>
    <row r="159" spans="3:11" ht="15.75" customHeight="1" x14ac:dyDescent="0.2">
      <c r="C159" s="187">
        <v>44068</v>
      </c>
      <c r="D159" s="12">
        <v>0.60416666666666663</v>
      </c>
      <c r="E159" s="3">
        <v>8</v>
      </c>
      <c r="F159" s="24">
        <v>7.98</v>
      </c>
      <c r="G159" s="7">
        <v>82</v>
      </c>
      <c r="H159" s="7">
        <v>16.7</v>
      </c>
      <c r="I159" s="3"/>
      <c r="J159" s="3"/>
      <c r="K159" s="3"/>
    </row>
    <row r="160" spans="3:11" ht="15.75" customHeight="1" x14ac:dyDescent="0.2">
      <c r="C160" s="187">
        <v>44068</v>
      </c>
      <c r="D160" s="12">
        <v>0.60416666666666663</v>
      </c>
      <c r="E160" s="3">
        <v>9</v>
      </c>
      <c r="F160" s="24">
        <v>7.98</v>
      </c>
      <c r="G160" s="7">
        <v>81.8</v>
      </c>
      <c r="H160" s="7">
        <v>16.600000000000001</v>
      </c>
      <c r="I160" s="3"/>
      <c r="J160" s="3"/>
      <c r="K160" s="3"/>
    </row>
    <row r="161" spans="3:11" ht="15.75" customHeight="1" x14ac:dyDescent="0.2">
      <c r="C161" s="187">
        <v>44068</v>
      </c>
      <c r="D161" s="12">
        <v>0.60416666666666663</v>
      </c>
      <c r="E161" s="3">
        <v>10</v>
      </c>
      <c r="F161" s="24">
        <v>7.96</v>
      </c>
      <c r="G161" s="7">
        <v>81.599999999999994</v>
      </c>
      <c r="H161" s="7">
        <v>16.600000000000001</v>
      </c>
      <c r="I161" s="3"/>
      <c r="J161" s="3"/>
      <c r="K161" s="3"/>
    </row>
    <row r="162" spans="3:11" ht="15.75" customHeight="1" x14ac:dyDescent="0.2">
      <c r="C162" s="187">
        <v>44068</v>
      </c>
      <c r="D162" s="12">
        <v>0.60416666666666663</v>
      </c>
      <c r="E162" s="3">
        <v>11</v>
      </c>
      <c r="F162" s="24">
        <v>7.93</v>
      </c>
      <c r="G162" s="7">
        <v>81.599999999999994</v>
      </c>
      <c r="H162" s="7">
        <v>16.600000000000001</v>
      </c>
      <c r="I162" s="3"/>
      <c r="J162" s="3"/>
      <c r="K162" s="3"/>
    </row>
    <row r="163" spans="3:11" ht="15.75" customHeight="1" x14ac:dyDescent="0.2">
      <c r="E163" s="3"/>
      <c r="F163" s="24"/>
      <c r="G163" s="7"/>
      <c r="H163" s="7"/>
      <c r="I163" s="3"/>
      <c r="J163" s="3"/>
      <c r="K163" s="3"/>
    </row>
    <row r="164" spans="3:11" ht="15.75" customHeight="1" x14ac:dyDescent="0.2">
      <c r="C164" s="192">
        <v>43018</v>
      </c>
      <c r="D164" s="185">
        <v>0.41666666666666669</v>
      </c>
      <c r="E164" s="3"/>
      <c r="F164" s="24"/>
      <c r="G164" s="7"/>
      <c r="H164" s="7"/>
      <c r="I164" s="3"/>
      <c r="J164" s="3">
        <v>10</v>
      </c>
      <c r="K164" s="3">
        <v>10</v>
      </c>
    </row>
    <row r="165" spans="3:11" ht="15.75" customHeight="1" x14ac:dyDescent="0.2">
      <c r="C165" s="192">
        <v>43018</v>
      </c>
      <c r="D165" s="185">
        <v>0.4201388888888889</v>
      </c>
      <c r="E165" s="3">
        <v>0.1</v>
      </c>
      <c r="F165" s="24">
        <v>8.64</v>
      </c>
      <c r="G165" s="7">
        <v>83.2</v>
      </c>
      <c r="H165" s="7">
        <v>13.7</v>
      </c>
      <c r="I165" s="3"/>
      <c r="J165" s="3"/>
      <c r="K165" s="3"/>
    </row>
    <row r="166" spans="3:11" ht="15.75" customHeight="1" x14ac:dyDescent="0.2">
      <c r="C166" s="192">
        <v>43018</v>
      </c>
      <c r="D166" s="185">
        <v>0.4201388888888889</v>
      </c>
      <c r="E166" s="3">
        <v>1</v>
      </c>
      <c r="F166" s="24">
        <v>8.6</v>
      </c>
      <c r="G166" s="7">
        <v>83.1</v>
      </c>
      <c r="H166" s="7">
        <v>13.8</v>
      </c>
      <c r="I166" s="3"/>
      <c r="J166" s="3"/>
      <c r="K166" s="3"/>
    </row>
    <row r="167" spans="3:11" ht="15.75" customHeight="1" x14ac:dyDescent="0.2">
      <c r="C167" s="192">
        <v>43018</v>
      </c>
      <c r="D167" s="185">
        <v>0.4201388888888889</v>
      </c>
      <c r="E167" s="3">
        <v>2</v>
      </c>
      <c r="F167" s="24">
        <v>8.58</v>
      </c>
      <c r="G167" s="7">
        <v>82.9</v>
      </c>
      <c r="H167" s="7">
        <v>13.8</v>
      </c>
      <c r="I167" s="3"/>
      <c r="J167" s="3"/>
      <c r="K167" s="3"/>
    </row>
    <row r="168" spans="3:11" ht="15.75" customHeight="1" x14ac:dyDescent="0.2">
      <c r="C168" s="192">
        <v>43018</v>
      </c>
      <c r="D168" s="185">
        <v>0.4201388888888889</v>
      </c>
      <c r="E168" s="3">
        <v>3</v>
      </c>
      <c r="F168" s="24">
        <v>8.56</v>
      </c>
      <c r="G168" s="7">
        <v>82.7</v>
      </c>
      <c r="H168" s="7">
        <v>13.8</v>
      </c>
      <c r="I168" s="3"/>
      <c r="J168" s="3"/>
      <c r="K168" s="3"/>
    </row>
    <row r="169" spans="3:11" ht="15.75" customHeight="1" x14ac:dyDescent="0.2">
      <c r="C169" s="192">
        <v>43018</v>
      </c>
      <c r="D169" s="185">
        <v>0.4201388888888889</v>
      </c>
      <c r="E169" s="3">
        <v>4</v>
      </c>
      <c r="F169" s="24">
        <v>8.5399999999999991</v>
      </c>
      <c r="G169" s="7">
        <v>82.5</v>
      </c>
      <c r="H169" s="7">
        <v>13.8</v>
      </c>
      <c r="I169" s="3"/>
      <c r="J169" s="3"/>
      <c r="K169" s="3"/>
    </row>
    <row r="170" spans="3:11" ht="15.75" customHeight="1" x14ac:dyDescent="0.2">
      <c r="C170" s="192">
        <v>43018</v>
      </c>
      <c r="D170" s="185">
        <v>0.4201388888888889</v>
      </c>
      <c r="E170" s="3">
        <v>5</v>
      </c>
      <c r="F170" s="24">
        <v>8.52</v>
      </c>
      <c r="G170" s="7">
        <v>82.3</v>
      </c>
      <c r="H170" s="7">
        <v>13.8</v>
      </c>
      <c r="I170" s="3"/>
      <c r="J170" s="3"/>
      <c r="K170" s="3"/>
    </row>
    <row r="171" spans="3:11" ht="15.75" customHeight="1" x14ac:dyDescent="0.2">
      <c r="C171" s="192">
        <v>43018</v>
      </c>
      <c r="D171" s="185">
        <v>0.4201388888888889</v>
      </c>
      <c r="E171" s="3">
        <v>6</v>
      </c>
      <c r="F171" s="24">
        <v>8.49</v>
      </c>
      <c r="G171" s="7">
        <v>82.2</v>
      </c>
      <c r="H171" s="7">
        <v>13.9</v>
      </c>
      <c r="I171" s="3"/>
      <c r="J171" s="3"/>
      <c r="K171" s="3"/>
    </row>
    <row r="172" spans="3:11" ht="15.75" customHeight="1" x14ac:dyDescent="0.2">
      <c r="C172" s="192">
        <v>43018</v>
      </c>
      <c r="D172" s="185">
        <v>0.4201388888888889</v>
      </c>
      <c r="E172" s="3">
        <v>7</v>
      </c>
      <c r="F172" s="24">
        <v>8.4700000000000006</v>
      </c>
      <c r="G172" s="7">
        <v>82</v>
      </c>
      <c r="H172" s="7">
        <v>13.9</v>
      </c>
      <c r="I172" s="3"/>
      <c r="J172" s="3"/>
      <c r="K172" s="3"/>
    </row>
    <row r="173" spans="3:11" ht="15.75" customHeight="1" x14ac:dyDescent="0.2">
      <c r="C173" s="192">
        <v>43018</v>
      </c>
      <c r="D173" s="185">
        <v>0.4201388888888889</v>
      </c>
      <c r="E173" s="3">
        <v>8</v>
      </c>
      <c r="F173" s="24">
        <v>8.4600000000000009</v>
      </c>
      <c r="G173" s="7">
        <v>81.8</v>
      </c>
      <c r="H173" s="7">
        <v>13.9</v>
      </c>
      <c r="I173" s="3"/>
      <c r="J173" s="3"/>
      <c r="K173" s="3"/>
    </row>
    <row r="174" spans="3:11" ht="15.75" customHeight="1" x14ac:dyDescent="0.2">
      <c r="C174" s="192">
        <v>43018</v>
      </c>
      <c r="D174" s="185">
        <v>0.4201388888888889</v>
      </c>
      <c r="E174" s="3">
        <v>9</v>
      </c>
      <c r="F174" s="24">
        <v>8.44</v>
      </c>
      <c r="G174" s="7">
        <v>81.7</v>
      </c>
      <c r="H174" s="7">
        <v>13.9</v>
      </c>
      <c r="I174" s="3"/>
      <c r="J174" s="3"/>
      <c r="K174" s="3"/>
    </row>
    <row r="175" spans="3:11" ht="15.75" customHeight="1" x14ac:dyDescent="0.2">
      <c r="E175" s="3"/>
      <c r="F175" s="24"/>
      <c r="G175" s="7"/>
      <c r="H175" s="7"/>
      <c r="I175" s="3"/>
      <c r="J175" s="3"/>
      <c r="K175" s="3"/>
    </row>
    <row r="176" spans="3:11" ht="15.75" customHeight="1" x14ac:dyDescent="0.2">
      <c r="C176" s="192">
        <v>42989</v>
      </c>
      <c r="D176" s="185">
        <v>0.41388888888888892</v>
      </c>
      <c r="E176" s="3"/>
      <c r="F176" s="24"/>
      <c r="G176" s="7"/>
      <c r="H176" s="7"/>
      <c r="I176" s="3"/>
      <c r="J176" s="3">
        <v>11.5</v>
      </c>
      <c r="K176" s="3">
        <v>11.5</v>
      </c>
    </row>
    <row r="177" spans="3:11" ht="15.75" customHeight="1" x14ac:dyDescent="0.2">
      <c r="C177" s="192">
        <v>42989</v>
      </c>
      <c r="D177" s="185">
        <v>0.41666666666666669</v>
      </c>
      <c r="E177" s="3">
        <v>0.1</v>
      </c>
      <c r="F177" s="24">
        <v>7.68</v>
      </c>
      <c r="G177" s="7">
        <v>85</v>
      </c>
      <c r="H177" s="7">
        <v>20.3</v>
      </c>
      <c r="I177" s="3"/>
      <c r="J177" s="3"/>
      <c r="K177" s="3"/>
    </row>
    <row r="178" spans="3:11" ht="15.75" customHeight="1" x14ac:dyDescent="0.2">
      <c r="C178" s="192">
        <v>42989</v>
      </c>
      <c r="D178" s="185">
        <v>0.41666666666666669</v>
      </c>
      <c r="E178" s="3">
        <v>1</v>
      </c>
      <c r="F178" s="24">
        <v>7.69</v>
      </c>
      <c r="G178" s="7">
        <v>84.9</v>
      </c>
      <c r="H178" s="7">
        <v>20.2</v>
      </c>
      <c r="I178" s="3"/>
      <c r="J178" s="3"/>
      <c r="K178" s="3"/>
    </row>
    <row r="179" spans="3:11" ht="15.75" customHeight="1" x14ac:dyDescent="0.2">
      <c r="C179" s="192">
        <v>42989</v>
      </c>
      <c r="D179" s="185">
        <v>0.41666666666666669</v>
      </c>
      <c r="E179" s="3">
        <v>2</v>
      </c>
      <c r="F179" s="24">
        <v>7.68</v>
      </c>
      <c r="G179" s="7">
        <v>84.8</v>
      </c>
      <c r="H179" s="7">
        <v>20.2</v>
      </c>
      <c r="I179" s="3"/>
      <c r="J179" s="3"/>
      <c r="K179" s="3"/>
    </row>
    <row r="180" spans="3:11" ht="15.75" customHeight="1" x14ac:dyDescent="0.2">
      <c r="C180" s="192">
        <v>42989</v>
      </c>
      <c r="D180" s="185">
        <v>0.41666666666666669</v>
      </c>
      <c r="E180" s="3">
        <v>3</v>
      </c>
      <c r="F180" s="24">
        <v>7.67</v>
      </c>
      <c r="G180" s="7">
        <v>84.7</v>
      </c>
      <c r="H180" s="7">
        <v>20.2</v>
      </c>
      <c r="I180" s="3"/>
      <c r="J180" s="3"/>
      <c r="K180" s="3"/>
    </row>
    <row r="181" spans="3:11" ht="15.75" customHeight="1" x14ac:dyDescent="0.2">
      <c r="C181" s="192">
        <v>42989</v>
      </c>
      <c r="D181" s="185">
        <v>0.41666666666666669</v>
      </c>
      <c r="E181" s="3">
        <v>4</v>
      </c>
      <c r="F181" s="24">
        <v>7.65</v>
      </c>
      <c r="G181" s="7">
        <v>84.5</v>
      </c>
      <c r="H181" s="7">
        <v>20.2</v>
      </c>
      <c r="I181" s="3"/>
      <c r="J181" s="3"/>
      <c r="K181" s="3"/>
    </row>
    <row r="182" spans="3:11" ht="15.75" customHeight="1" x14ac:dyDescent="0.2">
      <c r="C182" s="192">
        <v>42989</v>
      </c>
      <c r="D182" s="185">
        <v>0.41666666666666669</v>
      </c>
      <c r="E182" s="3">
        <v>5</v>
      </c>
      <c r="F182" s="24">
        <v>7.64</v>
      </c>
      <c r="G182" s="7">
        <v>84.4</v>
      </c>
      <c r="H182" s="7">
        <v>20.2</v>
      </c>
      <c r="I182" s="3"/>
      <c r="J182" s="3"/>
      <c r="K182" s="3"/>
    </row>
    <row r="183" spans="3:11" ht="15.75" customHeight="1" x14ac:dyDescent="0.2">
      <c r="C183" s="192">
        <v>42989</v>
      </c>
      <c r="D183" s="185">
        <v>0.41666666666666669</v>
      </c>
      <c r="E183" s="3">
        <v>6</v>
      </c>
      <c r="F183" s="24">
        <v>7.63</v>
      </c>
      <c r="G183" s="7">
        <v>84.2</v>
      </c>
      <c r="H183" s="7">
        <v>20.2</v>
      </c>
      <c r="I183" s="3"/>
      <c r="J183" s="3"/>
      <c r="K183" s="3"/>
    </row>
    <row r="184" spans="3:11" ht="15.75" customHeight="1" x14ac:dyDescent="0.2">
      <c r="C184" s="192">
        <v>42989</v>
      </c>
      <c r="D184" s="185">
        <v>0.41666666666666669</v>
      </c>
      <c r="E184" s="3">
        <v>7</v>
      </c>
      <c r="F184" s="24">
        <v>7.61</v>
      </c>
      <c r="G184" s="7">
        <v>84.1</v>
      </c>
      <c r="H184" s="7">
        <v>20.2</v>
      </c>
      <c r="I184" s="3"/>
      <c r="J184" s="3"/>
      <c r="K184" s="3"/>
    </row>
    <row r="185" spans="3:11" ht="15.75" customHeight="1" x14ac:dyDescent="0.2">
      <c r="C185" s="192">
        <v>42989</v>
      </c>
      <c r="D185" s="185">
        <v>0.41666666666666669</v>
      </c>
      <c r="E185" s="3">
        <v>8</v>
      </c>
      <c r="F185" s="24">
        <v>7.6</v>
      </c>
      <c r="G185" s="7">
        <v>83.9</v>
      </c>
      <c r="H185" s="7">
        <v>20.2</v>
      </c>
      <c r="I185" s="3"/>
      <c r="J185" s="3"/>
      <c r="K185" s="3"/>
    </row>
    <row r="186" spans="3:11" ht="15.75" customHeight="1" x14ac:dyDescent="0.2">
      <c r="C186" s="192">
        <v>42989</v>
      </c>
      <c r="D186" s="185">
        <v>0.41666666666666669</v>
      </c>
      <c r="E186" s="3">
        <v>9</v>
      </c>
      <c r="F186" s="24">
        <v>7.6</v>
      </c>
      <c r="G186" s="7">
        <v>83.8</v>
      </c>
      <c r="H186" s="7">
        <v>20.100000000000001</v>
      </c>
      <c r="I186" s="3"/>
      <c r="J186" s="3"/>
      <c r="K186" s="3"/>
    </row>
    <row r="187" spans="3:11" ht="15.75" customHeight="1" x14ac:dyDescent="0.2">
      <c r="C187" s="192">
        <v>42989</v>
      </c>
      <c r="D187" s="185">
        <v>0.41666666666666669</v>
      </c>
      <c r="E187" s="3">
        <v>10</v>
      </c>
      <c r="F187" s="24">
        <v>7.61</v>
      </c>
      <c r="G187" s="7">
        <v>83.9</v>
      </c>
      <c r="H187" s="7">
        <v>20.100000000000001</v>
      </c>
      <c r="I187" s="3"/>
      <c r="J187" s="3"/>
      <c r="K187" s="3"/>
    </row>
    <row r="188" spans="3:11" ht="15.75" customHeight="1" x14ac:dyDescent="0.2">
      <c r="E188" s="3"/>
      <c r="F188" s="24"/>
      <c r="G188" s="7"/>
      <c r="H188" s="7"/>
      <c r="I188" s="3"/>
      <c r="J188" s="3"/>
      <c r="K188" s="3"/>
    </row>
    <row r="189" spans="3:11" ht="15.75" customHeight="1" x14ac:dyDescent="0.2">
      <c r="C189" s="192">
        <v>42954</v>
      </c>
      <c r="D189" s="185">
        <v>0.41875000000000001</v>
      </c>
      <c r="E189" s="3"/>
      <c r="F189" s="24"/>
      <c r="G189" s="7"/>
      <c r="H189" s="7"/>
      <c r="I189" s="3"/>
      <c r="J189" s="3">
        <v>11</v>
      </c>
      <c r="K189" s="3">
        <v>11</v>
      </c>
    </row>
    <row r="190" spans="3:11" ht="15.75" customHeight="1" x14ac:dyDescent="0.2">
      <c r="C190" s="192">
        <v>42954</v>
      </c>
      <c r="D190" s="185">
        <v>0.42569444444444443</v>
      </c>
      <c r="E190" s="3">
        <v>0.1</v>
      </c>
      <c r="F190" s="24">
        <v>7.4</v>
      </c>
      <c r="G190" s="190">
        <v>87.4</v>
      </c>
      <c r="H190" s="7">
        <v>23.7</v>
      </c>
      <c r="I190" s="3"/>
      <c r="J190" s="3"/>
      <c r="K190" s="3"/>
    </row>
    <row r="191" spans="3:11" ht="15.75" customHeight="1" x14ac:dyDescent="0.2">
      <c r="C191" s="192">
        <v>42954</v>
      </c>
      <c r="D191" s="185">
        <v>0.42569444444444443</v>
      </c>
      <c r="E191" s="3">
        <v>1</v>
      </c>
      <c r="F191" s="24">
        <v>7.4</v>
      </c>
      <c r="G191" s="7">
        <v>87.3</v>
      </c>
      <c r="H191" s="7">
        <v>23.6</v>
      </c>
      <c r="I191" s="3"/>
      <c r="J191" s="3"/>
      <c r="K191" s="3"/>
    </row>
    <row r="192" spans="3:11" ht="15.75" customHeight="1" x14ac:dyDescent="0.2">
      <c r="C192" s="192">
        <v>42954</v>
      </c>
      <c r="D192" s="185">
        <v>0.42569444444444443</v>
      </c>
      <c r="E192" s="3">
        <v>2</v>
      </c>
      <c r="F192" s="24">
        <v>7.4</v>
      </c>
      <c r="G192" s="7">
        <v>87.2</v>
      </c>
      <c r="H192" s="7">
        <v>23.6</v>
      </c>
      <c r="I192" s="3"/>
      <c r="J192" s="3"/>
      <c r="K192" s="3"/>
    </row>
    <row r="193" spans="3:11" ht="15.75" customHeight="1" x14ac:dyDescent="0.2">
      <c r="C193" s="192">
        <v>42954</v>
      </c>
      <c r="D193" s="185">
        <v>0.42569444444444443</v>
      </c>
      <c r="E193" s="3">
        <v>3</v>
      </c>
      <c r="F193" s="24">
        <v>7.4</v>
      </c>
      <c r="G193" s="7">
        <v>87.1</v>
      </c>
      <c r="H193" s="7">
        <v>23.5</v>
      </c>
      <c r="I193" s="3"/>
      <c r="J193" s="3"/>
      <c r="K193" s="3"/>
    </row>
    <row r="194" spans="3:11" ht="15.75" customHeight="1" x14ac:dyDescent="0.2">
      <c r="C194" s="192">
        <v>42954</v>
      </c>
      <c r="D194" s="185">
        <v>0.42569444444444443</v>
      </c>
      <c r="E194" s="3">
        <v>4</v>
      </c>
      <c r="F194" s="24">
        <v>7.39</v>
      </c>
      <c r="G194" s="7">
        <v>86.9</v>
      </c>
      <c r="H194" s="7">
        <v>23.5</v>
      </c>
      <c r="I194" s="3"/>
      <c r="J194" s="3"/>
      <c r="K194" s="3"/>
    </row>
    <row r="195" spans="3:11" ht="15.75" customHeight="1" x14ac:dyDescent="0.2">
      <c r="C195" s="192">
        <v>42954</v>
      </c>
      <c r="D195" s="185">
        <v>0.42569444444444443</v>
      </c>
      <c r="E195" s="3">
        <v>5</v>
      </c>
      <c r="F195" s="24">
        <v>7.37</v>
      </c>
      <c r="G195" s="7">
        <v>86.7</v>
      </c>
      <c r="H195" s="7">
        <v>23.5</v>
      </c>
      <c r="I195" s="3"/>
      <c r="J195" s="3"/>
      <c r="K195" s="3"/>
    </row>
    <row r="196" spans="3:11" ht="15.75" customHeight="1" x14ac:dyDescent="0.2">
      <c r="C196" s="192">
        <v>42954</v>
      </c>
      <c r="D196" s="185">
        <v>0.42569444444444443</v>
      </c>
      <c r="E196" s="3">
        <v>6</v>
      </c>
      <c r="F196" s="24">
        <v>7.34</v>
      </c>
      <c r="G196" s="7">
        <v>86.2</v>
      </c>
      <c r="H196" s="7">
        <v>23.4</v>
      </c>
      <c r="I196" s="3"/>
      <c r="J196" s="3"/>
      <c r="K196" s="3"/>
    </row>
    <row r="197" spans="3:11" ht="15.75" customHeight="1" x14ac:dyDescent="0.2">
      <c r="C197" s="192">
        <v>42954</v>
      </c>
      <c r="D197" s="185">
        <v>0.42569444444444443</v>
      </c>
      <c r="E197" s="3">
        <v>7</v>
      </c>
      <c r="F197" s="24">
        <v>7.57</v>
      </c>
      <c r="G197" s="7">
        <v>88.3</v>
      </c>
      <c r="H197" s="7">
        <v>23</v>
      </c>
      <c r="I197" s="3"/>
      <c r="J197" s="3"/>
      <c r="K197" s="3"/>
    </row>
    <row r="198" spans="3:11" ht="15.75" customHeight="1" x14ac:dyDescent="0.2">
      <c r="C198" s="192">
        <v>42954</v>
      </c>
      <c r="D198" s="185">
        <v>0.42569444444444443</v>
      </c>
      <c r="E198" s="3">
        <v>8</v>
      </c>
      <c r="F198" s="24">
        <v>7.61</v>
      </c>
      <c r="G198" s="7">
        <v>87.4</v>
      </c>
      <c r="H198" s="7">
        <v>22.2</v>
      </c>
      <c r="I198" s="3"/>
      <c r="J198" s="3"/>
      <c r="K198" s="3"/>
    </row>
    <row r="199" spans="3:11" ht="15.75" customHeight="1" x14ac:dyDescent="0.2">
      <c r="C199" s="192">
        <v>42954</v>
      </c>
      <c r="D199" s="185">
        <v>0.42569444444444443</v>
      </c>
      <c r="E199" s="3">
        <v>9</v>
      </c>
      <c r="F199" s="24">
        <v>8.1300000000000008</v>
      </c>
      <c r="G199" s="7">
        <v>88.8</v>
      </c>
      <c r="H199" s="7">
        <v>19.600000000000001</v>
      </c>
      <c r="I199" s="3"/>
      <c r="J199" s="3"/>
      <c r="K199" s="3"/>
    </row>
    <row r="200" spans="3:11" ht="15.75" customHeight="1" x14ac:dyDescent="0.2">
      <c r="C200" s="192">
        <v>42954</v>
      </c>
      <c r="D200" s="185">
        <v>0.42569444444444443</v>
      </c>
      <c r="E200" s="3">
        <v>10</v>
      </c>
      <c r="F200" s="24">
        <v>8.8000000000000007</v>
      </c>
      <c r="G200" s="7">
        <v>90.5</v>
      </c>
      <c r="H200" s="7">
        <v>16.7</v>
      </c>
      <c r="I200" s="3"/>
      <c r="J200" s="3"/>
      <c r="K200" s="3"/>
    </row>
    <row r="201" spans="3:11" ht="15.75" customHeight="1" x14ac:dyDescent="0.2">
      <c r="E201" s="3"/>
      <c r="F201" s="24"/>
      <c r="G201" s="7"/>
      <c r="H201" s="7"/>
      <c r="I201" s="3"/>
      <c r="J201" s="3"/>
      <c r="K201" s="3"/>
    </row>
    <row r="202" spans="3:11" ht="15.75" customHeight="1" x14ac:dyDescent="0.2">
      <c r="C202" s="192">
        <v>42926</v>
      </c>
      <c r="D202" s="185">
        <v>0.40625</v>
      </c>
      <c r="E202" s="3"/>
      <c r="F202" s="24"/>
      <c r="G202" s="7"/>
      <c r="H202" s="7"/>
      <c r="I202" s="3"/>
      <c r="J202" s="3">
        <v>7</v>
      </c>
      <c r="K202" s="3">
        <v>12</v>
      </c>
    </row>
    <row r="203" spans="3:11" ht="15.75" customHeight="1" x14ac:dyDescent="0.2">
      <c r="C203" s="192">
        <v>42926</v>
      </c>
      <c r="D203" s="185">
        <v>0.41666666666666669</v>
      </c>
      <c r="E203" s="3">
        <v>0.1</v>
      </c>
      <c r="F203" s="24">
        <v>7.57</v>
      </c>
      <c r="G203" s="7">
        <v>87.6</v>
      </c>
      <c r="H203" s="7">
        <v>22.6</v>
      </c>
      <c r="I203" s="3"/>
      <c r="J203" s="3"/>
      <c r="K203" s="3"/>
    </row>
    <row r="204" spans="3:11" ht="15.75" customHeight="1" x14ac:dyDescent="0.2">
      <c r="C204" s="192">
        <v>42926</v>
      </c>
      <c r="D204" s="185">
        <v>0.41666666666666669</v>
      </c>
      <c r="E204" s="3">
        <v>1</v>
      </c>
      <c r="F204" s="24">
        <v>7.59</v>
      </c>
      <c r="G204" s="7">
        <v>87.8</v>
      </c>
      <c r="H204" s="7">
        <v>22.6</v>
      </c>
      <c r="I204" s="3"/>
      <c r="J204" s="3"/>
      <c r="K204" s="3"/>
    </row>
    <row r="205" spans="3:11" ht="15.75" customHeight="1" x14ac:dyDescent="0.2">
      <c r="C205" s="192">
        <v>42926</v>
      </c>
      <c r="D205" s="185">
        <v>0.41666666666666669</v>
      </c>
      <c r="E205" s="3">
        <v>2</v>
      </c>
      <c r="F205" s="24">
        <v>7.6</v>
      </c>
      <c r="G205" s="7">
        <v>87.8</v>
      </c>
      <c r="H205" s="7">
        <v>22.5</v>
      </c>
      <c r="I205" s="3"/>
      <c r="J205" s="3"/>
      <c r="K205" s="3"/>
    </row>
    <row r="206" spans="3:11" ht="15.75" customHeight="1" x14ac:dyDescent="0.2">
      <c r="C206" s="192">
        <v>42926</v>
      </c>
      <c r="D206" s="185">
        <v>0.41666666666666669</v>
      </c>
      <c r="E206" s="3">
        <v>3</v>
      </c>
      <c r="F206" s="24">
        <v>7.72</v>
      </c>
      <c r="G206" s="7">
        <v>89</v>
      </c>
      <c r="H206" s="7">
        <v>22.4</v>
      </c>
      <c r="I206" s="3"/>
      <c r="J206" s="3"/>
      <c r="K206" s="3"/>
    </row>
    <row r="207" spans="3:11" ht="15.75" customHeight="1" x14ac:dyDescent="0.2">
      <c r="C207" s="192">
        <v>42926</v>
      </c>
      <c r="D207" s="185">
        <v>0.41666666666666669</v>
      </c>
      <c r="E207" s="3">
        <v>4</v>
      </c>
      <c r="F207" s="24">
        <v>7.87</v>
      </c>
      <c r="G207" s="7">
        <v>90.3</v>
      </c>
      <c r="H207" s="7">
        <v>22.2</v>
      </c>
      <c r="I207" s="3"/>
      <c r="J207" s="3"/>
      <c r="K207" s="3"/>
    </row>
    <row r="208" spans="3:11" ht="15.75" customHeight="1" x14ac:dyDescent="0.2">
      <c r="C208" s="192">
        <v>42926</v>
      </c>
      <c r="D208" s="185">
        <v>0.41666666666666669</v>
      </c>
      <c r="E208" s="3">
        <v>5</v>
      </c>
      <c r="F208" s="24">
        <v>7.88</v>
      </c>
      <c r="G208" s="7">
        <v>89.6</v>
      </c>
      <c r="H208" s="7">
        <v>22</v>
      </c>
      <c r="I208" s="3"/>
      <c r="J208" s="3"/>
      <c r="K208" s="3"/>
    </row>
    <row r="209" spans="3:11" ht="15.75" customHeight="1" x14ac:dyDescent="0.2">
      <c r="C209" s="192">
        <v>42926</v>
      </c>
      <c r="D209" s="185">
        <v>0.41666666666666669</v>
      </c>
      <c r="E209" s="3">
        <v>6</v>
      </c>
      <c r="F209" s="24">
        <v>8.16</v>
      </c>
      <c r="G209" s="7">
        <v>91.1</v>
      </c>
      <c r="H209" s="7">
        <v>20.7</v>
      </c>
      <c r="I209" s="3"/>
      <c r="J209" s="3"/>
      <c r="K209" s="3"/>
    </row>
    <row r="210" spans="3:11" ht="15.75" customHeight="1" x14ac:dyDescent="0.2">
      <c r="C210" s="192">
        <v>42926</v>
      </c>
      <c r="D210" s="185">
        <v>0.41666666666666669</v>
      </c>
      <c r="E210" s="3">
        <v>7</v>
      </c>
      <c r="F210" s="24">
        <v>8.56</v>
      </c>
      <c r="G210" s="7">
        <v>92.6</v>
      </c>
      <c r="H210" s="7">
        <v>18.8</v>
      </c>
      <c r="I210" s="3"/>
      <c r="J210" s="3"/>
      <c r="K210" s="3"/>
    </row>
    <row r="211" spans="3:11" ht="15.75" customHeight="1" x14ac:dyDescent="0.2">
      <c r="C211" s="192">
        <v>42926</v>
      </c>
      <c r="D211" s="185">
        <v>0.41666666666666669</v>
      </c>
      <c r="E211" s="3">
        <v>8</v>
      </c>
      <c r="F211" s="24">
        <v>9.0299999999999994</v>
      </c>
      <c r="G211" s="7">
        <v>89.7</v>
      </c>
      <c r="H211" s="7">
        <v>14.7</v>
      </c>
      <c r="I211" s="3"/>
      <c r="J211" s="3"/>
      <c r="K211" s="3"/>
    </row>
    <row r="212" spans="3:11" ht="15.75" customHeight="1" x14ac:dyDescent="0.2">
      <c r="C212" s="192">
        <v>42926</v>
      </c>
      <c r="D212" s="185">
        <v>0.41666666666666669</v>
      </c>
      <c r="E212" s="3">
        <v>9</v>
      </c>
      <c r="F212" s="24">
        <v>9.42</v>
      </c>
      <c r="G212" s="7">
        <v>89.6</v>
      </c>
      <c r="H212" s="7">
        <v>13.1</v>
      </c>
      <c r="I212" s="3"/>
      <c r="J212" s="3"/>
      <c r="K212" s="3"/>
    </row>
    <row r="213" spans="3:11" ht="15.75" customHeight="1" x14ac:dyDescent="0.2">
      <c r="C213" s="192">
        <v>42926</v>
      </c>
      <c r="D213" s="185">
        <v>0.41666666666666669</v>
      </c>
      <c r="E213" s="3">
        <v>10</v>
      </c>
      <c r="F213" s="24">
        <v>9.5500000000000007</v>
      </c>
      <c r="G213" s="7">
        <v>89.1</v>
      </c>
      <c r="H213" s="7">
        <v>12.2</v>
      </c>
      <c r="I213" s="3"/>
      <c r="J213" s="3"/>
      <c r="K213" s="3"/>
    </row>
    <row r="214" spans="3:11" ht="15.75" customHeight="1" x14ac:dyDescent="0.2">
      <c r="C214" s="192">
        <v>42926</v>
      </c>
      <c r="D214" s="185">
        <v>0.41666666666666669</v>
      </c>
      <c r="E214" s="3">
        <v>11</v>
      </c>
      <c r="F214" s="24">
        <v>9.57</v>
      </c>
      <c r="G214" s="7">
        <v>87.9</v>
      </c>
      <c r="H214" s="7">
        <v>11.6</v>
      </c>
      <c r="I214" s="3"/>
      <c r="J214" s="3"/>
      <c r="K214" s="3"/>
    </row>
    <row r="215" spans="3:11" ht="15.75" customHeight="1" x14ac:dyDescent="0.2">
      <c r="C215" s="192">
        <v>42926</v>
      </c>
      <c r="D215" s="185">
        <v>0.41666666666666669</v>
      </c>
      <c r="E215" s="3">
        <v>12</v>
      </c>
      <c r="F215" s="24">
        <v>9.69</v>
      </c>
      <c r="G215" s="7">
        <v>85.4</v>
      </c>
      <c r="H215" s="7">
        <v>9.8000000000000007</v>
      </c>
      <c r="I215" s="3"/>
      <c r="J215" s="3"/>
      <c r="K215" s="3"/>
    </row>
    <row r="216" spans="3:11" ht="15.75" customHeight="1" x14ac:dyDescent="0.2">
      <c r="C216" s="192">
        <v>42926</v>
      </c>
      <c r="D216" s="185">
        <v>0.41666666666666669</v>
      </c>
      <c r="E216" s="3">
        <v>13</v>
      </c>
      <c r="F216" s="24">
        <v>9.74</v>
      </c>
      <c r="G216" s="7">
        <v>84.2</v>
      </c>
      <c r="H216" s="7">
        <v>9</v>
      </c>
      <c r="I216" s="3"/>
      <c r="J216" s="3"/>
      <c r="K216" s="3"/>
    </row>
    <row r="217" spans="3:11" ht="15.75" customHeight="1" x14ac:dyDescent="0.2">
      <c r="C217" s="192">
        <v>42926</v>
      </c>
      <c r="D217" s="185">
        <v>0.41666666666666669</v>
      </c>
      <c r="E217" s="3">
        <v>14</v>
      </c>
      <c r="F217" s="24">
        <v>9.7200000000000006</v>
      </c>
      <c r="G217" s="7">
        <v>83.5</v>
      </c>
      <c r="H217" s="7">
        <v>8.6999999999999993</v>
      </c>
      <c r="I217" s="3"/>
      <c r="J217" s="3"/>
      <c r="K217" s="3"/>
    </row>
    <row r="218" spans="3:11" ht="15.75" customHeight="1" x14ac:dyDescent="0.2">
      <c r="E218" s="3"/>
      <c r="F218" s="24"/>
      <c r="G218" s="7"/>
      <c r="H218" s="7"/>
      <c r="I218" s="3"/>
      <c r="J218" s="3"/>
      <c r="K218" s="3"/>
    </row>
    <row r="219" spans="3:11" ht="15.75" customHeight="1" x14ac:dyDescent="0.2">
      <c r="C219" s="187">
        <v>42898</v>
      </c>
      <c r="D219" s="185">
        <v>0.3972222222222222</v>
      </c>
      <c r="E219" s="3"/>
      <c r="F219" s="24"/>
      <c r="G219" s="7"/>
      <c r="H219" s="7"/>
      <c r="I219" s="3"/>
      <c r="J219" s="3">
        <v>7</v>
      </c>
      <c r="K219" s="3">
        <v>9</v>
      </c>
    </row>
    <row r="220" spans="3:11" ht="15.75" customHeight="1" x14ac:dyDescent="0.2">
      <c r="C220" s="187">
        <v>42898</v>
      </c>
      <c r="D220" s="185">
        <v>0.40833333333333338</v>
      </c>
      <c r="E220" s="3">
        <v>0.1</v>
      </c>
      <c r="F220" s="24">
        <v>8.6999999999999993</v>
      </c>
      <c r="G220" s="7">
        <v>87.8</v>
      </c>
      <c r="H220" s="7">
        <v>15.8</v>
      </c>
      <c r="I220" s="3"/>
      <c r="J220" s="3"/>
      <c r="K220" s="3"/>
    </row>
    <row r="221" spans="3:11" ht="15.75" customHeight="1" x14ac:dyDescent="0.2">
      <c r="C221" s="187">
        <v>42898</v>
      </c>
      <c r="D221" s="185">
        <v>0.40833333333333338</v>
      </c>
      <c r="E221" s="3">
        <v>1</v>
      </c>
      <c r="F221" s="24">
        <v>8.6999999999999993</v>
      </c>
      <c r="G221" s="7">
        <v>87.6</v>
      </c>
      <c r="H221" s="7">
        <v>15.7</v>
      </c>
      <c r="I221" s="3"/>
      <c r="J221" s="3"/>
      <c r="K221" s="3"/>
    </row>
    <row r="222" spans="3:11" ht="15.75" customHeight="1" x14ac:dyDescent="0.2">
      <c r="C222" s="187">
        <v>42898</v>
      </c>
      <c r="D222" s="185">
        <v>0.40833333333333338</v>
      </c>
      <c r="E222" s="3">
        <v>2</v>
      </c>
      <c r="F222" s="24">
        <v>8.8699999999999992</v>
      </c>
      <c r="G222" s="7">
        <v>87.6</v>
      </c>
      <c r="H222" s="7">
        <v>14.8</v>
      </c>
      <c r="I222" s="3"/>
      <c r="J222" s="3"/>
      <c r="K222" s="3"/>
    </row>
    <row r="223" spans="3:11" ht="15.75" customHeight="1" x14ac:dyDescent="0.2">
      <c r="C223" s="187">
        <v>42898</v>
      </c>
      <c r="D223" s="185">
        <v>0.40833333333333338</v>
      </c>
      <c r="E223" s="3">
        <v>3</v>
      </c>
      <c r="F223" s="24">
        <v>9.2899999999999991</v>
      </c>
      <c r="G223" s="7">
        <v>88.4</v>
      </c>
      <c r="H223" s="7">
        <v>13.1</v>
      </c>
      <c r="I223" s="3"/>
      <c r="J223" s="3"/>
      <c r="K223" s="3"/>
    </row>
    <row r="224" spans="3:11" ht="15.75" customHeight="1" x14ac:dyDescent="0.2">
      <c r="C224" s="187">
        <v>42898</v>
      </c>
      <c r="D224" s="185">
        <v>0.40833333333333338</v>
      </c>
      <c r="E224" s="3">
        <v>4</v>
      </c>
      <c r="F224" s="24">
        <v>9.41</v>
      </c>
      <c r="G224" s="7">
        <v>87.8</v>
      </c>
      <c r="H224" s="7">
        <v>12.2</v>
      </c>
      <c r="I224" s="3"/>
      <c r="J224" s="3"/>
      <c r="K224" s="3"/>
    </row>
    <row r="225" spans="3:15" ht="15.75" customHeight="1" x14ac:dyDescent="0.2">
      <c r="C225" s="187">
        <v>42898</v>
      </c>
      <c r="D225" s="185">
        <v>0.40833333333333338</v>
      </c>
      <c r="E225" s="3">
        <v>5</v>
      </c>
      <c r="F225" s="24">
        <v>9.52</v>
      </c>
      <c r="G225" s="7">
        <v>87.5</v>
      </c>
      <c r="H225" s="7">
        <v>11.6</v>
      </c>
      <c r="I225" s="3"/>
      <c r="J225" s="3"/>
      <c r="K225" s="3"/>
    </row>
    <row r="226" spans="3:15" ht="15.75" customHeight="1" x14ac:dyDescent="0.2">
      <c r="C226" s="187">
        <v>42898</v>
      </c>
      <c r="D226" s="185">
        <v>0.40833333333333338</v>
      </c>
      <c r="E226" s="3">
        <v>6</v>
      </c>
      <c r="F226" s="24">
        <v>9.6199999999999992</v>
      </c>
      <c r="G226" s="7">
        <v>86.8</v>
      </c>
      <c r="H226" s="7">
        <v>10.8</v>
      </c>
      <c r="I226" s="3"/>
      <c r="J226" s="3"/>
      <c r="K226" s="3"/>
    </row>
    <row r="227" spans="3:15" ht="15.75" customHeight="1" x14ac:dyDescent="0.2">
      <c r="C227" s="187">
        <v>42898</v>
      </c>
      <c r="D227" s="185">
        <v>0.40833333333333338</v>
      </c>
      <c r="E227" s="3">
        <v>7</v>
      </c>
      <c r="F227" s="24">
        <v>9.64</v>
      </c>
      <c r="G227" s="7">
        <v>86.4</v>
      </c>
      <c r="H227" s="7">
        <v>10.5</v>
      </c>
      <c r="I227" s="3"/>
      <c r="J227" s="3"/>
      <c r="K227" s="3"/>
    </row>
    <row r="228" spans="3:15" ht="15.75" customHeight="1" x14ac:dyDescent="0.2">
      <c r="C228" s="187">
        <v>42898</v>
      </c>
      <c r="D228" s="185">
        <v>0.40833333333333338</v>
      </c>
      <c r="E228" s="3">
        <v>8</v>
      </c>
      <c r="F228" s="24">
        <v>9.6</v>
      </c>
      <c r="G228" s="7">
        <v>85.7</v>
      </c>
      <c r="H228" s="7">
        <v>10.3</v>
      </c>
      <c r="I228" s="3"/>
      <c r="J228" s="3"/>
      <c r="K228" s="3"/>
      <c r="O228" s="1"/>
    </row>
    <row r="229" spans="3:15" ht="15.75" customHeight="1" x14ac:dyDescent="0.2">
      <c r="C229" s="187">
        <v>42898</v>
      </c>
      <c r="D229" s="185">
        <v>0.40833333333333338</v>
      </c>
      <c r="E229" s="3">
        <v>9</v>
      </c>
      <c r="F229" s="24">
        <v>9.61</v>
      </c>
      <c r="G229" s="7">
        <v>85.3</v>
      </c>
      <c r="H229" s="7">
        <v>10.1</v>
      </c>
      <c r="I229" s="3"/>
      <c r="J229" s="3"/>
      <c r="K229" s="3"/>
      <c r="O229" s="1"/>
    </row>
    <row r="230" spans="3:15" ht="15.75" customHeight="1" x14ac:dyDescent="0.2">
      <c r="C230" s="187"/>
      <c r="E230" s="3"/>
      <c r="F230" s="24"/>
      <c r="G230" s="7"/>
      <c r="H230" s="7"/>
      <c r="I230" s="3"/>
      <c r="J230" s="3"/>
      <c r="K230" s="3"/>
      <c r="O230" s="1"/>
    </row>
    <row r="231" spans="3:15" ht="15.75" customHeight="1" x14ac:dyDescent="0.2">
      <c r="C231" s="193">
        <v>42870</v>
      </c>
      <c r="D231" s="185">
        <v>0.40972222222222227</v>
      </c>
      <c r="E231" s="3"/>
      <c r="F231" s="24"/>
      <c r="G231" s="7"/>
      <c r="H231" s="7"/>
      <c r="I231" s="3"/>
      <c r="J231" s="3">
        <v>9</v>
      </c>
      <c r="K231" s="3">
        <v>10</v>
      </c>
    </row>
    <row r="232" spans="3:15" ht="15.75" customHeight="1" x14ac:dyDescent="0.2">
      <c r="C232" s="193">
        <v>42870</v>
      </c>
      <c r="D232" s="185">
        <v>0.40972222222222227</v>
      </c>
      <c r="E232" s="3">
        <v>0.1</v>
      </c>
      <c r="F232" s="24">
        <v>9.56</v>
      </c>
      <c r="G232" s="7">
        <v>83.2</v>
      </c>
      <c r="H232" s="7">
        <v>9.1999999999999993</v>
      </c>
      <c r="I232" s="3"/>
      <c r="J232" s="3"/>
      <c r="K232" s="3"/>
    </row>
    <row r="233" spans="3:15" ht="15.75" customHeight="1" x14ac:dyDescent="0.2">
      <c r="C233" s="193">
        <v>42870</v>
      </c>
      <c r="D233" s="185">
        <v>0.40972222222222227</v>
      </c>
      <c r="E233" s="3">
        <v>1</v>
      </c>
      <c r="F233" s="24">
        <v>9.56</v>
      </c>
      <c r="G233" s="7">
        <v>83.3</v>
      </c>
      <c r="H233" s="7">
        <v>9.3000000000000007</v>
      </c>
      <c r="I233" s="3"/>
      <c r="J233" s="3"/>
      <c r="K233" s="3"/>
    </row>
    <row r="234" spans="3:15" ht="15.75" customHeight="1" x14ac:dyDescent="0.2">
      <c r="C234" s="193">
        <v>42870</v>
      </c>
      <c r="D234" s="185">
        <v>0.40972222222222227</v>
      </c>
      <c r="E234" s="3">
        <v>2</v>
      </c>
      <c r="F234" s="24">
        <v>9.5500000000000007</v>
      </c>
      <c r="G234" s="7">
        <v>83.2</v>
      </c>
      <c r="H234" s="7">
        <v>9.3000000000000007</v>
      </c>
      <c r="I234" s="3"/>
      <c r="J234" s="3"/>
      <c r="K234" s="3"/>
    </row>
    <row r="235" spans="3:15" ht="15.75" customHeight="1" x14ac:dyDescent="0.2">
      <c r="C235" s="193">
        <v>42870</v>
      </c>
      <c r="D235" s="185">
        <v>0.40972222222222227</v>
      </c>
      <c r="E235" s="3">
        <v>3</v>
      </c>
      <c r="F235" s="24">
        <v>9.5299999999999994</v>
      </c>
      <c r="G235" s="7">
        <v>82.8</v>
      </c>
      <c r="H235" s="7">
        <v>9.1999999999999993</v>
      </c>
      <c r="I235" s="3"/>
      <c r="J235" s="3"/>
      <c r="K235" s="3"/>
    </row>
    <row r="236" spans="3:15" ht="15.75" customHeight="1" x14ac:dyDescent="0.2">
      <c r="C236" s="193">
        <v>42870</v>
      </c>
      <c r="D236" s="185">
        <v>0.40972222222222227</v>
      </c>
      <c r="E236" s="3">
        <v>4</v>
      </c>
      <c r="F236" s="24">
        <v>9.52</v>
      </c>
      <c r="G236" s="7">
        <v>82.5</v>
      </c>
      <c r="H236" s="7">
        <v>9.1</v>
      </c>
      <c r="I236" s="3"/>
      <c r="J236" s="3"/>
      <c r="K236" s="3"/>
    </row>
    <row r="237" spans="3:15" ht="15.75" customHeight="1" x14ac:dyDescent="0.2">
      <c r="C237" s="193">
        <v>42870</v>
      </c>
      <c r="D237" s="185">
        <v>0.40972222222222227</v>
      </c>
      <c r="E237" s="3">
        <v>5</v>
      </c>
      <c r="F237" s="24">
        <v>9.48</v>
      </c>
      <c r="G237" s="7">
        <v>82.2</v>
      </c>
      <c r="H237" s="7">
        <v>9.1</v>
      </c>
      <c r="I237" s="3"/>
      <c r="J237" s="3"/>
      <c r="K237" s="3"/>
    </row>
    <row r="238" spans="3:15" ht="15.75" customHeight="1" x14ac:dyDescent="0.2">
      <c r="C238" s="193">
        <v>42870</v>
      </c>
      <c r="D238" s="185">
        <v>0.40972222222222227</v>
      </c>
      <c r="E238" s="3">
        <v>6</v>
      </c>
      <c r="F238" s="24">
        <v>9.43</v>
      </c>
      <c r="G238" s="7">
        <v>81.2</v>
      </c>
      <c r="H238" s="7">
        <v>8.9</v>
      </c>
      <c r="I238" s="3"/>
      <c r="J238" s="3"/>
      <c r="K238" s="3"/>
    </row>
    <row r="239" spans="3:15" ht="15.75" customHeight="1" x14ac:dyDescent="0.2">
      <c r="C239" s="193">
        <v>42870</v>
      </c>
      <c r="D239" s="185">
        <v>0.40972222222222227</v>
      </c>
      <c r="E239" s="3">
        <v>7</v>
      </c>
      <c r="F239" s="24">
        <v>9.4700000000000006</v>
      </c>
      <c r="G239" s="7">
        <v>80.599999999999994</v>
      </c>
      <c r="H239" s="7">
        <v>8.3000000000000007</v>
      </c>
      <c r="I239" s="3"/>
      <c r="J239" s="3"/>
      <c r="K239" s="3"/>
    </row>
    <row r="240" spans="3:15" ht="15.75" customHeight="1" x14ac:dyDescent="0.2">
      <c r="C240" s="193">
        <v>42870</v>
      </c>
      <c r="D240" s="185">
        <v>0.40972222222222227</v>
      </c>
      <c r="E240" s="3">
        <v>8</v>
      </c>
      <c r="F240" s="24">
        <v>9.52</v>
      </c>
      <c r="G240" s="7">
        <v>79.2</v>
      </c>
      <c r="H240" s="7">
        <v>7.4</v>
      </c>
      <c r="I240" s="3"/>
      <c r="J240" s="3"/>
      <c r="K240" s="3"/>
    </row>
    <row r="241" spans="3:11" ht="15.75" customHeight="1" x14ac:dyDescent="0.2">
      <c r="C241" s="193">
        <v>42870</v>
      </c>
      <c r="D241" s="185">
        <v>0.40972222222222227</v>
      </c>
      <c r="E241" s="3">
        <v>9</v>
      </c>
      <c r="F241" s="24">
        <v>9.57</v>
      </c>
      <c r="G241" s="7">
        <v>79.099999999999994</v>
      </c>
      <c r="H241" s="7">
        <v>7.1</v>
      </c>
      <c r="I241" s="3"/>
      <c r="J241" s="3"/>
      <c r="K241" s="3"/>
    </row>
    <row r="242" spans="3:11" ht="15.75" customHeight="1" x14ac:dyDescent="0.2">
      <c r="C242" s="187"/>
      <c r="E242" s="3"/>
      <c r="F242" s="24"/>
      <c r="G242" s="7"/>
      <c r="H242" s="7"/>
      <c r="I242" s="3"/>
      <c r="J242" s="3"/>
      <c r="K242" s="3"/>
    </row>
    <row r="243" spans="3:11" ht="15.75" customHeight="1" x14ac:dyDescent="0.2">
      <c r="C243" s="187">
        <v>42604</v>
      </c>
      <c r="D243" s="185">
        <v>0.48958333333333331</v>
      </c>
      <c r="E243" s="3"/>
      <c r="F243" s="24"/>
      <c r="G243" s="7"/>
      <c r="H243" s="7"/>
      <c r="I243" s="3"/>
      <c r="J243" s="3">
        <v>10</v>
      </c>
      <c r="K243" s="3">
        <v>15</v>
      </c>
    </row>
    <row r="244" spans="3:11" ht="15.75" customHeight="1" x14ac:dyDescent="0.2">
      <c r="C244" s="187">
        <v>42604</v>
      </c>
      <c r="D244" s="12">
        <v>0.49652777777777773</v>
      </c>
      <c r="E244" s="3">
        <v>0.1</v>
      </c>
      <c r="F244" s="24">
        <v>7.68</v>
      </c>
      <c r="G244" s="7">
        <v>86.7</v>
      </c>
      <c r="H244" s="7">
        <v>21.3</v>
      </c>
      <c r="I244" s="3">
        <v>21.3</v>
      </c>
      <c r="J244" s="3"/>
      <c r="K244" s="3"/>
    </row>
    <row r="245" spans="3:11" ht="15.75" customHeight="1" x14ac:dyDescent="0.2">
      <c r="C245" s="187">
        <v>42604</v>
      </c>
      <c r="D245" s="12">
        <v>0.49652777777777773</v>
      </c>
      <c r="E245" s="3">
        <v>1</v>
      </c>
      <c r="F245" s="24">
        <v>6.67</v>
      </c>
      <c r="G245" s="7">
        <v>86.6</v>
      </c>
      <c r="H245" s="7">
        <v>21.3</v>
      </c>
      <c r="I245" s="3">
        <v>21.3</v>
      </c>
      <c r="J245" s="3"/>
      <c r="K245" s="3"/>
    </row>
    <row r="246" spans="3:11" ht="15.75" customHeight="1" x14ac:dyDescent="0.2">
      <c r="C246" s="187">
        <v>42604</v>
      </c>
      <c r="D246" s="12">
        <v>0.49652777777777773</v>
      </c>
      <c r="E246" s="3">
        <v>2</v>
      </c>
      <c r="F246" s="24">
        <v>6.67</v>
      </c>
      <c r="G246" s="7">
        <v>86.5</v>
      </c>
      <c r="H246" s="7">
        <v>21.3</v>
      </c>
      <c r="I246" s="3">
        <v>21.3</v>
      </c>
      <c r="J246" s="3"/>
      <c r="K246" s="3"/>
    </row>
    <row r="247" spans="3:11" ht="15.75" customHeight="1" x14ac:dyDescent="0.2">
      <c r="C247" s="187">
        <v>42604</v>
      </c>
      <c r="D247" s="12">
        <v>0.49652777777777773</v>
      </c>
      <c r="E247" s="3">
        <v>3</v>
      </c>
      <c r="F247" s="24">
        <v>7.63</v>
      </c>
      <c r="G247" s="7">
        <v>86.3</v>
      </c>
      <c r="H247" s="7">
        <v>21.4</v>
      </c>
      <c r="I247" s="3">
        <v>21.4</v>
      </c>
      <c r="J247" s="3"/>
      <c r="K247" s="3"/>
    </row>
    <row r="248" spans="3:11" ht="15.75" customHeight="1" x14ac:dyDescent="0.2">
      <c r="C248" s="187">
        <v>42604</v>
      </c>
      <c r="D248" s="12">
        <v>0.49652777777777773</v>
      </c>
      <c r="E248" s="3">
        <v>4</v>
      </c>
      <c r="F248" s="24">
        <v>7.62</v>
      </c>
      <c r="G248" s="7">
        <v>86.1</v>
      </c>
      <c r="H248" s="7">
        <v>21.4</v>
      </c>
      <c r="I248" s="3">
        <v>21.4</v>
      </c>
      <c r="J248" s="3"/>
      <c r="K248" s="3"/>
    </row>
    <row r="249" spans="3:11" ht="15.75" customHeight="1" x14ac:dyDescent="0.2">
      <c r="C249" s="187">
        <v>42604</v>
      </c>
      <c r="D249" s="12">
        <v>0.49652777777777773</v>
      </c>
      <c r="E249" s="3">
        <v>5</v>
      </c>
      <c r="F249" s="24">
        <v>7.62</v>
      </c>
      <c r="G249" s="7">
        <v>86</v>
      </c>
      <c r="H249" s="7">
        <v>21.3</v>
      </c>
      <c r="I249" s="3">
        <v>21.3</v>
      </c>
      <c r="J249" s="3"/>
      <c r="K249" s="3"/>
    </row>
    <row r="250" spans="3:11" ht="15.75" customHeight="1" x14ac:dyDescent="0.2">
      <c r="C250" s="187">
        <v>42604</v>
      </c>
      <c r="D250" s="12">
        <v>0.49652777777777773</v>
      </c>
      <c r="E250" s="3">
        <v>6</v>
      </c>
      <c r="F250" s="24">
        <v>7.61</v>
      </c>
      <c r="G250" s="7">
        <v>85.9</v>
      </c>
      <c r="H250" s="7">
        <v>21.3</v>
      </c>
      <c r="I250" s="3">
        <v>21.3</v>
      </c>
      <c r="J250" s="3"/>
      <c r="K250" s="3"/>
    </row>
    <row r="251" spans="3:11" ht="15.75" customHeight="1" x14ac:dyDescent="0.2">
      <c r="C251" s="187">
        <v>42604</v>
      </c>
      <c r="D251" s="12">
        <v>0.49652777777777773</v>
      </c>
      <c r="E251" s="3">
        <v>7</v>
      </c>
      <c r="F251" s="24">
        <v>7.61</v>
      </c>
      <c r="G251" s="7">
        <v>85.8</v>
      </c>
      <c r="H251" s="7">
        <v>21.3</v>
      </c>
      <c r="I251" s="3">
        <v>21.3</v>
      </c>
      <c r="J251" s="3"/>
      <c r="K251" s="3"/>
    </row>
    <row r="252" spans="3:11" ht="15.75" customHeight="1" x14ac:dyDescent="0.2">
      <c r="C252" s="187">
        <v>42604</v>
      </c>
      <c r="D252" s="12">
        <v>0.49652777777777773</v>
      </c>
      <c r="E252" s="3">
        <v>8</v>
      </c>
      <c r="F252" s="24">
        <v>7.59</v>
      </c>
      <c r="G252" s="7">
        <v>85.6</v>
      </c>
      <c r="H252" s="7">
        <v>21.3</v>
      </c>
      <c r="I252" s="3">
        <v>21.3</v>
      </c>
      <c r="J252" s="3"/>
      <c r="K252" s="3"/>
    </row>
    <row r="253" spans="3:11" ht="15.75" customHeight="1" x14ac:dyDescent="0.2">
      <c r="C253" s="187">
        <v>42604</v>
      </c>
      <c r="D253" s="12">
        <v>0.49652777777777773</v>
      </c>
      <c r="E253" s="3">
        <v>9</v>
      </c>
      <c r="F253" s="24">
        <v>7.57</v>
      </c>
      <c r="G253" s="7">
        <v>85.4</v>
      </c>
      <c r="H253" s="7">
        <v>21.3</v>
      </c>
      <c r="I253" s="3">
        <v>21.3</v>
      </c>
      <c r="J253" s="3"/>
      <c r="K253" s="3"/>
    </row>
    <row r="254" spans="3:11" ht="15.75" customHeight="1" x14ac:dyDescent="0.2">
      <c r="C254" s="187">
        <v>42604</v>
      </c>
      <c r="D254" s="12">
        <v>0.49652777777777773</v>
      </c>
      <c r="E254" s="3">
        <v>10</v>
      </c>
      <c r="F254" s="24">
        <v>7.56</v>
      </c>
      <c r="G254" s="7">
        <v>85.2</v>
      </c>
      <c r="H254" s="7">
        <v>21.3</v>
      </c>
      <c r="I254" s="3">
        <v>21.3</v>
      </c>
      <c r="J254" s="3"/>
      <c r="K254" s="3"/>
    </row>
    <row r="255" spans="3:11" ht="15.75" customHeight="1" x14ac:dyDescent="0.2">
      <c r="C255" s="187">
        <v>42604</v>
      </c>
      <c r="D255" s="12">
        <v>0.49652777777777773</v>
      </c>
      <c r="E255" s="3">
        <v>11</v>
      </c>
      <c r="F255" s="24">
        <v>7.56</v>
      </c>
      <c r="G255" s="7">
        <v>85.1</v>
      </c>
      <c r="H255" s="189">
        <v>21.2</v>
      </c>
      <c r="I255" s="18">
        <v>21.2</v>
      </c>
      <c r="J255" s="3"/>
      <c r="K255" s="3"/>
    </row>
    <row r="256" spans="3:11" ht="15.75" customHeight="1" x14ac:dyDescent="0.2">
      <c r="C256" s="187">
        <v>42604</v>
      </c>
      <c r="D256" s="12">
        <v>0.49652777777777773</v>
      </c>
      <c r="E256" s="3">
        <v>12</v>
      </c>
      <c r="F256" s="24">
        <v>7.65</v>
      </c>
      <c r="G256" s="7">
        <v>85.7</v>
      </c>
      <c r="H256" s="7">
        <v>21</v>
      </c>
      <c r="I256" s="3">
        <v>21</v>
      </c>
      <c r="J256" s="3"/>
      <c r="K256" s="3"/>
    </row>
    <row r="257" spans="3:11" ht="15.75" customHeight="1" x14ac:dyDescent="0.2">
      <c r="C257" s="187">
        <v>42604</v>
      </c>
      <c r="D257" s="12">
        <v>0.49652777777777773</v>
      </c>
      <c r="E257" s="3">
        <v>13</v>
      </c>
      <c r="F257" s="24">
        <v>8.73</v>
      </c>
      <c r="G257" s="7">
        <v>78.7</v>
      </c>
      <c r="H257" s="7">
        <v>10.7</v>
      </c>
      <c r="I257" s="7">
        <f>AVERAGE(I244:I256)</f>
        <v>21.284615384615389</v>
      </c>
      <c r="J257" s="3"/>
      <c r="K257" s="3"/>
    </row>
    <row r="258" spans="3:11" ht="15.75" customHeight="1" x14ac:dyDescent="0.2">
      <c r="C258" s="187">
        <v>42604</v>
      </c>
      <c r="D258" s="12">
        <v>0.49652777777777773</v>
      </c>
      <c r="E258" s="3">
        <v>14</v>
      </c>
      <c r="F258" s="24">
        <v>8.81</v>
      </c>
      <c r="G258" s="7">
        <v>77.2</v>
      </c>
      <c r="H258" s="7">
        <v>9.5</v>
      </c>
      <c r="I258" s="3"/>
      <c r="J258" s="3"/>
      <c r="K258" s="3"/>
    </row>
    <row r="259" spans="3:11" ht="15.75" customHeight="1" x14ac:dyDescent="0.2">
      <c r="C259" s="187">
        <v>42604</v>
      </c>
      <c r="D259" s="12">
        <v>0.49652777777777773</v>
      </c>
      <c r="E259" s="3">
        <v>15</v>
      </c>
      <c r="F259" s="24">
        <v>8.75</v>
      </c>
      <c r="G259" s="7">
        <v>74.5</v>
      </c>
      <c r="H259" s="7">
        <v>8.4</v>
      </c>
      <c r="I259" s="3"/>
      <c r="J259" s="3"/>
      <c r="K259" s="3"/>
    </row>
    <row r="260" spans="3:11" ht="15.75" customHeight="1" x14ac:dyDescent="0.2">
      <c r="C260" s="187">
        <v>42604</v>
      </c>
      <c r="D260" s="12">
        <v>0.49652777777777773</v>
      </c>
      <c r="E260" s="3">
        <v>16</v>
      </c>
      <c r="F260" s="24">
        <v>8.65</v>
      </c>
      <c r="G260" s="7">
        <v>72.900000000000006</v>
      </c>
      <c r="H260" s="7">
        <v>8</v>
      </c>
      <c r="I260" s="3"/>
      <c r="J260" s="3"/>
      <c r="K260" s="3"/>
    </row>
    <row r="261" spans="3:11" ht="15.75" customHeight="1" x14ac:dyDescent="0.2">
      <c r="C261" s="187">
        <v>42604</v>
      </c>
      <c r="D261" s="12">
        <v>0.49652777777777773</v>
      </c>
      <c r="E261" s="3">
        <v>17</v>
      </c>
      <c r="F261" s="24">
        <v>8.59</v>
      </c>
      <c r="G261" s="7">
        <v>71.900000000000006</v>
      </c>
      <c r="H261" s="7">
        <v>7.7</v>
      </c>
      <c r="I261" s="3"/>
      <c r="J261" s="3"/>
      <c r="K261" s="3"/>
    </row>
    <row r="262" spans="3:11" ht="15.75" customHeight="1" x14ac:dyDescent="0.2">
      <c r="C262" s="187">
        <v>42604</v>
      </c>
      <c r="D262" s="12">
        <v>0.49652777777777773</v>
      </c>
      <c r="E262" s="3">
        <v>18</v>
      </c>
      <c r="F262" s="24">
        <v>8.52</v>
      </c>
      <c r="G262" s="7">
        <v>71</v>
      </c>
      <c r="H262" s="7">
        <v>7.5</v>
      </c>
      <c r="I262" s="3"/>
      <c r="J262" s="3"/>
      <c r="K262" s="3"/>
    </row>
    <row r="263" spans="3:11" ht="15.75" customHeight="1" x14ac:dyDescent="0.2">
      <c r="C263" s="187">
        <v>42604</v>
      </c>
      <c r="D263" s="12">
        <v>0.49652777777777773</v>
      </c>
      <c r="E263" s="3">
        <v>19</v>
      </c>
      <c r="F263" s="24">
        <v>8.42</v>
      </c>
      <c r="G263" s="7">
        <v>69.5</v>
      </c>
      <c r="H263" s="7">
        <v>7.1</v>
      </c>
      <c r="I263" s="3"/>
      <c r="J263" s="3"/>
      <c r="K263" s="3"/>
    </row>
    <row r="264" spans="3:11" ht="15.75" customHeight="1" x14ac:dyDescent="0.2">
      <c r="C264" s="187">
        <v>42604</v>
      </c>
      <c r="D264" s="12">
        <v>0.49652777777777773</v>
      </c>
      <c r="E264" s="3">
        <v>20</v>
      </c>
      <c r="F264" s="24">
        <v>8.3699999999999992</v>
      </c>
      <c r="G264" s="7">
        <v>68.900000000000006</v>
      </c>
      <c r="H264" s="7">
        <v>7</v>
      </c>
      <c r="I264" s="3"/>
      <c r="J264" s="3"/>
      <c r="K264" s="3"/>
    </row>
    <row r="265" spans="3:11" ht="15.75" customHeight="1" x14ac:dyDescent="0.2">
      <c r="C265" s="187">
        <v>42604</v>
      </c>
      <c r="D265" s="12">
        <v>0.49652777777777773</v>
      </c>
      <c r="E265" s="3">
        <v>21</v>
      </c>
      <c r="F265" s="24">
        <v>8.24</v>
      </c>
      <c r="G265" s="7">
        <v>67.5</v>
      </c>
      <c r="H265" s="7">
        <v>7</v>
      </c>
      <c r="I265" s="3"/>
      <c r="J265" s="3"/>
      <c r="K265" s="3"/>
    </row>
    <row r="266" spans="3:11" ht="15.75" customHeight="1" x14ac:dyDescent="0.2">
      <c r="C266" s="187"/>
      <c r="E266" s="3"/>
      <c r="F266" s="24"/>
      <c r="G266" s="7"/>
      <c r="H266" s="7"/>
      <c r="I266" s="3"/>
      <c r="J266" s="3"/>
      <c r="K266" s="3"/>
    </row>
    <row r="267" spans="3:11" ht="15.75" customHeight="1" x14ac:dyDescent="0.2">
      <c r="C267" s="187">
        <v>39625</v>
      </c>
      <c r="D267" s="19">
        <v>0.57638888888888895</v>
      </c>
      <c r="E267" s="20">
        <v>0.1</v>
      </c>
      <c r="F267" s="24"/>
      <c r="G267" s="7"/>
      <c r="H267" s="63">
        <v>20.5</v>
      </c>
      <c r="I267" s="3"/>
      <c r="J267" s="3"/>
      <c r="K267" s="3"/>
    </row>
    <row r="268" spans="3:11" ht="15.75" customHeight="1" x14ac:dyDescent="0.2">
      <c r="C268" s="187">
        <v>39625</v>
      </c>
      <c r="D268" s="19">
        <v>0.57638888888888895</v>
      </c>
      <c r="E268" s="20">
        <v>1</v>
      </c>
      <c r="F268" s="24"/>
      <c r="G268" s="7"/>
      <c r="H268" s="63">
        <v>19.600000000000001</v>
      </c>
      <c r="I268" s="3"/>
      <c r="J268" s="3"/>
      <c r="K268" s="3"/>
    </row>
    <row r="269" spans="3:11" ht="15.75" customHeight="1" x14ac:dyDescent="0.2">
      <c r="D269" s="3"/>
      <c r="E269" s="20"/>
      <c r="F269" s="24"/>
      <c r="G269" s="7"/>
      <c r="H269" s="63"/>
      <c r="I269" s="3"/>
      <c r="J269" s="3"/>
      <c r="K269" s="3"/>
    </row>
    <row r="270" spans="3:11" ht="15.75" customHeight="1" x14ac:dyDescent="0.2">
      <c r="C270" s="187">
        <v>39663</v>
      </c>
      <c r="D270" s="19">
        <v>0.56944444444444442</v>
      </c>
      <c r="E270" s="3">
        <v>0.1</v>
      </c>
      <c r="F270" s="24"/>
      <c r="G270" s="7"/>
      <c r="H270" s="7">
        <v>20.5</v>
      </c>
      <c r="I270" s="3">
        <v>20.5</v>
      </c>
      <c r="J270" s="3"/>
      <c r="K270" s="3"/>
    </row>
    <row r="271" spans="3:11" ht="15.75" customHeight="1" x14ac:dyDescent="0.2">
      <c r="C271" s="187">
        <v>39663</v>
      </c>
      <c r="D271" s="19">
        <v>0.56944444444444442</v>
      </c>
      <c r="E271" s="3">
        <v>1</v>
      </c>
      <c r="F271" s="24"/>
      <c r="G271" s="7"/>
      <c r="H271" s="7">
        <v>20.399999999999999</v>
      </c>
      <c r="I271" s="3">
        <v>20.399999999999999</v>
      </c>
      <c r="J271" s="3"/>
      <c r="K271" s="3"/>
    </row>
    <row r="272" spans="3:11" ht="15.75" customHeight="1" x14ac:dyDescent="0.2">
      <c r="C272" s="187">
        <v>39663</v>
      </c>
      <c r="D272" s="19">
        <v>0.56944444444444442</v>
      </c>
      <c r="E272" s="3">
        <v>2</v>
      </c>
      <c r="F272" s="24"/>
      <c r="G272" s="7"/>
      <c r="H272" s="7">
        <v>20.3</v>
      </c>
      <c r="I272" s="3">
        <v>20.3</v>
      </c>
      <c r="J272" s="3"/>
      <c r="K272" s="3"/>
    </row>
    <row r="273" spans="3:11" ht="15.75" customHeight="1" x14ac:dyDescent="0.2">
      <c r="C273" s="187">
        <v>39663</v>
      </c>
      <c r="D273" s="19">
        <v>0.56944444444444442</v>
      </c>
      <c r="E273" s="3">
        <v>3</v>
      </c>
      <c r="F273" s="24"/>
      <c r="G273" s="7"/>
      <c r="H273" s="7">
        <v>20.3</v>
      </c>
      <c r="I273" s="3">
        <v>20.3</v>
      </c>
      <c r="J273" s="3"/>
      <c r="K273" s="3"/>
    </row>
    <row r="274" spans="3:11" ht="15.75" customHeight="1" x14ac:dyDescent="0.2">
      <c r="C274" s="187">
        <v>39663</v>
      </c>
      <c r="D274" s="19">
        <v>0.56944444444444442</v>
      </c>
      <c r="E274" s="3">
        <v>4</v>
      </c>
      <c r="F274" s="24"/>
      <c r="G274" s="7"/>
      <c r="H274" s="7">
        <v>20.2</v>
      </c>
      <c r="I274" s="3">
        <v>20.2</v>
      </c>
      <c r="J274" s="3"/>
      <c r="K274" s="3"/>
    </row>
    <row r="275" spans="3:11" ht="15.75" customHeight="1" x14ac:dyDescent="0.2">
      <c r="C275" s="187">
        <v>39663</v>
      </c>
      <c r="D275" s="19">
        <v>0.56944444444444442</v>
      </c>
      <c r="E275" s="3">
        <v>5</v>
      </c>
      <c r="F275" s="24"/>
      <c r="G275" s="7"/>
      <c r="H275" s="7">
        <v>20.100000000000001</v>
      </c>
      <c r="I275" s="3">
        <v>20.100000000000001</v>
      </c>
      <c r="J275" s="3"/>
      <c r="K275" s="3"/>
    </row>
    <row r="276" spans="3:11" ht="15.75" customHeight="1" x14ac:dyDescent="0.2">
      <c r="C276" s="187">
        <v>39663</v>
      </c>
      <c r="D276" s="19">
        <v>0.56944444444444442</v>
      </c>
      <c r="E276" s="3">
        <v>6</v>
      </c>
      <c r="F276" s="24"/>
      <c r="G276" s="7"/>
      <c r="H276" s="7">
        <v>20</v>
      </c>
      <c r="I276" s="3">
        <v>20</v>
      </c>
      <c r="J276" s="3"/>
      <c r="K276" s="3"/>
    </row>
    <row r="277" spans="3:11" ht="15.75" customHeight="1" x14ac:dyDescent="0.2">
      <c r="C277" s="187">
        <v>39663</v>
      </c>
      <c r="D277" s="19">
        <v>0.56944444444444442</v>
      </c>
      <c r="E277" s="3">
        <v>7</v>
      </c>
      <c r="F277" s="24"/>
      <c r="G277" s="7"/>
      <c r="H277" s="7">
        <v>20.6</v>
      </c>
      <c r="I277" s="3">
        <v>20.6</v>
      </c>
      <c r="J277" s="3"/>
      <c r="K277" s="3"/>
    </row>
    <row r="278" spans="3:11" ht="15.75" customHeight="1" x14ac:dyDescent="0.2">
      <c r="C278" s="187">
        <v>39663</v>
      </c>
      <c r="D278" s="19">
        <v>0.56944444444444442</v>
      </c>
      <c r="E278" s="3">
        <v>8</v>
      </c>
      <c r="F278" s="24"/>
      <c r="G278" s="7"/>
      <c r="H278" s="7">
        <v>20</v>
      </c>
      <c r="I278" s="3">
        <v>20</v>
      </c>
      <c r="J278" s="3"/>
      <c r="K278" s="3"/>
    </row>
    <row r="279" spans="3:11" ht="15.75" customHeight="1" x14ac:dyDescent="0.2">
      <c r="C279" s="187">
        <v>39663</v>
      </c>
      <c r="D279" s="19">
        <v>0.56944444444444442</v>
      </c>
      <c r="E279" s="3">
        <v>9</v>
      </c>
      <c r="F279" s="24"/>
      <c r="G279" s="7"/>
      <c r="H279" s="63">
        <v>18.899999999999999</v>
      </c>
      <c r="I279" s="7">
        <f>AVERAGE(I270:I278)</f>
        <v>20.266666666666666</v>
      </c>
      <c r="J279" s="3"/>
      <c r="K279" s="3"/>
    </row>
    <row r="280" spans="3:11" ht="15.75" customHeight="1" x14ac:dyDescent="0.2">
      <c r="C280" s="187">
        <v>39663</v>
      </c>
      <c r="D280" s="19">
        <v>0.56944444444444442</v>
      </c>
      <c r="E280" s="3">
        <v>10</v>
      </c>
      <c r="F280" s="24"/>
      <c r="G280" s="7"/>
      <c r="H280" s="63">
        <v>14.4</v>
      </c>
      <c r="I280" s="3"/>
      <c r="J280" s="3"/>
      <c r="K280" s="3"/>
    </row>
    <row r="281" spans="3:11" ht="15.75" customHeight="1" x14ac:dyDescent="0.2">
      <c r="C281" s="187">
        <v>39663</v>
      </c>
      <c r="D281" s="19">
        <v>0.56944444444444442</v>
      </c>
      <c r="E281" s="3">
        <v>11</v>
      </c>
      <c r="F281" s="24"/>
      <c r="G281" s="7"/>
      <c r="H281" s="63">
        <v>10.3</v>
      </c>
      <c r="I281" s="3"/>
      <c r="J281" s="3"/>
      <c r="K281" s="3"/>
    </row>
    <row r="282" spans="3:11" ht="15.75" customHeight="1" x14ac:dyDescent="0.2">
      <c r="C282" s="187">
        <v>39663</v>
      </c>
      <c r="D282" s="19">
        <v>0.56944444444444442</v>
      </c>
      <c r="E282" s="3">
        <v>12</v>
      </c>
      <c r="F282" s="24"/>
      <c r="G282" s="7"/>
      <c r="H282" s="63">
        <v>9.3000000000000007</v>
      </c>
      <c r="I282" s="3"/>
      <c r="J282" s="3"/>
      <c r="K282" s="3"/>
    </row>
    <row r="283" spans="3:11" ht="15.75" customHeight="1" x14ac:dyDescent="0.2">
      <c r="C283" s="187">
        <v>39663</v>
      </c>
      <c r="D283" s="19">
        <v>0.56944444444444442</v>
      </c>
      <c r="E283" s="3">
        <v>13</v>
      </c>
      <c r="F283" s="24"/>
      <c r="G283" s="7"/>
      <c r="H283" s="63">
        <v>8.66</v>
      </c>
      <c r="I283" s="3"/>
      <c r="J283" s="3"/>
      <c r="K283" s="3"/>
    </row>
    <row r="284" spans="3:11" ht="15.75" customHeight="1" x14ac:dyDescent="0.2">
      <c r="C284" s="187">
        <v>39663</v>
      </c>
      <c r="D284" s="19">
        <v>0.56944444444444442</v>
      </c>
      <c r="E284" s="3">
        <v>14</v>
      </c>
      <c r="F284" s="24"/>
      <c r="G284" s="7"/>
      <c r="H284" s="63">
        <v>7.8</v>
      </c>
      <c r="I284" s="3"/>
      <c r="J284" s="3"/>
      <c r="K284" s="3"/>
    </row>
    <row r="285" spans="3:11" ht="15.75" customHeight="1" x14ac:dyDescent="0.2">
      <c r="C285" s="187">
        <v>39663</v>
      </c>
      <c r="D285" s="19">
        <v>0.56944444444444442</v>
      </c>
      <c r="E285" s="3">
        <v>15</v>
      </c>
      <c r="F285" s="24"/>
      <c r="G285" s="7"/>
      <c r="H285" s="63">
        <v>7.2</v>
      </c>
      <c r="I285" s="3"/>
      <c r="J285" s="3"/>
      <c r="K285" s="3"/>
    </row>
    <row r="286" spans="3:11" ht="15.75" customHeight="1" x14ac:dyDescent="0.2">
      <c r="C286" s="187">
        <v>39663</v>
      </c>
      <c r="D286" s="19">
        <v>0.56944444444444442</v>
      </c>
      <c r="E286" s="3">
        <v>16</v>
      </c>
      <c r="F286" s="24"/>
      <c r="G286" s="7"/>
      <c r="H286" s="63">
        <v>6.6</v>
      </c>
      <c r="I286" s="3"/>
      <c r="J286" s="3"/>
      <c r="K286" s="3"/>
    </row>
    <row r="287" spans="3:11" ht="15.75" customHeight="1" x14ac:dyDescent="0.2">
      <c r="C287" s="187">
        <v>39663</v>
      </c>
      <c r="D287" s="19">
        <v>0.56944444444444442</v>
      </c>
      <c r="E287" s="3">
        <v>17</v>
      </c>
      <c r="F287" s="24"/>
      <c r="G287" s="7"/>
      <c r="H287" s="63">
        <v>6.5</v>
      </c>
      <c r="I287" s="3"/>
      <c r="J287" s="3"/>
      <c r="K287" s="3"/>
    </row>
    <row r="288" spans="3:11" ht="15.75" customHeight="1" x14ac:dyDescent="0.2">
      <c r="C288" s="187">
        <v>39663</v>
      </c>
      <c r="D288" s="19">
        <v>0.56944444444444442</v>
      </c>
      <c r="E288" s="3">
        <v>18</v>
      </c>
      <c r="F288" s="24"/>
      <c r="G288" s="7"/>
      <c r="H288" s="63">
        <v>6.3</v>
      </c>
      <c r="I288" s="3"/>
      <c r="J288" s="3"/>
      <c r="K288" s="3"/>
    </row>
    <row r="289" spans="3:11" ht="15.75" customHeight="1" x14ac:dyDescent="0.2">
      <c r="C289" s="187">
        <v>39663</v>
      </c>
      <c r="D289" s="19">
        <v>0.56944444444444442</v>
      </c>
      <c r="E289" s="3">
        <v>19</v>
      </c>
      <c r="F289" s="24"/>
      <c r="G289" s="7"/>
      <c r="H289" s="63">
        <v>6.2</v>
      </c>
      <c r="I289" s="3"/>
      <c r="J289" s="3"/>
      <c r="K289" s="3"/>
    </row>
    <row r="290" spans="3:11" ht="15.75" customHeight="1" x14ac:dyDescent="0.2">
      <c r="C290" s="187">
        <v>39663</v>
      </c>
      <c r="D290" s="19">
        <v>0.56944444444444442</v>
      </c>
      <c r="E290" s="3">
        <v>20</v>
      </c>
      <c r="F290" s="24"/>
      <c r="G290" s="7"/>
      <c r="H290" s="63">
        <v>5.9</v>
      </c>
      <c r="I290" s="3"/>
      <c r="J290" s="3"/>
      <c r="K290" s="3"/>
    </row>
    <row r="291" spans="3:11" ht="15.75" customHeight="1" x14ac:dyDescent="0.2">
      <c r="C291" s="187">
        <v>39663</v>
      </c>
      <c r="D291" s="19">
        <v>0.56944444444444442</v>
      </c>
      <c r="E291" s="3">
        <v>21</v>
      </c>
      <c r="F291" s="24"/>
      <c r="G291" s="7"/>
      <c r="H291" s="63">
        <v>5.8</v>
      </c>
      <c r="I291" s="3"/>
      <c r="J291" s="3"/>
      <c r="K291" s="3"/>
    </row>
    <row r="292" spans="3:11" ht="15.75" customHeight="1" x14ac:dyDescent="0.2">
      <c r="C292" s="187">
        <v>39663</v>
      </c>
      <c r="D292" s="19">
        <v>0.56944444444444442</v>
      </c>
      <c r="E292" s="20">
        <v>22</v>
      </c>
      <c r="F292" s="24"/>
      <c r="G292" s="7"/>
      <c r="H292" s="63">
        <v>5.7</v>
      </c>
      <c r="I292" s="3"/>
      <c r="J292" s="3"/>
      <c r="K292" s="3"/>
    </row>
    <row r="293" spans="3:11" ht="15.75" customHeight="1" x14ac:dyDescent="0.2">
      <c r="C293" s="187">
        <v>39663</v>
      </c>
      <c r="D293" s="19">
        <v>0.56944444444444442</v>
      </c>
      <c r="E293" s="20">
        <v>23</v>
      </c>
      <c r="F293" s="24"/>
      <c r="G293" s="7"/>
      <c r="H293" s="63">
        <v>5.6</v>
      </c>
      <c r="I293" s="3"/>
      <c r="J293" s="3"/>
      <c r="K293" s="3"/>
    </row>
    <row r="294" spans="3:11" ht="15.75" customHeight="1" x14ac:dyDescent="0.2">
      <c r="C294" s="187">
        <v>39663</v>
      </c>
      <c r="D294" s="19">
        <v>0.56944444444444442</v>
      </c>
      <c r="E294" s="20">
        <v>24</v>
      </c>
      <c r="F294" s="24"/>
      <c r="G294" s="7"/>
      <c r="H294" s="63">
        <v>5.5</v>
      </c>
      <c r="I294" s="3"/>
      <c r="J294" s="3"/>
      <c r="K294" s="3"/>
    </row>
    <row r="295" spans="3:11" ht="15.75" customHeight="1" x14ac:dyDescent="0.2">
      <c r="C295" s="187">
        <v>39663</v>
      </c>
      <c r="D295" s="19">
        <v>0.56944444444444442</v>
      </c>
      <c r="E295" s="20">
        <v>25</v>
      </c>
      <c r="F295" s="24"/>
      <c r="G295" s="7"/>
      <c r="H295" s="63">
        <v>5.4</v>
      </c>
      <c r="I295" s="3"/>
      <c r="J295" s="3"/>
      <c r="K295" s="3"/>
    </row>
    <row r="296" spans="3:11" ht="15.75" customHeight="1" x14ac:dyDescent="0.2">
      <c r="E296" s="3"/>
      <c r="F296" s="24"/>
      <c r="G296" s="7"/>
      <c r="H296" s="7"/>
      <c r="I296" s="3"/>
      <c r="J296" s="3"/>
      <c r="K296" s="3"/>
    </row>
    <row r="297" spans="3:11" ht="15.75" customHeight="1" x14ac:dyDescent="0.2">
      <c r="C297" s="187">
        <v>39719</v>
      </c>
      <c r="D297" s="19">
        <v>0.44444444444444442</v>
      </c>
      <c r="E297" s="3">
        <v>0.1</v>
      </c>
      <c r="F297" s="24"/>
      <c r="G297" s="7"/>
      <c r="H297" s="7">
        <v>15.9</v>
      </c>
      <c r="I297" s="3">
        <v>15.9</v>
      </c>
      <c r="J297" s="3"/>
      <c r="K297" s="3"/>
    </row>
    <row r="298" spans="3:11" ht="15.75" customHeight="1" x14ac:dyDescent="0.2">
      <c r="C298" s="187">
        <v>39719</v>
      </c>
      <c r="D298" s="19">
        <v>0.44444444444444442</v>
      </c>
      <c r="E298" s="3">
        <v>1</v>
      </c>
      <c r="F298" s="24"/>
      <c r="G298" s="7"/>
      <c r="H298" s="7">
        <v>15.9</v>
      </c>
      <c r="I298" s="3">
        <v>15.9</v>
      </c>
      <c r="J298" s="3"/>
      <c r="K298" s="3"/>
    </row>
    <row r="299" spans="3:11" ht="15.75" customHeight="1" x14ac:dyDescent="0.2">
      <c r="C299" s="187">
        <v>39719</v>
      </c>
      <c r="D299" s="19">
        <v>0.44444444444444442</v>
      </c>
      <c r="E299" s="3">
        <v>2</v>
      </c>
      <c r="F299" s="24"/>
      <c r="G299" s="7"/>
      <c r="H299" s="7">
        <v>15.9</v>
      </c>
      <c r="I299" s="3">
        <v>15.9</v>
      </c>
      <c r="J299" s="3"/>
      <c r="K299" s="3"/>
    </row>
    <row r="300" spans="3:11" ht="15.75" customHeight="1" x14ac:dyDescent="0.2">
      <c r="C300" s="187">
        <v>39719</v>
      </c>
      <c r="D300" s="19">
        <v>0.44444444444444442</v>
      </c>
      <c r="E300" s="3">
        <v>3</v>
      </c>
      <c r="F300" s="24"/>
      <c r="G300" s="7"/>
      <c r="H300" s="7">
        <v>15.9</v>
      </c>
      <c r="I300" s="3">
        <v>15.9</v>
      </c>
      <c r="J300" s="3"/>
      <c r="K300" s="3"/>
    </row>
    <row r="301" spans="3:11" ht="15.75" customHeight="1" x14ac:dyDescent="0.2">
      <c r="C301" s="187">
        <v>39719</v>
      </c>
      <c r="D301" s="19">
        <v>0.44444444444444442</v>
      </c>
      <c r="E301" s="3">
        <v>4</v>
      </c>
      <c r="F301" s="24"/>
      <c r="G301" s="7"/>
      <c r="H301" s="7">
        <v>15.9</v>
      </c>
      <c r="I301" s="3">
        <v>15.9</v>
      </c>
      <c r="J301" s="3"/>
      <c r="K301" s="3"/>
    </row>
    <row r="302" spans="3:11" ht="15.75" customHeight="1" x14ac:dyDescent="0.2">
      <c r="C302" s="187">
        <v>39719</v>
      </c>
      <c r="D302" s="19">
        <v>0.44444444444444442</v>
      </c>
      <c r="E302" s="3">
        <v>5</v>
      </c>
      <c r="F302" s="24"/>
      <c r="G302" s="7"/>
      <c r="H302" s="7">
        <v>15.9</v>
      </c>
      <c r="I302" s="3">
        <v>15.9</v>
      </c>
      <c r="J302" s="3"/>
      <c r="K302" s="3"/>
    </row>
    <row r="303" spans="3:11" ht="15.75" customHeight="1" x14ac:dyDescent="0.2">
      <c r="C303" s="187">
        <v>39719</v>
      </c>
      <c r="D303" s="19">
        <v>0.44444444444444442</v>
      </c>
      <c r="E303" s="3">
        <v>6</v>
      </c>
      <c r="F303" s="24"/>
      <c r="G303" s="7"/>
      <c r="H303" s="7">
        <v>15.9</v>
      </c>
      <c r="I303" s="3">
        <v>15.9</v>
      </c>
      <c r="J303" s="3"/>
      <c r="K303" s="3"/>
    </row>
    <row r="304" spans="3:11" ht="15.75" customHeight="1" x14ac:dyDescent="0.2">
      <c r="C304" s="187">
        <v>39719</v>
      </c>
      <c r="D304" s="19">
        <v>0.44444444444444442</v>
      </c>
      <c r="E304" s="3">
        <v>7</v>
      </c>
      <c r="F304" s="24"/>
      <c r="G304" s="7"/>
      <c r="H304" s="7">
        <v>15.9</v>
      </c>
      <c r="I304" s="3">
        <v>15.9</v>
      </c>
      <c r="J304" s="3"/>
      <c r="K304" s="3"/>
    </row>
    <row r="305" spans="3:11" ht="15.75" customHeight="1" x14ac:dyDescent="0.2">
      <c r="C305" s="187">
        <v>39719</v>
      </c>
      <c r="D305" s="19">
        <v>0.44444444444444442</v>
      </c>
      <c r="E305" s="3">
        <v>8</v>
      </c>
      <c r="F305" s="24"/>
      <c r="G305" s="7"/>
      <c r="H305" s="7">
        <v>15.9</v>
      </c>
      <c r="I305" s="3">
        <v>15.9</v>
      </c>
      <c r="J305" s="3"/>
      <c r="K305" s="3"/>
    </row>
    <row r="306" spans="3:11" ht="15.75" customHeight="1" x14ac:dyDescent="0.2">
      <c r="C306" s="187">
        <v>39719</v>
      </c>
      <c r="D306" s="19">
        <v>0.44444444444444442</v>
      </c>
      <c r="E306" s="3">
        <v>9</v>
      </c>
      <c r="F306" s="24"/>
      <c r="G306" s="7"/>
      <c r="H306" s="7">
        <v>15.9</v>
      </c>
      <c r="I306" s="3">
        <v>15.9</v>
      </c>
      <c r="J306" s="3"/>
      <c r="K306" s="3"/>
    </row>
    <row r="307" spans="3:11" ht="15.75" customHeight="1" x14ac:dyDescent="0.2">
      <c r="C307" s="187">
        <v>39719</v>
      </c>
      <c r="D307" s="19">
        <v>0.44444444444444442</v>
      </c>
      <c r="E307" s="3">
        <v>10</v>
      </c>
      <c r="F307" s="24"/>
      <c r="G307" s="7"/>
      <c r="H307" s="63">
        <v>15.8</v>
      </c>
      <c r="I307" s="20">
        <v>15.8</v>
      </c>
      <c r="J307" s="3"/>
      <c r="K307" s="3"/>
    </row>
    <row r="308" spans="3:11" ht="15.75" customHeight="1" x14ac:dyDescent="0.2">
      <c r="C308" s="187">
        <v>39719</v>
      </c>
      <c r="D308" s="19">
        <v>0.44444444444444442</v>
      </c>
      <c r="E308" s="3">
        <v>11</v>
      </c>
      <c r="F308" s="24"/>
      <c r="G308" s="7"/>
      <c r="H308" s="63">
        <v>15.8</v>
      </c>
      <c r="I308" s="20">
        <v>15.8</v>
      </c>
      <c r="J308" s="3"/>
      <c r="K308" s="3"/>
    </row>
    <row r="309" spans="3:11" ht="15.75" customHeight="1" x14ac:dyDescent="0.2">
      <c r="C309" s="187">
        <v>39719</v>
      </c>
      <c r="D309" s="19">
        <v>0.44444444444444442</v>
      </c>
      <c r="E309" s="3">
        <v>12</v>
      </c>
      <c r="F309" s="24"/>
      <c r="G309" s="7"/>
      <c r="H309" s="63">
        <v>15.8</v>
      </c>
      <c r="I309" s="20">
        <v>15.8</v>
      </c>
      <c r="J309" s="3"/>
      <c r="K309" s="3"/>
    </row>
    <row r="310" spans="3:11" ht="15.75" customHeight="1" x14ac:dyDescent="0.2">
      <c r="C310" s="187">
        <v>39719</v>
      </c>
      <c r="D310" s="19">
        <v>0.44444444444444442</v>
      </c>
      <c r="E310" s="3">
        <v>13</v>
      </c>
      <c r="F310" s="24"/>
      <c r="G310" s="7"/>
      <c r="H310" s="63">
        <v>15.8</v>
      </c>
      <c r="I310" s="20">
        <v>15.8</v>
      </c>
      <c r="J310" s="3"/>
      <c r="K310" s="3"/>
    </row>
    <row r="311" spans="3:11" ht="15.75" customHeight="1" x14ac:dyDescent="0.2">
      <c r="C311" s="187">
        <v>39719</v>
      </c>
      <c r="D311" s="19">
        <v>0.44444444444444442</v>
      </c>
      <c r="E311" s="3">
        <v>14</v>
      </c>
      <c r="F311" s="24"/>
      <c r="G311" s="7"/>
      <c r="H311" s="63">
        <v>15.6</v>
      </c>
      <c r="I311" s="20">
        <v>15.6</v>
      </c>
      <c r="J311" s="3"/>
      <c r="K311" s="3"/>
    </row>
    <row r="312" spans="3:11" ht="15.75" customHeight="1" x14ac:dyDescent="0.2">
      <c r="C312" s="187">
        <v>39719</v>
      </c>
      <c r="D312" s="19">
        <v>0.44444444444444442</v>
      </c>
      <c r="E312" s="3">
        <v>15</v>
      </c>
      <c r="F312" s="24"/>
      <c r="G312" s="7"/>
      <c r="H312" s="7">
        <v>11.7</v>
      </c>
      <c r="I312" s="17">
        <f>AVERAGE(I297:I311)</f>
        <v>15.853333333333337</v>
      </c>
      <c r="J312" s="3"/>
      <c r="K312" s="3"/>
    </row>
    <row r="313" spans="3:11" ht="15.75" customHeight="1" x14ac:dyDescent="0.2">
      <c r="C313" s="187">
        <v>39719</v>
      </c>
      <c r="D313" s="19">
        <v>0.44444444444444442</v>
      </c>
      <c r="E313" s="3">
        <v>16</v>
      </c>
      <c r="F313" s="24"/>
      <c r="G313" s="7"/>
      <c r="H313" s="7">
        <v>9.1</v>
      </c>
      <c r="I313" s="3"/>
      <c r="J313" s="3"/>
      <c r="K313" s="3"/>
    </row>
    <row r="314" spans="3:11" ht="15.75" customHeight="1" x14ac:dyDescent="0.2">
      <c r="C314" s="187">
        <v>39719</v>
      </c>
      <c r="D314" s="19">
        <v>0.44444444444444442</v>
      </c>
      <c r="E314" s="3">
        <v>17</v>
      </c>
      <c r="F314" s="24"/>
      <c r="G314" s="7"/>
      <c r="H314" s="7">
        <v>8.8000000000000007</v>
      </c>
      <c r="I314" s="3"/>
      <c r="J314" s="3"/>
      <c r="K314" s="3"/>
    </row>
    <row r="315" spans="3:11" ht="15.75" customHeight="1" x14ac:dyDescent="0.2">
      <c r="C315" s="187">
        <v>39719</v>
      </c>
      <c r="D315" s="19">
        <v>0.44444444444444442</v>
      </c>
      <c r="E315" s="3">
        <v>18</v>
      </c>
      <c r="F315" s="24"/>
      <c r="G315" s="7"/>
      <c r="H315" s="7">
        <v>7.7</v>
      </c>
      <c r="I315" s="3"/>
      <c r="J315" s="3"/>
      <c r="K315" s="3"/>
    </row>
    <row r="316" spans="3:11" ht="15.75" customHeight="1" x14ac:dyDescent="0.2">
      <c r="C316" s="187">
        <v>39719</v>
      </c>
      <c r="D316" s="19">
        <v>0.44444444444444442</v>
      </c>
      <c r="E316" s="3">
        <v>19</v>
      </c>
      <c r="F316" s="24"/>
      <c r="G316" s="7"/>
      <c r="H316" s="7">
        <v>7.2</v>
      </c>
      <c r="I316" s="3"/>
      <c r="J316" s="3"/>
      <c r="K316" s="3"/>
    </row>
    <row r="317" spans="3:11" ht="15.75" customHeight="1" x14ac:dyDescent="0.2">
      <c r="C317" s="187">
        <v>39719</v>
      </c>
      <c r="D317" s="19">
        <v>0.44444444444444442</v>
      </c>
      <c r="E317" s="3">
        <v>20</v>
      </c>
      <c r="F317" s="24"/>
      <c r="G317" s="7"/>
      <c r="H317" s="7">
        <v>6.9</v>
      </c>
      <c r="I317" s="3"/>
      <c r="J317" s="3"/>
      <c r="K317" s="3"/>
    </row>
    <row r="318" spans="3:11" ht="15.75" customHeight="1" x14ac:dyDescent="0.2">
      <c r="C318" s="187">
        <v>39719</v>
      </c>
      <c r="D318" s="19">
        <v>0.44444444444444442</v>
      </c>
      <c r="E318" s="3">
        <v>21</v>
      </c>
      <c r="F318" s="24"/>
      <c r="G318" s="7"/>
      <c r="H318" s="7">
        <v>6.7</v>
      </c>
      <c r="I318" s="3"/>
      <c r="J318" s="3"/>
      <c r="K318" s="3"/>
    </row>
    <row r="319" spans="3:11" ht="15.75" customHeight="1" x14ac:dyDescent="0.2">
      <c r="C319" s="187">
        <v>39719</v>
      </c>
      <c r="D319" s="19">
        <v>0.44444444444444442</v>
      </c>
      <c r="E319" s="20">
        <v>22</v>
      </c>
      <c r="F319" s="24"/>
      <c r="G319" s="7"/>
      <c r="H319" s="7">
        <v>6.6</v>
      </c>
      <c r="I319" s="3"/>
      <c r="J319" s="3"/>
      <c r="K319" s="3"/>
    </row>
    <row r="320" spans="3:11" ht="15.75" customHeight="1" x14ac:dyDescent="0.2">
      <c r="C320" s="187">
        <v>39719</v>
      </c>
      <c r="D320" s="19">
        <v>0.44444444444444442</v>
      </c>
      <c r="E320" s="20">
        <v>23</v>
      </c>
      <c r="F320" s="24"/>
      <c r="G320" s="7"/>
      <c r="H320" s="7">
        <v>6.3</v>
      </c>
      <c r="I320" s="3"/>
      <c r="J320" s="3"/>
      <c r="K320" s="3"/>
    </row>
    <row r="321" spans="2:11" ht="15.75" customHeight="1" x14ac:dyDescent="0.2">
      <c r="C321" s="187">
        <v>39719</v>
      </c>
      <c r="D321" s="19">
        <v>0.44444444444444442</v>
      </c>
      <c r="E321" s="20">
        <v>24</v>
      </c>
      <c r="F321" s="24"/>
      <c r="G321" s="7"/>
      <c r="H321" s="7">
        <v>6.1</v>
      </c>
      <c r="I321" s="3"/>
      <c r="J321" s="3"/>
      <c r="K321" s="3"/>
    </row>
    <row r="322" spans="2:11" ht="15.75" customHeight="1" x14ac:dyDescent="0.2">
      <c r="C322" s="187">
        <v>39719</v>
      </c>
      <c r="D322" s="19">
        <v>0.44444444444444442</v>
      </c>
      <c r="E322" s="20">
        <v>25</v>
      </c>
      <c r="F322" s="24"/>
      <c r="G322" s="7"/>
      <c r="H322" s="7">
        <v>5.9</v>
      </c>
      <c r="I322" s="3"/>
      <c r="J322" s="3"/>
      <c r="K322" s="3"/>
    </row>
    <row r="323" spans="2:11" ht="15.75" customHeight="1" x14ac:dyDescent="0.2">
      <c r="E323" s="3"/>
      <c r="F323" s="24"/>
      <c r="G323" s="7"/>
      <c r="H323" s="7"/>
      <c r="I323" s="3"/>
      <c r="J323" s="3"/>
      <c r="K323" s="3"/>
    </row>
    <row r="324" spans="2:11" ht="15.75" customHeight="1" x14ac:dyDescent="0.2">
      <c r="B324">
        <v>37</v>
      </c>
      <c r="C324" s="205">
        <v>37525</v>
      </c>
      <c r="D324" s="185">
        <v>0.39583333333333331</v>
      </c>
      <c r="E324" s="190"/>
      <c r="F324" s="190"/>
      <c r="G324" s="190"/>
      <c r="H324" s="190"/>
      <c r="I324" s="190"/>
      <c r="J324" s="190" t="s">
        <v>599</v>
      </c>
      <c r="K324" s="3"/>
    </row>
    <row r="325" spans="2:11" ht="15.75" customHeight="1" x14ac:dyDescent="0.2">
      <c r="C325" s="205">
        <v>37525</v>
      </c>
      <c r="D325" s="185">
        <v>0.39583333333333331</v>
      </c>
      <c r="E325" s="190">
        <v>0.5</v>
      </c>
      <c r="F325" s="190">
        <v>9</v>
      </c>
      <c r="G325" s="190">
        <v>99.8</v>
      </c>
      <c r="H325" s="190">
        <v>16.3</v>
      </c>
      <c r="I325" s="190"/>
      <c r="J325" s="190"/>
      <c r="K325" s="3"/>
    </row>
    <row r="326" spans="2:11" ht="15.75" customHeight="1" x14ac:dyDescent="0.2">
      <c r="C326" s="205">
        <v>37525</v>
      </c>
      <c r="D326" s="185">
        <v>0.39583333333333331</v>
      </c>
      <c r="E326" s="190">
        <v>2</v>
      </c>
      <c r="F326" s="190">
        <v>8.9</v>
      </c>
      <c r="G326" s="190">
        <v>99</v>
      </c>
      <c r="H326" s="190">
        <v>16.3</v>
      </c>
      <c r="I326" s="190"/>
      <c r="J326" s="190"/>
      <c r="K326" s="3"/>
    </row>
    <row r="327" spans="2:11" ht="15.75" customHeight="1" x14ac:dyDescent="0.2">
      <c r="C327" s="205">
        <v>37525</v>
      </c>
      <c r="D327" s="185">
        <v>0.39583333333333331</v>
      </c>
      <c r="E327" s="190">
        <v>4</v>
      </c>
      <c r="F327" s="190">
        <v>8.8000000000000007</v>
      </c>
      <c r="G327" s="190">
        <v>98.8</v>
      </c>
      <c r="H327" s="190">
        <v>16.3</v>
      </c>
      <c r="I327" s="190"/>
      <c r="J327" s="190"/>
      <c r="K327" s="3"/>
    </row>
    <row r="328" spans="2:11" ht="15.75" customHeight="1" x14ac:dyDescent="0.2">
      <c r="C328" s="205">
        <v>37525</v>
      </c>
      <c r="D328" s="185">
        <v>0.39583333333333331</v>
      </c>
      <c r="E328" s="190">
        <v>6</v>
      </c>
      <c r="F328" s="190">
        <v>8.9</v>
      </c>
      <c r="G328" s="190">
        <v>98.8</v>
      </c>
      <c r="H328" s="190">
        <v>16.3</v>
      </c>
      <c r="I328" s="190"/>
      <c r="J328" s="190"/>
      <c r="K328" s="3"/>
    </row>
    <row r="329" spans="2:11" ht="15.75" customHeight="1" x14ac:dyDescent="0.2">
      <c r="C329" s="205">
        <v>37525</v>
      </c>
      <c r="D329" s="185">
        <v>0.39583333333333331</v>
      </c>
      <c r="E329" s="190">
        <v>8</v>
      </c>
      <c r="F329" s="190">
        <v>8.8000000000000007</v>
      </c>
      <c r="G329" s="190">
        <v>98.4</v>
      </c>
      <c r="H329" s="190">
        <v>16.3</v>
      </c>
      <c r="I329" s="190"/>
      <c r="J329" s="190"/>
      <c r="K329" s="3"/>
    </row>
    <row r="330" spans="2:11" ht="15.75" customHeight="1" x14ac:dyDescent="0.2">
      <c r="C330" s="205">
        <v>37525</v>
      </c>
      <c r="D330" s="185">
        <v>0.39583333333333331</v>
      </c>
      <c r="E330" s="190">
        <v>10</v>
      </c>
      <c r="F330" s="190">
        <v>8.8000000000000007</v>
      </c>
      <c r="G330" s="190">
        <v>97.8</v>
      </c>
      <c r="H330" s="190">
        <v>16.3</v>
      </c>
      <c r="I330" s="190"/>
      <c r="J330" s="190"/>
      <c r="K330" s="3"/>
    </row>
    <row r="331" spans="2:11" ht="15.75" customHeight="1" x14ac:dyDescent="0.2">
      <c r="C331" s="205">
        <v>37525</v>
      </c>
      <c r="D331" s="185">
        <v>0.39583333333333331</v>
      </c>
      <c r="E331" s="190">
        <v>12</v>
      </c>
      <c r="F331" s="190">
        <v>8.8000000000000007</v>
      </c>
      <c r="G331" s="190">
        <v>97.5</v>
      </c>
      <c r="H331" s="190">
        <v>16.100000000000001</v>
      </c>
      <c r="I331" s="190"/>
      <c r="J331" s="190"/>
      <c r="K331" s="3"/>
    </row>
    <row r="332" spans="2:11" ht="15.75" customHeight="1" x14ac:dyDescent="0.2">
      <c r="C332" s="205">
        <v>37525</v>
      </c>
      <c r="D332" s="185">
        <v>0.39583333333333331</v>
      </c>
      <c r="E332" s="190">
        <v>13</v>
      </c>
      <c r="F332" s="190">
        <v>9</v>
      </c>
      <c r="G332" s="190">
        <v>98.2</v>
      </c>
      <c r="H332" s="190">
        <v>15.5</v>
      </c>
      <c r="I332" s="190"/>
      <c r="J332" s="190"/>
      <c r="K332" s="3"/>
    </row>
    <row r="333" spans="2:11" ht="15.75" customHeight="1" x14ac:dyDescent="0.2">
      <c r="C333" s="205">
        <v>37525</v>
      </c>
      <c r="D333" s="185">
        <v>0.39583333333333331</v>
      </c>
      <c r="E333" s="190">
        <v>14</v>
      </c>
      <c r="F333" s="190">
        <v>9.4</v>
      </c>
      <c r="G333" s="190">
        <v>101.3</v>
      </c>
      <c r="H333" s="190">
        <v>14.5</v>
      </c>
      <c r="I333" s="190"/>
      <c r="J333" s="190"/>
      <c r="K333" s="3"/>
    </row>
    <row r="334" spans="2:11" ht="15.75" customHeight="1" x14ac:dyDescent="0.2">
      <c r="C334" s="205">
        <v>37525</v>
      </c>
      <c r="D334" s="185">
        <v>0.39583333333333331</v>
      </c>
      <c r="E334" s="190">
        <v>15</v>
      </c>
      <c r="F334" s="190">
        <v>10</v>
      </c>
      <c r="G334" s="190">
        <v>102.3</v>
      </c>
      <c r="H334" s="190">
        <v>12.5</v>
      </c>
      <c r="I334" s="190"/>
      <c r="J334" s="190"/>
      <c r="K334" s="3"/>
    </row>
    <row r="335" spans="2:11" ht="15.75" customHeight="1" x14ac:dyDescent="0.2">
      <c r="C335" s="205">
        <v>37525</v>
      </c>
      <c r="D335" s="185">
        <v>0.39583333333333331</v>
      </c>
      <c r="E335" s="190">
        <v>16</v>
      </c>
      <c r="F335" s="190">
        <v>10.6</v>
      </c>
      <c r="G335" s="190">
        <v>98.7</v>
      </c>
      <c r="H335" s="190">
        <v>8.4</v>
      </c>
      <c r="I335" s="190"/>
      <c r="J335" s="190"/>
      <c r="K335" s="3"/>
    </row>
    <row r="336" spans="2:11" ht="15.75" customHeight="1" x14ac:dyDescent="0.2">
      <c r="C336" s="205">
        <v>37525</v>
      </c>
      <c r="D336" s="185">
        <v>0.39583333333333331</v>
      </c>
      <c r="E336" s="190">
        <v>17</v>
      </c>
      <c r="F336" s="190">
        <v>10.6</v>
      </c>
      <c r="G336" s="190">
        <v>97.1</v>
      </c>
      <c r="H336" s="190">
        <v>7.7</v>
      </c>
      <c r="I336" s="190"/>
      <c r="J336" s="190"/>
      <c r="K336" s="3"/>
    </row>
    <row r="337" spans="2:11" ht="15.75" customHeight="1" x14ac:dyDescent="0.2">
      <c r="C337" s="205">
        <v>37525</v>
      </c>
      <c r="D337" s="185">
        <v>0.39583333333333331</v>
      </c>
      <c r="E337" s="190">
        <v>18</v>
      </c>
      <c r="F337" s="190">
        <v>10.4</v>
      </c>
      <c r="G337" s="190">
        <v>93.2</v>
      </c>
      <c r="H337" s="190">
        <v>7.2</v>
      </c>
      <c r="I337" s="190"/>
      <c r="J337" s="190"/>
      <c r="K337" s="3"/>
    </row>
    <row r="338" spans="2:11" ht="15.75" customHeight="1" x14ac:dyDescent="0.2">
      <c r="C338"/>
      <c r="E338" s="190"/>
      <c r="F338" s="190"/>
      <c r="G338" s="190"/>
      <c r="H338" s="190"/>
      <c r="I338" s="190"/>
      <c r="J338" s="190"/>
      <c r="K338" s="3"/>
    </row>
    <row r="339" spans="2:11" ht="15.75" customHeight="1" x14ac:dyDescent="0.2">
      <c r="B339">
        <v>4.7</v>
      </c>
      <c r="C339" s="205">
        <v>34842</v>
      </c>
      <c r="D339" s="185">
        <v>0.54166666666666663</v>
      </c>
      <c r="E339" s="190"/>
      <c r="F339" s="190"/>
      <c r="G339" s="190"/>
      <c r="H339" s="190"/>
      <c r="I339" s="190"/>
      <c r="J339" s="190" t="s">
        <v>599</v>
      </c>
      <c r="K339" s="3"/>
    </row>
    <row r="340" spans="2:11" ht="15.75" customHeight="1" x14ac:dyDescent="0.2">
      <c r="C340" s="205">
        <v>34842</v>
      </c>
      <c r="D340" s="185">
        <v>0.54166666666666663</v>
      </c>
      <c r="E340" s="190">
        <v>1</v>
      </c>
      <c r="F340" s="190">
        <v>11.3</v>
      </c>
      <c r="G340" s="190"/>
      <c r="H340" s="190">
        <v>14.1</v>
      </c>
      <c r="I340" s="190"/>
      <c r="J340" s="190"/>
      <c r="K340" s="3"/>
    </row>
    <row r="341" spans="2:11" ht="15.75" customHeight="1" x14ac:dyDescent="0.2">
      <c r="C341" s="205">
        <v>34842</v>
      </c>
      <c r="D341" s="185">
        <v>0.54166666666666663</v>
      </c>
      <c r="E341" s="190">
        <v>3.7</v>
      </c>
      <c r="F341" s="190">
        <v>11.6</v>
      </c>
      <c r="G341" s="190"/>
      <c r="H341" s="190">
        <v>10.5</v>
      </c>
      <c r="I341" s="190"/>
      <c r="J341" s="190"/>
      <c r="K341" s="3"/>
    </row>
    <row r="342" spans="2:11" ht="15.75" customHeight="1" x14ac:dyDescent="0.2">
      <c r="C342"/>
      <c r="E342" s="190"/>
      <c r="F342" s="190"/>
      <c r="G342" s="190"/>
      <c r="H342" s="190"/>
      <c r="I342" s="190"/>
      <c r="J342" s="190"/>
      <c r="K342" s="3"/>
    </row>
    <row r="343" spans="2:11" ht="15.75" customHeight="1" x14ac:dyDescent="0.2">
      <c r="B343">
        <v>10.7</v>
      </c>
      <c r="C343" s="205">
        <v>34255</v>
      </c>
      <c r="D343" s="185">
        <v>0.4375</v>
      </c>
      <c r="E343" s="190"/>
      <c r="F343" s="190"/>
      <c r="G343" s="190"/>
      <c r="H343" s="190"/>
      <c r="I343" s="190"/>
      <c r="J343" s="190">
        <v>13</v>
      </c>
      <c r="K343" s="3"/>
    </row>
    <row r="344" spans="2:11" ht="15.75" customHeight="1" x14ac:dyDescent="0.2">
      <c r="C344" s="205">
        <v>34255</v>
      </c>
      <c r="D344" s="185">
        <v>0.4375</v>
      </c>
      <c r="E344" s="190">
        <v>1</v>
      </c>
      <c r="F344" s="190">
        <v>10.4</v>
      </c>
      <c r="G344" s="190"/>
      <c r="H344" s="190">
        <v>14.6</v>
      </c>
      <c r="I344" s="190"/>
      <c r="J344" s="190"/>
      <c r="K344" s="3"/>
    </row>
    <row r="345" spans="2:11" ht="15.75" customHeight="1" x14ac:dyDescent="0.2">
      <c r="C345" s="205">
        <v>34255</v>
      </c>
      <c r="D345" s="185">
        <v>0.4375</v>
      </c>
      <c r="E345" s="190">
        <v>10</v>
      </c>
      <c r="F345" s="190">
        <v>10.199999999999999</v>
      </c>
      <c r="G345" s="190"/>
      <c r="H345" s="190">
        <v>14.7</v>
      </c>
      <c r="I345" s="190"/>
      <c r="J345" s="190"/>
      <c r="K345" s="3"/>
    </row>
    <row r="346" spans="2:11" ht="15.75" customHeight="1" x14ac:dyDescent="0.2">
      <c r="C346"/>
      <c r="E346" s="190"/>
      <c r="F346" s="190"/>
      <c r="G346" s="190"/>
      <c r="H346" s="190"/>
      <c r="I346" s="190"/>
      <c r="J346" s="190"/>
      <c r="K346" s="3"/>
    </row>
    <row r="347" spans="2:11" ht="15.75" customHeight="1" x14ac:dyDescent="0.2">
      <c r="B347">
        <v>14</v>
      </c>
      <c r="C347" s="205">
        <v>34199</v>
      </c>
      <c r="D347" s="185">
        <v>0.47916666666666669</v>
      </c>
      <c r="E347" s="190"/>
      <c r="F347" s="190"/>
      <c r="G347" s="190"/>
      <c r="H347" s="190"/>
      <c r="I347" s="190"/>
      <c r="J347" s="190">
        <v>11.5</v>
      </c>
      <c r="K347" s="3"/>
    </row>
    <row r="348" spans="2:11" ht="15.75" customHeight="1" x14ac:dyDescent="0.2">
      <c r="C348" s="205">
        <v>34199</v>
      </c>
      <c r="D348" s="185">
        <v>0.47916666666666669</v>
      </c>
      <c r="E348" s="190">
        <v>1</v>
      </c>
      <c r="F348" s="190">
        <v>8.6</v>
      </c>
      <c r="G348" s="190"/>
      <c r="H348" s="190">
        <v>19.600000000000001</v>
      </c>
      <c r="I348" s="190"/>
      <c r="J348" s="190"/>
      <c r="K348" s="3"/>
    </row>
    <row r="349" spans="2:11" ht="15.75" customHeight="1" x14ac:dyDescent="0.2">
      <c r="C349" s="205">
        <v>34199</v>
      </c>
      <c r="D349" s="185">
        <v>0.47916666666666669</v>
      </c>
      <c r="E349" s="190">
        <v>13</v>
      </c>
      <c r="F349" s="190">
        <v>10.3</v>
      </c>
      <c r="G349" s="190"/>
      <c r="H349" s="190">
        <v>11.3</v>
      </c>
      <c r="I349" s="190"/>
      <c r="J349" s="190"/>
      <c r="K349" s="3"/>
    </row>
    <row r="350" spans="2:11" ht="15.75" customHeight="1" x14ac:dyDescent="0.2">
      <c r="C350"/>
      <c r="E350" s="190"/>
      <c r="F350" s="190"/>
      <c r="G350" s="190"/>
      <c r="H350" s="190"/>
      <c r="I350" s="190"/>
      <c r="J350" s="190"/>
      <c r="K350" s="3"/>
    </row>
    <row r="351" spans="2:11" ht="15.75" customHeight="1" x14ac:dyDescent="0.2">
      <c r="B351">
        <v>10</v>
      </c>
      <c r="C351" s="205">
        <v>34158</v>
      </c>
      <c r="D351" s="185">
        <v>0.42708333333333331</v>
      </c>
      <c r="E351" s="190"/>
      <c r="F351" s="190"/>
      <c r="G351" s="190"/>
      <c r="H351" s="190"/>
      <c r="I351" s="190"/>
      <c r="J351" s="190">
        <v>7.7</v>
      </c>
      <c r="K351" s="3"/>
    </row>
    <row r="352" spans="2:11" ht="15.75" customHeight="1" x14ac:dyDescent="0.2">
      <c r="C352" s="205">
        <v>34158</v>
      </c>
      <c r="D352" s="185">
        <v>0.42708333333333331</v>
      </c>
      <c r="E352" s="190">
        <v>1</v>
      </c>
      <c r="F352" s="190">
        <v>9.3000000000000007</v>
      </c>
      <c r="G352" s="190"/>
      <c r="H352" s="190">
        <v>17.100000000000001</v>
      </c>
      <c r="I352" s="190"/>
      <c r="J352" s="190"/>
      <c r="K352" s="3"/>
    </row>
    <row r="353" spans="2:11" ht="15.75" customHeight="1" x14ac:dyDescent="0.2">
      <c r="C353" s="205">
        <v>34158</v>
      </c>
      <c r="D353" s="185">
        <v>0.42708333333333331</v>
      </c>
      <c r="E353" s="190">
        <v>9</v>
      </c>
      <c r="F353" s="190">
        <v>9.5</v>
      </c>
      <c r="G353" s="190"/>
      <c r="H353" s="190">
        <v>15.5</v>
      </c>
      <c r="I353" s="190"/>
      <c r="J353" s="190"/>
      <c r="K353" s="3"/>
    </row>
    <row r="354" spans="2:11" ht="15.75" customHeight="1" x14ac:dyDescent="0.2">
      <c r="C354"/>
      <c r="E354" s="190"/>
      <c r="F354" s="190"/>
      <c r="G354" s="190"/>
      <c r="H354" s="190"/>
      <c r="I354" s="190"/>
      <c r="J354" s="190"/>
      <c r="K354" s="3"/>
    </row>
    <row r="355" spans="2:11" ht="15.75" customHeight="1" x14ac:dyDescent="0.2">
      <c r="B355">
        <v>9</v>
      </c>
      <c r="C355" s="205">
        <v>34136</v>
      </c>
      <c r="D355" s="185">
        <v>0.40277777777777779</v>
      </c>
      <c r="E355" s="190"/>
      <c r="F355" s="190"/>
      <c r="G355" s="190"/>
      <c r="H355" s="190"/>
      <c r="I355" s="190"/>
      <c r="J355" s="190">
        <v>8.5</v>
      </c>
      <c r="K355" s="3"/>
    </row>
    <row r="356" spans="2:11" ht="15.75" customHeight="1" x14ac:dyDescent="0.2">
      <c r="C356" s="205">
        <v>34136</v>
      </c>
      <c r="D356" s="185">
        <v>0.40277777777777779</v>
      </c>
      <c r="E356" s="190">
        <v>1</v>
      </c>
      <c r="F356" s="190">
        <v>9.8000000000000007</v>
      </c>
      <c r="G356" s="190"/>
      <c r="H356" s="190">
        <v>15.2</v>
      </c>
      <c r="I356" s="190"/>
      <c r="J356" s="190"/>
      <c r="K356" s="3"/>
    </row>
    <row r="357" spans="2:11" ht="15.75" customHeight="1" x14ac:dyDescent="0.2">
      <c r="C357" s="205">
        <v>34136</v>
      </c>
      <c r="D357" s="185">
        <v>0.40277777777777779</v>
      </c>
      <c r="E357" s="190">
        <v>8</v>
      </c>
      <c r="F357" s="190">
        <v>9.6999999999999993</v>
      </c>
      <c r="G357" s="190"/>
      <c r="H357" s="190">
        <v>13.9</v>
      </c>
      <c r="I357" s="190"/>
      <c r="J357" s="190"/>
      <c r="K357" s="3"/>
    </row>
    <row r="358" spans="2:11" ht="15.75" customHeight="1" x14ac:dyDescent="0.2">
      <c r="C358"/>
      <c r="E358" s="190"/>
      <c r="F358" s="190"/>
      <c r="G358" s="190"/>
      <c r="H358" s="190"/>
      <c r="I358" s="190"/>
      <c r="J358" s="190"/>
      <c r="K358" s="3"/>
    </row>
    <row r="359" spans="2:11" ht="15.75" customHeight="1" x14ac:dyDescent="0.2">
      <c r="B359">
        <v>10.5</v>
      </c>
      <c r="C359" s="205">
        <v>34107</v>
      </c>
      <c r="D359" s="185">
        <v>0.63888888888888884</v>
      </c>
      <c r="E359" s="190"/>
      <c r="F359" s="190"/>
      <c r="G359" s="190"/>
      <c r="H359" s="190"/>
      <c r="I359" s="190"/>
      <c r="J359" s="190">
        <v>6.5</v>
      </c>
      <c r="K359" s="3"/>
    </row>
    <row r="360" spans="2:11" ht="15.75" customHeight="1" x14ac:dyDescent="0.2">
      <c r="C360" s="205">
        <v>34107</v>
      </c>
      <c r="D360" s="185">
        <v>0.63888888888888884</v>
      </c>
      <c r="E360" s="190">
        <v>1</v>
      </c>
      <c r="F360" s="190">
        <v>10.1</v>
      </c>
      <c r="G360" s="190"/>
      <c r="H360" s="190">
        <v>16.399999999999999</v>
      </c>
      <c r="I360" s="190"/>
      <c r="J360" s="190"/>
      <c r="K360" s="3"/>
    </row>
    <row r="361" spans="2:11" ht="15.75" customHeight="1" x14ac:dyDescent="0.2">
      <c r="C361" s="205">
        <v>34107</v>
      </c>
      <c r="D361" s="185">
        <v>0.63888888888888884</v>
      </c>
      <c r="E361" s="190">
        <v>10</v>
      </c>
      <c r="F361" s="190">
        <v>11.7</v>
      </c>
      <c r="G361" s="190"/>
      <c r="H361" s="190">
        <v>8.1</v>
      </c>
      <c r="I361" s="190"/>
      <c r="J361" s="190"/>
      <c r="K361" s="3"/>
    </row>
    <row r="362" spans="2:11" ht="15.75" customHeight="1" x14ac:dyDescent="0.2">
      <c r="C362"/>
      <c r="E362" s="190"/>
      <c r="F362" s="190"/>
      <c r="G362" s="190"/>
      <c r="H362" s="190"/>
      <c r="I362" s="190"/>
      <c r="J362" s="190"/>
      <c r="K362" s="3"/>
    </row>
    <row r="363" spans="2:11" ht="15.75" customHeight="1" x14ac:dyDescent="0.2">
      <c r="B363">
        <v>12.5</v>
      </c>
      <c r="C363" s="205">
        <v>34082</v>
      </c>
      <c r="D363" s="185">
        <v>0.66041666666666665</v>
      </c>
      <c r="E363" s="190"/>
      <c r="F363" s="190"/>
      <c r="G363" s="190" t="s">
        <v>600</v>
      </c>
      <c r="H363" s="190"/>
      <c r="I363" s="190"/>
      <c r="J363" s="190">
        <v>7.8</v>
      </c>
      <c r="K363" s="3"/>
    </row>
    <row r="364" spans="2:11" ht="15.75" customHeight="1" x14ac:dyDescent="0.2">
      <c r="C364"/>
      <c r="E364" s="190"/>
      <c r="F364" s="190"/>
      <c r="G364" s="190"/>
      <c r="H364" s="190"/>
      <c r="I364" s="190"/>
      <c r="J364" s="190"/>
      <c r="K364" s="3"/>
    </row>
    <row r="365" spans="2:11" ht="15.75" customHeight="1" x14ac:dyDescent="0.2">
      <c r="E365" s="3"/>
      <c r="F365" s="24"/>
      <c r="G365" s="7"/>
      <c r="H365" s="7"/>
      <c r="I365" s="3"/>
      <c r="J365" s="3"/>
      <c r="K365" s="3"/>
    </row>
    <row r="366" spans="2:11" ht="15.75" customHeight="1" x14ac:dyDescent="0.2">
      <c r="E366" s="3"/>
      <c r="F366" s="24"/>
      <c r="G366" s="7"/>
      <c r="H366" s="7"/>
      <c r="I366" s="3"/>
      <c r="J366" s="3"/>
      <c r="K366" s="3"/>
    </row>
    <row r="367" spans="2:11" ht="15.75" customHeight="1" x14ac:dyDescent="0.2">
      <c r="E367" s="3"/>
      <c r="F367" s="24"/>
      <c r="G367" s="7"/>
      <c r="H367" s="7"/>
      <c r="I367" s="3"/>
      <c r="J367" s="3"/>
      <c r="K367" s="3"/>
    </row>
    <row r="368" spans="2:11" ht="15.75" customHeight="1" x14ac:dyDescent="0.2">
      <c r="E368" s="3"/>
      <c r="F368" s="24"/>
      <c r="G368" s="7"/>
      <c r="H368" s="7"/>
      <c r="I368" s="3"/>
      <c r="J368" s="3"/>
      <c r="K368" s="3"/>
    </row>
    <row r="369" spans="5:11" ht="15.75" customHeight="1" x14ac:dyDescent="0.2">
      <c r="E369" s="3"/>
      <c r="F369" s="24"/>
      <c r="G369" s="7"/>
      <c r="H369" s="7"/>
      <c r="I369" s="3"/>
      <c r="J369" s="3"/>
      <c r="K369" s="3"/>
    </row>
    <row r="370" spans="5:11" ht="15.75" customHeight="1" x14ac:dyDescent="0.2">
      <c r="E370" s="3"/>
      <c r="F370" s="24"/>
      <c r="G370" s="7"/>
      <c r="H370" s="7"/>
      <c r="I370" s="3"/>
      <c r="J370" s="3"/>
      <c r="K370" s="3"/>
    </row>
    <row r="371" spans="5:11" ht="15.75" customHeight="1" x14ac:dyDescent="0.2">
      <c r="E371" s="3"/>
      <c r="F371" s="24"/>
      <c r="G371" s="7"/>
      <c r="H371" s="7"/>
      <c r="I371" s="3"/>
      <c r="J371" s="3"/>
      <c r="K371" s="3"/>
    </row>
    <row r="372" spans="5:11" ht="15.75" customHeight="1" x14ac:dyDescent="0.2">
      <c r="E372" s="3"/>
      <c r="F372" s="24"/>
      <c r="G372" s="7"/>
      <c r="H372" s="7"/>
      <c r="I372" s="3"/>
      <c r="J372" s="3"/>
      <c r="K372" s="3"/>
    </row>
    <row r="373" spans="5:11" ht="15.75" customHeight="1" x14ac:dyDescent="0.2">
      <c r="E373" s="3"/>
      <c r="F373" s="24"/>
      <c r="G373" s="7"/>
      <c r="H373" s="7"/>
      <c r="I373" s="3"/>
      <c r="J373" s="3"/>
      <c r="K373" s="3"/>
    </row>
    <row r="374" spans="5:11" ht="15.75" customHeight="1" x14ac:dyDescent="0.2">
      <c r="E374" s="3"/>
      <c r="F374" s="24"/>
      <c r="G374" s="7"/>
      <c r="H374" s="7"/>
      <c r="I374" s="3"/>
      <c r="J374" s="3"/>
      <c r="K374" s="3"/>
    </row>
    <row r="375" spans="5:11" ht="15.75" customHeight="1" x14ac:dyDescent="0.2">
      <c r="E375" s="3"/>
      <c r="F375" s="24"/>
      <c r="G375" s="7"/>
      <c r="H375" s="7"/>
      <c r="I375" s="3"/>
      <c r="J375" s="3"/>
      <c r="K375" s="3"/>
    </row>
    <row r="376" spans="5:11" ht="15.75" customHeight="1" x14ac:dyDescent="0.2">
      <c r="E376" s="3"/>
      <c r="F376" s="24"/>
      <c r="G376" s="7"/>
      <c r="H376" s="7"/>
      <c r="I376" s="3"/>
      <c r="J376" s="3"/>
      <c r="K376" s="3"/>
    </row>
    <row r="377" spans="5:11" ht="15.75" customHeight="1" x14ac:dyDescent="0.2">
      <c r="E377" s="3"/>
      <c r="F377" s="24"/>
      <c r="G377" s="7"/>
      <c r="H377" s="7"/>
      <c r="I377" s="3"/>
      <c r="J377" s="3"/>
      <c r="K377" s="3"/>
    </row>
    <row r="378" spans="5:11" ht="15.75" customHeight="1" x14ac:dyDescent="0.2">
      <c r="E378" s="3"/>
      <c r="F378" s="24"/>
      <c r="G378" s="7"/>
      <c r="H378" s="7"/>
      <c r="I378" s="3"/>
      <c r="J378" s="3"/>
      <c r="K378" s="3"/>
    </row>
    <row r="379" spans="5:11" ht="15.75" customHeight="1" x14ac:dyDescent="0.2">
      <c r="E379" s="3"/>
      <c r="F379" s="24"/>
      <c r="G379" s="7"/>
      <c r="H379" s="7"/>
      <c r="I379" s="3"/>
      <c r="J379" s="3"/>
      <c r="K379" s="3"/>
    </row>
    <row r="380" spans="5:11" ht="15.75" customHeight="1" x14ac:dyDescent="0.2">
      <c r="E380" s="3"/>
      <c r="F380" s="24"/>
      <c r="G380" s="7"/>
      <c r="H380" s="7"/>
      <c r="I380" s="3"/>
      <c r="J380" s="3"/>
      <c r="K380" s="3"/>
    </row>
    <row r="381" spans="5:11" ht="15.75" customHeight="1" x14ac:dyDescent="0.2">
      <c r="E381" s="3"/>
      <c r="F381" s="24"/>
      <c r="G381" s="7"/>
      <c r="H381" s="7"/>
      <c r="I381" s="3"/>
      <c r="J381" s="3"/>
      <c r="K381" s="3"/>
    </row>
    <row r="382" spans="5:11" ht="15.75" customHeight="1" x14ac:dyDescent="0.2">
      <c r="E382" s="3"/>
      <c r="F382" s="24"/>
      <c r="G382" s="7"/>
      <c r="H382" s="7"/>
      <c r="I382" s="3"/>
      <c r="J382" s="3"/>
      <c r="K382" s="3"/>
    </row>
    <row r="383" spans="5:11" ht="15.75" customHeight="1" x14ac:dyDescent="0.2">
      <c r="E383" s="3"/>
      <c r="F383" s="24"/>
      <c r="G383" s="7"/>
      <c r="H383" s="7"/>
      <c r="I383" s="3"/>
      <c r="J383" s="3"/>
      <c r="K383" s="3"/>
    </row>
    <row r="384" spans="5:11" ht="15.75" customHeight="1" x14ac:dyDescent="0.2">
      <c r="E384" s="3"/>
      <c r="F384" s="24"/>
      <c r="G384" s="7"/>
      <c r="H384" s="7"/>
      <c r="I384" s="3"/>
      <c r="J384" s="3"/>
      <c r="K384" s="3"/>
    </row>
    <row r="385" spans="5:11" ht="15.75" customHeight="1" x14ac:dyDescent="0.2">
      <c r="E385" s="3"/>
      <c r="F385" s="24"/>
      <c r="G385" s="7"/>
      <c r="H385" s="7"/>
      <c r="I385" s="3"/>
      <c r="J385" s="3"/>
      <c r="K385" s="3"/>
    </row>
    <row r="386" spans="5:11" ht="15.75" customHeight="1" x14ac:dyDescent="0.2">
      <c r="E386" s="3"/>
      <c r="F386" s="24"/>
      <c r="G386" s="7"/>
      <c r="H386" s="7"/>
      <c r="I386" s="3"/>
      <c r="J386" s="3"/>
      <c r="K386" s="3"/>
    </row>
    <row r="387" spans="5:11" ht="15.75" customHeight="1" x14ac:dyDescent="0.2">
      <c r="E387" s="3"/>
      <c r="F387" s="24"/>
      <c r="G387" s="7"/>
      <c r="H387" s="7"/>
      <c r="I387" s="3"/>
      <c r="J387" s="3"/>
      <c r="K387" s="3"/>
    </row>
    <row r="388" spans="5:11" ht="15.75" customHeight="1" x14ac:dyDescent="0.2">
      <c r="E388" s="3"/>
      <c r="F388" s="24"/>
      <c r="G388" s="7"/>
      <c r="H388" s="7"/>
      <c r="I388" s="3"/>
      <c r="J388" s="3"/>
      <c r="K388" s="3"/>
    </row>
    <row r="389" spans="5:11" ht="15.75" customHeight="1" x14ac:dyDescent="0.2">
      <c r="E389" s="3"/>
      <c r="F389" s="24"/>
      <c r="G389" s="7"/>
      <c r="H389" s="7"/>
      <c r="I389" s="3"/>
      <c r="J389" s="3"/>
      <c r="K389" s="3"/>
    </row>
    <row r="390" spans="5:11" ht="15.75" customHeight="1" x14ac:dyDescent="0.2">
      <c r="E390" s="3"/>
      <c r="F390" s="24"/>
      <c r="G390" s="7"/>
      <c r="H390" s="7"/>
      <c r="I390" s="3"/>
      <c r="J390" s="3"/>
      <c r="K390" s="3"/>
    </row>
    <row r="391" spans="5:11" ht="15.75" customHeight="1" x14ac:dyDescent="0.2">
      <c r="E391" s="3"/>
      <c r="F391" s="24"/>
      <c r="G391" s="7"/>
      <c r="H391" s="7"/>
      <c r="I391" s="3"/>
      <c r="J391" s="3"/>
      <c r="K391" s="3"/>
    </row>
    <row r="392" spans="5:11" ht="15.75" customHeight="1" x14ac:dyDescent="0.2">
      <c r="E392" s="3"/>
      <c r="F392" s="24"/>
      <c r="G392" s="7"/>
      <c r="H392" s="7"/>
      <c r="I392" s="3"/>
      <c r="J392" s="3"/>
      <c r="K392" s="3"/>
    </row>
    <row r="393" spans="5:11" ht="15.75" customHeight="1" x14ac:dyDescent="0.2">
      <c r="E393" s="3"/>
      <c r="F393" s="24"/>
      <c r="G393" s="7"/>
      <c r="H393" s="7"/>
      <c r="I393" s="3"/>
      <c r="J393" s="3"/>
      <c r="K393" s="3"/>
    </row>
    <row r="394" spans="5:11" ht="15.75" customHeight="1" x14ac:dyDescent="0.2">
      <c r="E394" s="3"/>
      <c r="F394" s="24"/>
      <c r="G394" s="7"/>
      <c r="H394" s="7"/>
      <c r="I394" s="3"/>
      <c r="J394" s="3"/>
      <c r="K394" s="3"/>
    </row>
    <row r="395" spans="5:11" ht="15.75" customHeight="1" x14ac:dyDescent="0.2">
      <c r="E395" s="3"/>
      <c r="F395" s="24"/>
      <c r="G395" s="7"/>
      <c r="H395" s="7"/>
      <c r="I395" s="3"/>
      <c r="J395" s="3"/>
      <c r="K395" s="3"/>
    </row>
    <row r="396" spans="5:11" ht="15.75" customHeight="1" x14ac:dyDescent="0.2">
      <c r="E396" s="3"/>
      <c r="F396" s="24"/>
      <c r="G396" s="7"/>
      <c r="H396" s="7"/>
      <c r="I396" s="3"/>
      <c r="J396" s="3"/>
      <c r="K396" s="3"/>
    </row>
    <row r="397" spans="5:11" ht="15.75" customHeight="1" x14ac:dyDescent="0.2">
      <c r="E397" s="3"/>
      <c r="F397" s="24"/>
      <c r="G397" s="7"/>
      <c r="H397" s="7"/>
      <c r="I397" s="3"/>
      <c r="J397" s="3"/>
      <c r="K397" s="3"/>
    </row>
    <row r="398" spans="5:11" ht="15.75" customHeight="1" x14ac:dyDescent="0.2">
      <c r="E398" s="3"/>
      <c r="F398" s="24"/>
      <c r="G398" s="7"/>
      <c r="H398" s="7"/>
      <c r="I398" s="3"/>
      <c r="J398" s="3"/>
      <c r="K398" s="3"/>
    </row>
    <row r="399" spans="5:11" ht="15.75" customHeight="1" x14ac:dyDescent="0.2">
      <c r="E399" s="3"/>
      <c r="F399" s="24"/>
      <c r="G399" s="7"/>
      <c r="H399" s="7"/>
      <c r="I399" s="3"/>
      <c r="J399" s="3"/>
      <c r="K399" s="3"/>
    </row>
    <row r="400" spans="5:11" ht="15.75" customHeight="1" x14ac:dyDescent="0.2">
      <c r="E400" s="3"/>
      <c r="F400" s="24"/>
      <c r="G400" s="7"/>
      <c r="H400" s="7"/>
      <c r="I400" s="3"/>
      <c r="J400" s="3"/>
      <c r="K400" s="3"/>
    </row>
    <row r="401" spans="5:11" ht="15.75" customHeight="1" x14ac:dyDescent="0.2">
      <c r="E401" s="3"/>
      <c r="F401" s="24"/>
      <c r="G401" s="7"/>
      <c r="H401" s="7"/>
      <c r="I401" s="3"/>
      <c r="J401" s="3"/>
      <c r="K401" s="3"/>
    </row>
    <row r="402" spans="5:11" ht="15.75" customHeight="1" x14ac:dyDescent="0.2">
      <c r="E402" s="3"/>
      <c r="F402" s="24"/>
      <c r="G402" s="7"/>
      <c r="H402" s="7"/>
      <c r="I402" s="3"/>
      <c r="J402" s="3"/>
      <c r="K402" s="3"/>
    </row>
    <row r="403" spans="5:11" ht="15.75" customHeight="1" x14ac:dyDescent="0.2">
      <c r="E403" s="3"/>
      <c r="F403" s="24"/>
      <c r="G403" s="7"/>
      <c r="H403" s="7"/>
      <c r="I403" s="3"/>
      <c r="J403" s="3"/>
      <c r="K403" s="3"/>
    </row>
    <row r="404" spans="5:11" ht="15.75" customHeight="1" x14ac:dyDescent="0.2">
      <c r="E404" s="3"/>
      <c r="F404" s="24"/>
      <c r="G404" s="7"/>
      <c r="H404" s="7"/>
      <c r="I404" s="3"/>
      <c r="J404" s="3"/>
      <c r="K404" s="3"/>
    </row>
    <row r="405" spans="5:11" ht="15.75" customHeight="1" x14ac:dyDescent="0.2">
      <c r="E405" s="3"/>
      <c r="F405" s="24"/>
      <c r="G405" s="7"/>
      <c r="H405" s="7"/>
      <c r="I405" s="3"/>
      <c r="J405" s="3"/>
      <c r="K405" s="3"/>
    </row>
    <row r="406" spans="5:11" ht="15.75" customHeight="1" x14ac:dyDescent="0.2">
      <c r="E406" s="3"/>
      <c r="F406" s="24"/>
      <c r="G406" s="7"/>
      <c r="H406" s="7"/>
      <c r="I406" s="3"/>
      <c r="J406" s="3"/>
      <c r="K406" s="3"/>
    </row>
    <row r="407" spans="5:11" ht="15.75" customHeight="1" x14ac:dyDescent="0.2">
      <c r="E407" s="3"/>
      <c r="F407" s="24"/>
      <c r="G407" s="7"/>
      <c r="H407" s="7"/>
      <c r="I407" s="3"/>
      <c r="J407" s="3"/>
      <c r="K407" s="3"/>
    </row>
    <row r="408" spans="5:11" ht="15.75" customHeight="1" x14ac:dyDescent="0.2">
      <c r="E408" s="3"/>
      <c r="F408" s="24"/>
      <c r="G408" s="7"/>
      <c r="H408" s="7"/>
      <c r="I408" s="3"/>
      <c r="J408" s="3"/>
      <c r="K408" s="3"/>
    </row>
    <row r="409" spans="5:11" ht="15.75" customHeight="1" x14ac:dyDescent="0.2">
      <c r="E409" s="3"/>
      <c r="F409" s="24"/>
      <c r="G409" s="7"/>
      <c r="H409" s="7"/>
      <c r="I409" s="3"/>
      <c r="J409" s="3"/>
      <c r="K409" s="3"/>
    </row>
    <row r="410" spans="5:11" ht="15.75" customHeight="1" x14ac:dyDescent="0.2">
      <c r="E410" s="3"/>
      <c r="F410" s="24"/>
      <c r="G410" s="7"/>
      <c r="H410" s="7"/>
      <c r="I410" s="3"/>
      <c r="J410" s="3"/>
      <c r="K410" s="3"/>
    </row>
    <row r="411" spans="5:11" ht="15.75" customHeight="1" x14ac:dyDescent="0.2">
      <c r="E411" s="3"/>
      <c r="F411" s="24"/>
      <c r="G411" s="7"/>
      <c r="H411" s="7"/>
      <c r="I411" s="3"/>
      <c r="J411" s="3"/>
      <c r="K411" s="3"/>
    </row>
    <row r="412" spans="5:11" ht="15.75" customHeight="1" x14ac:dyDescent="0.2">
      <c r="E412" s="3"/>
      <c r="F412" s="24"/>
      <c r="G412" s="7"/>
      <c r="H412" s="7"/>
      <c r="I412" s="3"/>
      <c r="J412" s="3"/>
      <c r="K412" s="3"/>
    </row>
    <row r="413" spans="5:11" ht="15.75" customHeight="1" x14ac:dyDescent="0.2">
      <c r="E413" s="3"/>
      <c r="F413" s="24"/>
      <c r="G413" s="7"/>
      <c r="H413" s="7"/>
      <c r="I413" s="3"/>
      <c r="J413" s="3"/>
      <c r="K413" s="3"/>
    </row>
    <row r="414" spans="5:11" ht="15.75" customHeight="1" x14ac:dyDescent="0.2">
      <c r="E414" s="3"/>
      <c r="F414" s="24"/>
      <c r="G414" s="7"/>
      <c r="H414" s="7"/>
      <c r="I414" s="3"/>
      <c r="J414" s="3"/>
      <c r="K414" s="3"/>
    </row>
    <row r="415" spans="5:11" ht="15.75" customHeight="1" x14ac:dyDescent="0.2">
      <c r="E415" s="3"/>
      <c r="F415" s="24"/>
      <c r="G415" s="7"/>
      <c r="H415" s="7"/>
      <c r="I415" s="3"/>
      <c r="J415" s="3"/>
      <c r="K415" s="3"/>
    </row>
    <row r="416" spans="5:11" ht="15.75" customHeight="1" x14ac:dyDescent="0.2">
      <c r="E416" s="3"/>
      <c r="F416" s="24"/>
      <c r="G416" s="7"/>
      <c r="H416" s="7"/>
      <c r="I416" s="3"/>
      <c r="J416" s="3"/>
      <c r="K416" s="3"/>
    </row>
    <row r="417" spans="5:11" ht="15.75" customHeight="1" x14ac:dyDescent="0.2">
      <c r="E417" s="3"/>
      <c r="F417" s="24"/>
      <c r="G417" s="7"/>
      <c r="H417" s="7"/>
      <c r="I417" s="3"/>
      <c r="J417" s="3"/>
      <c r="K417" s="3"/>
    </row>
    <row r="418" spans="5:11" ht="15.75" customHeight="1" x14ac:dyDescent="0.2">
      <c r="E418" s="3"/>
      <c r="F418" s="24"/>
      <c r="G418" s="7"/>
      <c r="H418" s="7"/>
      <c r="I418" s="3"/>
      <c r="J418" s="3"/>
      <c r="K418" s="3"/>
    </row>
    <row r="419" spans="5:11" ht="15.75" customHeight="1" x14ac:dyDescent="0.2">
      <c r="E419" s="3"/>
      <c r="F419" s="24"/>
      <c r="G419" s="7"/>
      <c r="H419" s="7"/>
      <c r="I419" s="3"/>
      <c r="J419" s="3"/>
      <c r="K419" s="3"/>
    </row>
    <row r="420" spans="5:11" ht="15.75" customHeight="1" x14ac:dyDescent="0.2">
      <c r="E420" s="3"/>
      <c r="F420" s="24"/>
      <c r="G420" s="7"/>
      <c r="H420" s="7"/>
      <c r="I420" s="3"/>
      <c r="J420" s="3"/>
      <c r="K420" s="3"/>
    </row>
    <row r="421" spans="5:11" ht="15.75" customHeight="1" x14ac:dyDescent="0.2">
      <c r="E421" s="3"/>
      <c r="F421" s="24"/>
      <c r="G421" s="7"/>
      <c r="H421" s="7"/>
      <c r="I421" s="3"/>
      <c r="J421" s="3"/>
      <c r="K421" s="3"/>
    </row>
    <row r="422" spans="5:11" ht="15.75" customHeight="1" x14ac:dyDescent="0.2">
      <c r="E422" s="3"/>
      <c r="F422" s="24"/>
      <c r="G422" s="7"/>
      <c r="H422" s="7"/>
      <c r="I422" s="3"/>
      <c r="J422" s="3"/>
      <c r="K422" s="3"/>
    </row>
    <row r="423" spans="5:11" ht="15.75" customHeight="1" x14ac:dyDescent="0.2">
      <c r="E423" s="3"/>
      <c r="F423" s="24"/>
      <c r="G423" s="7"/>
      <c r="H423" s="7"/>
      <c r="I423" s="3"/>
      <c r="J423" s="3"/>
      <c r="K423" s="3"/>
    </row>
    <row r="424" spans="5:11" ht="15.75" customHeight="1" x14ac:dyDescent="0.2">
      <c r="E424" s="3"/>
      <c r="F424" s="24"/>
      <c r="G424" s="7"/>
      <c r="H424" s="7"/>
      <c r="I424" s="3"/>
      <c r="J424" s="3"/>
      <c r="K424" s="3"/>
    </row>
    <row r="425" spans="5:11" ht="15.75" customHeight="1" x14ac:dyDescent="0.2">
      <c r="E425" s="3"/>
      <c r="F425" s="24"/>
      <c r="G425" s="7"/>
      <c r="H425" s="7"/>
      <c r="I425" s="3"/>
      <c r="J425" s="3"/>
      <c r="K425" s="3"/>
    </row>
    <row r="426" spans="5:11" ht="15.75" customHeight="1" x14ac:dyDescent="0.2">
      <c r="E426" s="3"/>
      <c r="F426" s="24"/>
      <c r="G426" s="7"/>
      <c r="H426" s="7"/>
      <c r="I426" s="3"/>
      <c r="J426" s="3"/>
      <c r="K426" s="3"/>
    </row>
    <row r="427" spans="5:11" ht="15.75" customHeight="1" x14ac:dyDescent="0.2">
      <c r="E427" s="3"/>
      <c r="F427" s="24"/>
      <c r="G427" s="7"/>
      <c r="H427" s="7"/>
      <c r="I427" s="3"/>
      <c r="J427" s="3"/>
      <c r="K427" s="3"/>
    </row>
    <row r="428" spans="5:11" ht="15.75" customHeight="1" x14ac:dyDescent="0.2">
      <c r="E428" s="3"/>
      <c r="F428" s="24"/>
      <c r="G428" s="7"/>
      <c r="H428" s="7"/>
      <c r="I428" s="3"/>
      <c r="J428" s="3"/>
      <c r="K428" s="3"/>
    </row>
    <row r="429" spans="5:11" ht="15.75" customHeight="1" x14ac:dyDescent="0.2">
      <c r="E429" s="3"/>
      <c r="F429" s="24"/>
      <c r="G429" s="7"/>
      <c r="H429" s="7"/>
      <c r="I429" s="3"/>
      <c r="J429" s="3"/>
      <c r="K429" s="3"/>
    </row>
    <row r="430" spans="5:11" ht="15.75" customHeight="1" x14ac:dyDescent="0.2">
      <c r="E430" s="3"/>
      <c r="F430" s="24"/>
      <c r="G430" s="7"/>
      <c r="H430" s="7"/>
      <c r="I430" s="3"/>
      <c r="J430" s="3"/>
      <c r="K430" s="3"/>
    </row>
    <row r="431" spans="5:11" ht="15.75" customHeight="1" x14ac:dyDescent="0.2">
      <c r="E431" s="3"/>
      <c r="F431" s="24"/>
      <c r="G431" s="7"/>
      <c r="H431" s="7"/>
      <c r="I431" s="3"/>
      <c r="J431" s="3"/>
      <c r="K431" s="3"/>
    </row>
    <row r="432" spans="5:11" ht="15.75" customHeight="1" x14ac:dyDescent="0.2">
      <c r="E432" s="3"/>
      <c r="F432" s="24"/>
      <c r="G432" s="7"/>
      <c r="H432" s="7"/>
      <c r="I432" s="3"/>
      <c r="J432" s="3"/>
      <c r="K432" s="3"/>
    </row>
    <row r="433" spans="5:11" ht="15.75" customHeight="1" x14ac:dyDescent="0.2">
      <c r="E433" s="3"/>
      <c r="F433" s="24"/>
      <c r="G433" s="7"/>
      <c r="H433" s="7"/>
      <c r="I433" s="3"/>
      <c r="J433" s="3"/>
      <c r="K433" s="3"/>
    </row>
    <row r="434" spans="5:11" ht="15.75" customHeight="1" x14ac:dyDescent="0.2">
      <c r="E434" s="3"/>
      <c r="F434" s="24"/>
      <c r="G434" s="7"/>
      <c r="H434" s="7"/>
      <c r="I434" s="3"/>
      <c r="J434" s="3"/>
      <c r="K434" s="3"/>
    </row>
    <row r="435" spans="5:11" ht="15.75" customHeight="1" x14ac:dyDescent="0.2">
      <c r="E435" s="3"/>
      <c r="F435" s="24"/>
      <c r="G435" s="7"/>
      <c r="H435" s="7"/>
      <c r="I435" s="3"/>
      <c r="J435" s="3"/>
      <c r="K435" s="3"/>
    </row>
    <row r="436" spans="5:11" ht="15.75" customHeight="1" x14ac:dyDescent="0.2">
      <c r="E436" s="3"/>
      <c r="F436" s="24"/>
      <c r="G436" s="7"/>
      <c r="H436" s="7"/>
      <c r="I436" s="3"/>
      <c r="J436" s="3"/>
      <c r="K436" s="3"/>
    </row>
    <row r="437" spans="5:11" ht="15.75" customHeight="1" x14ac:dyDescent="0.2">
      <c r="E437" s="3"/>
      <c r="F437" s="24"/>
      <c r="G437" s="7"/>
      <c r="H437" s="7"/>
      <c r="I437" s="3"/>
      <c r="J437" s="3"/>
      <c r="K437" s="3"/>
    </row>
    <row r="438" spans="5:11" ht="15.75" customHeight="1" x14ac:dyDescent="0.2">
      <c r="E438" s="3"/>
      <c r="F438" s="24"/>
      <c r="G438" s="7"/>
      <c r="H438" s="7"/>
      <c r="I438" s="3"/>
      <c r="J438" s="3"/>
      <c r="K438" s="3"/>
    </row>
    <row r="439" spans="5:11" ht="15.75" customHeight="1" x14ac:dyDescent="0.2">
      <c r="E439" s="3"/>
      <c r="F439" s="24"/>
      <c r="G439" s="7"/>
      <c r="H439" s="7"/>
      <c r="I439" s="3"/>
      <c r="J439" s="3"/>
      <c r="K439" s="3"/>
    </row>
    <row r="440" spans="5:11" ht="15.75" customHeight="1" x14ac:dyDescent="0.2">
      <c r="E440" s="3"/>
      <c r="F440" s="24"/>
      <c r="G440" s="7"/>
      <c r="H440" s="7"/>
      <c r="I440" s="3"/>
      <c r="J440" s="3"/>
      <c r="K440" s="3"/>
    </row>
    <row r="441" spans="5:11" ht="15.75" customHeight="1" x14ac:dyDescent="0.2">
      <c r="E441" s="3"/>
      <c r="F441" s="24"/>
      <c r="G441" s="7"/>
      <c r="H441" s="7"/>
      <c r="I441" s="3"/>
      <c r="J441" s="3"/>
      <c r="K441" s="3"/>
    </row>
    <row r="442" spans="5:11" ht="15.75" customHeight="1" x14ac:dyDescent="0.2">
      <c r="E442" s="3"/>
      <c r="F442" s="24"/>
      <c r="G442" s="7"/>
      <c r="H442" s="7"/>
      <c r="I442" s="3"/>
      <c r="J442" s="3"/>
      <c r="K442" s="3"/>
    </row>
    <row r="443" spans="5:11" ht="15.75" customHeight="1" x14ac:dyDescent="0.2">
      <c r="E443" s="3"/>
      <c r="F443" s="24"/>
      <c r="G443" s="7"/>
      <c r="H443" s="7"/>
      <c r="I443" s="3"/>
      <c r="J443" s="3"/>
      <c r="K443" s="3"/>
    </row>
    <row r="444" spans="5:11" ht="15.75" customHeight="1" x14ac:dyDescent="0.2">
      <c r="E444" s="3"/>
      <c r="F444" s="24"/>
      <c r="G444" s="7"/>
      <c r="H444" s="7"/>
      <c r="I444" s="3"/>
      <c r="J444" s="3"/>
      <c r="K444" s="3"/>
    </row>
    <row r="445" spans="5:11" ht="15.75" customHeight="1" x14ac:dyDescent="0.2">
      <c r="E445" s="3"/>
      <c r="F445" s="24"/>
      <c r="G445" s="7"/>
      <c r="H445" s="7"/>
      <c r="I445" s="3"/>
      <c r="J445" s="3"/>
      <c r="K445" s="3"/>
    </row>
    <row r="446" spans="5:11" ht="15.75" customHeight="1" x14ac:dyDescent="0.2">
      <c r="E446" s="3"/>
      <c r="F446" s="24"/>
      <c r="G446" s="7"/>
      <c r="H446" s="7"/>
      <c r="I446" s="3"/>
      <c r="J446" s="3"/>
      <c r="K446" s="3"/>
    </row>
    <row r="447" spans="5:11" ht="15.75" customHeight="1" x14ac:dyDescent="0.2">
      <c r="E447" s="3"/>
      <c r="F447" s="24"/>
      <c r="G447" s="7"/>
      <c r="H447" s="7"/>
      <c r="I447" s="3"/>
      <c r="J447" s="3"/>
      <c r="K447" s="3"/>
    </row>
    <row r="448" spans="5:11" ht="15.75" customHeight="1" x14ac:dyDescent="0.2">
      <c r="E448" s="3"/>
      <c r="F448" s="24"/>
      <c r="G448" s="7"/>
      <c r="H448" s="7"/>
      <c r="I448" s="3"/>
      <c r="J448" s="3"/>
      <c r="K448" s="3"/>
    </row>
    <row r="449" spans="5:11" ht="15.75" customHeight="1" x14ac:dyDescent="0.2">
      <c r="E449" s="3"/>
      <c r="F449" s="24"/>
      <c r="G449" s="7"/>
      <c r="H449" s="7"/>
      <c r="I449" s="3"/>
      <c r="J449" s="3"/>
      <c r="K449" s="3"/>
    </row>
    <row r="450" spans="5:11" ht="15.75" customHeight="1" x14ac:dyDescent="0.2">
      <c r="E450" s="3"/>
      <c r="F450" s="24"/>
      <c r="G450" s="7"/>
      <c r="H450" s="7"/>
      <c r="I450" s="3"/>
      <c r="J450" s="3"/>
      <c r="K450" s="3"/>
    </row>
    <row r="451" spans="5:11" ht="15.75" customHeight="1" x14ac:dyDescent="0.2">
      <c r="E451" s="3"/>
      <c r="F451" s="24"/>
      <c r="G451" s="7"/>
      <c r="H451" s="7"/>
      <c r="I451" s="3"/>
      <c r="J451" s="3"/>
      <c r="K451" s="3"/>
    </row>
    <row r="452" spans="5:11" ht="15.75" customHeight="1" x14ac:dyDescent="0.2">
      <c r="E452" s="3"/>
      <c r="F452" s="24"/>
      <c r="G452" s="7"/>
      <c r="H452" s="7"/>
      <c r="I452" s="3"/>
      <c r="J452" s="3"/>
      <c r="K452" s="3"/>
    </row>
    <row r="453" spans="5:11" ht="15.75" customHeight="1" x14ac:dyDescent="0.2">
      <c r="E453" s="3"/>
      <c r="F453" s="24"/>
      <c r="G453" s="7"/>
      <c r="H453" s="7"/>
      <c r="I453" s="3"/>
      <c r="J453" s="3"/>
      <c r="K453" s="3"/>
    </row>
    <row r="454" spans="5:11" ht="15.75" customHeight="1" x14ac:dyDescent="0.2">
      <c r="E454" s="3"/>
      <c r="F454" s="24"/>
      <c r="G454" s="7"/>
      <c r="H454" s="7"/>
      <c r="I454" s="3"/>
      <c r="J454" s="3"/>
      <c r="K454" s="3"/>
    </row>
    <row r="455" spans="5:11" ht="15.75" customHeight="1" x14ac:dyDescent="0.2">
      <c r="E455" s="3"/>
      <c r="F455" s="24"/>
      <c r="G455" s="7"/>
      <c r="H455" s="7"/>
      <c r="I455" s="3"/>
      <c r="J455" s="3"/>
      <c r="K455" s="3"/>
    </row>
    <row r="456" spans="5:11" ht="15.75" customHeight="1" x14ac:dyDescent="0.2">
      <c r="E456" s="3"/>
      <c r="F456" s="24"/>
      <c r="G456" s="7"/>
      <c r="H456" s="7"/>
      <c r="I456" s="3"/>
      <c r="J456" s="3"/>
      <c r="K456" s="3"/>
    </row>
    <row r="457" spans="5:11" ht="15.75" customHeight="1" x14ac:dyDescent="0.2">
      <c r="E457" s="3"/>
      <c r="F457" s="24"/>
      <c r="G457" s="7"/>
      <c r="H457" s="7"/>
      <c r="I457" s="3"/>
      <c r="J457" s="3"/>
      <c r="K457" s="3"/>
    </row>
    <row r="458" spans="5:11" ht="15.75" customHeight="1" x14ac:dyDescent="0.2">
      <c r="E458" s="3"/>
      <c r="F458" s="24"/>
      <c r="G458" s="7"/>
      <c r="H458" s="7"/>
      <c r="I458" s="3"/>
      <c r="J458" s="3"/>
      <c r="K458" s="3"/>
    </row>
    <row r="459" spans="5:11" ht="15.75" customHeight="1" x14ac:dyDescent="0.2">
      <c r="E459" s="3"/>
      <c r="F459" s="24"/>
      <c r="G459" s="7"/>
      <c r="H459" s="7"/>
      <c r="I459" s="3"/>
      <c r="J459" s="3"/>
      <c r="K459" s="3"/>
    </row>
    <row r="460" spans="5:11" ht="15.75" customHeight="1" x14ac:dyDescent="0.2">
      <c r="E460" s="3"/>
      <c r="F460" s="24"/>
      <c r="G460" s="7"/>
      <c r="H460" s="7"/>
      <c r="I460" s="3"/>
      <c r="J460" s="3"/>
      <c r="K460" s="3"/>
    </row>
    <row r="461" spans="5:11" ht="15.75" customHeight="1" x14ac:dyDescent="0.2">
      <c r="E461" s="3"/>
      <c r="F461" s="24"/>
      <c r="G461" s="7"/>
      <c r="H461" s="7"/>
      <c r="I461" s="3"/>
      <c r="J461" s="3"/>
      <c r="K461" s="3"/>
    </row>
    <row r="462" spans="5:11" ht="15.75" customHeight="1" x14ac:dyDescent="0.2">
      <c r="E462" s="3"/>
      <c r="F462" s="24"/>
      <c r="G462" s="7"/>
      <c r="H462" s="7"/>
      <c r="I462" s="3"/>
      <c r="J462" s="3"/>
      <c r="K462" s="3"/>
    </row>
    <row r="463" spans="5:11" ht="15.75" customHeight="1" x14ac:dyDescent="0.2">
      <c r="E463" s="3"/>
      <c r="F463" s="24"/>
      <c r="G463" s="7"/>
      <c r="H463" s="7"/>
      <c r="I463" s="3"/>
      <c r="J463" s="3"/>
      <c r="K463" s="3"/>
    </row>
    <row r="464" spans="5:11" ht="15.75" customHeight="1" x14ac:dyDescent="0.2">
      <c r="E464" s="3"/>
      <c r="F464" s="24"/>
      <c r="G464" s="7"/>
      <c r="H464" s="7"/>
      <c r="I464" s="3"/>
      <c r="J464" s="3"/>
      <c r="K464" s="3"/>
    </row>
    <row r="465" spans="5:11" ht="15.75" customHeight="1" x14ac:dyDescent="0.2">
      <c r="E465" s="3"/>
      <c r="F465" s="24"/>
      <c r="G465" s="7"/>
      <c r="H465" s="7"/>
      <c r="I465" s="3"/>
      <c r="J465" s="3"/>
      <c r="K465" s="3"/>
    </row>
    <row r="466" spans="5:11" ht="15.75" customHeight="1" x14ac:dyDescent="0.2">
      <c r="E466" s="3"/>
      <c r="F466" s="24"/>
      <c r="G466" s="7"/>
      <c r="H466" s="7"/>
      <c r="I466" s="3"/>
      <c r="J466" s="3"/>
      <c r="K466" s="3"/>
    </row>
    <row r="467" spans="5:11" ht="15.75" customHeight="1" x14ac:dyDescent="0.2">
      <c r="E467" s="3"/>
      <c r="F467" s="24"/>
      <c r="G467" s="7"/>
      <c r="H467" s="7"/>
      <c r="I467" s="3"/>
      <c r="J467" s="3"/>
      <c r="K467" s="3"/>
    </row>
    <row r="468" spans="5:11" ht="15.75" customHeight="1" x14ac:dyDescent="0.2">
      <c r="E468" s="3"/>
      <c r="F468" s="24"/>
      <c r="G468" s="7"/>
      <c r="H468" s="7"/>
      <c r="I468" s="3"/>
      <c r="J468" s="3"/>
      <c r="K468" s="3"/>
    </row>
    <row r="469" spans="5:11" ht="15.75" customHeight="1" x14ac:dyDescent="0.2">
      <c r="E469" s="3"/>
      <c r="F469" s="24"/>
      <c r="G469" s="7"/>
      <c r="H469" s="7"/>
      <c r="I469" s="3"/>
      <c r="J469" s="3"/>
      <c r="K469" s="3"/>
    </row>
    <row r="470" spans="5:11" ht="15.75" customHeight="1" x14ac:dyDescent="0.2">
      <c r="E470" s="3"/>
      <c r="F470" s="24"/>
      <c r="G470" s="7"/>
      <c r="H470" s="7"/>
      <c r="I470" s="3"/>
      <c r="J470" s="3"/>
      <c r="K470" s="3"/>
    </row>
    <row r="471" spans="5:11" ht="15.75" customHeight="1" x14ac:dyDescent="0.2">
      <c r="E471" s="3"/>
      <c r="F471" s="24"/>
      <c r="G471" s="7"/>
      <c r="H471" s="7"/>
      <c r="I471" s="3"/>
      <c r="J471" s="3"/>
      <c r="K471" s="3"/>
    </row>
    <row r="472" spans="5:11" ht="15.75" customHeight="1" x14ac:dyDescent="0.2">
      <c r="E472" s="3"/>
      <c r="F472" s="24"/>
      <c r="G472" s="7"/>
      <c r="H472" s="7"/>
      <c r="I472" s="3"/>
      <c r="J472" s="3"/>
      <c r="K472" s="3"/>
    </row>
    <row r="473" spans="5:11" ht="15.75" customHeight="1" x14ac:dyDescent="0.2">
      <c r="E473" s="3"/>
      <c r="F473" s="24"/>
      <c r="G473" s="7"/>
      <c r="H473" s="7"/>
      <c r="I473" s="3"/>
      <c r="J473" s="3"/>
      <c r="K473" s="3"/>
    </row>
    <row r="474" spans="5:11" ht="15.75" customHeight="1" x14ac:dyDescent="0.2">
      <c r="E474" s="3"/>
      <c r="F474" s="24"/>
      <c r="G474" s="7"/>
      <c r="H474" s="7"/>
      <c r="I474" s="3"/>
      <c r="J474" s="3"/>
      <c r="K474" s="3"/>
    </row>
    <row r="475" spans="5:11" ht="15.75" customHeight="1" x14ac:dyDescent="0.2">
      <c r="E475" s="3"/>
      <c r="F475" s="24"/>
      <c r="G475" s="7"/>
      <c r="H475" s="7"/>
      <c r="I475" s="3"/>
      <c r="J475" s="3"/>
      <c r="K475" s="3"/>
    </row>
    <row r="476" spans="5:11" ht="15.75" customHeight="1" x14ac:dyDescent="0.2">
      <c r="E476" s="3"/>
      <c r="F476" s="24"/>
      <c r="G476" s="7"/>
      <c r="H476" s="7"/>
      <c r="I476" s="3"/>
      <c r="J476" s="3"/>
      <c r="K476" s="3"/>
    </row>
    <row r="477" spans="5:11" ht="15.75" customHeight="1" x14ac:dyDescent="0.2">
      <c r="E477" s="3"/>
      <c r="F477" s="24"/>
      <c r="G477" s="7"/>
      <c r="H477" s="7"/>
      <c r="I477" s="3"/>
      <c r="J477" s="3"/>
      <c r="K477" s="3"/>
    </row>
    <row r="478" spans="5:11" ht="15.75" customHeight="1" x14ac:dyDescent="0.2">
      <c r="E478" s="3"/>
      <c r="F478" s="24"/>
      <c r="G478" s="7"/>
      <c r="H478" s="7"/>
      <c r="I478" s="3"/>
      <c r="J478" s="3"/>
      <c r="K478" s="3"/>
    </row>
    <row r="479" spans="5:11" ht="15.75" customHeight="1" x14ac:dyDescent="0.2">
      <c r="E479" s="3"/>
      <c r="F479" s="24"/>
      <c r="G479" s="7"/>
      <c r="H479" s="7"/>
      <c r="I479" s="3"/>
      <c r="J479" s="3"/>
      <c r="K479" s="3"/>
    </row>
    <row r="480" spans="5:11" ht="15.75" customHeight="1" x14ac:dyDescent="0.2">
      <c r="E480" s="3"/>
      <c r="F480" s="24"/>
      <c r="G480" s="7"/>
      <c r="H480" s="7"/>
      <c r="I480" s="3"/>
      <c r="J480" s="3"/>
      <c r="K480" s="3"/>
    </row>
    <row r="481" spans="5:11" ht="15.75" customHeight="1" x14ac:dyDescent="0.2">
      <c r="E481" s="3"/>
      <c r="F481" s="24"/>
      <c r="G481" s="7"/>
      <c r="H481" s="7"/>
      <c r="I481" s="3"/>
      <c r="J481" s="3"/>
      <c r="K481" s="3"/>
    </row>
    <row r="482" spans="5:11" ht="15.75" customHeight="1" x14ac:dyDescent="0.2">
      <c r="E482" s="3"/>
      <c r="F482" s="24"/>
      <c r="G482" s="7"/>
      <c r="H482" s="7"/>
      <c r="I482" s="3"/>
      <c r="J482" s="3"/>
      <c r="K482" s="3"/>
    </row>
    <row r="483" spans="5:11" ht="15.75" customHeight="1" x14ac:dyDescent="0.2">
      <c r="E483" s="3"/>
      <c r="F483" s="24"/>
      <c r="G483" s="7"/>
      <c r="H483" s="7"/>
      <c r="I483" s="3"/>
      <c r="J483" s="3"/>
      <c r="K483" s="3"/>
    </row>
    <row r="484" spans="5:11" ht="15.75" customHeight="1" x14ac:dyDescent="0.2">
      <c r="E484" s="3"/>
      <c r="F484" s="24"/>
      <c r="G484" s="7"/>
      <c r="H484" s="7"/>
      <c r="I484" s="3"/>
      <c r="J484" s="3"/>
      <c r="K484" s="3"/>
    </row>
    <row r="485" spans="5:11" ht="15.75" customHeight="1" x14ac:dyDescent="0.2">
      <c r="E485" s="3"/>
      <c r="F485" s="24"/>
      <c r="G485" s="7"/>
      <c r="H485" s="7"/>
      <c r="I485" s="3"/>
      <c r="J485" s="3"/>
      <c r="K485" s="3"/>
    </row>
    <row r="486" spans="5:11" ht="15.75" customHeight="1" x14ac:dyDescent="0.2">
      <c r="E486" s="3"/>
      <c r="F486" s="24"/>
      <c r="G486" s="7"/>
      <c r="H486" s="7"/>
      <c r="I486" s="3"/>
      <c r="J486" s="3"/>
      <c r="K486" s="3"/>
    </row>
    <row r="487" spans="5:11" ht="15.75" customHeight="1" x14ac:dyDescent="0.2">
      <c r="E487" s="3"/>
      <c r="F487" s="24"/>
      <c r="G487" s="7"/>
      <c r="H487" s="7"/>
      <c r="I487" s="3"/>
      <c r="J487" s="3"/>
      <c r="K487" s="3"/>
    </row>
    <row r="488" spans="5:11" ht="15.75" customHeight="1" x14ac:dyDescent="0.2">
      <c r="E488" s="3"/>
      <c r="F488" s="24"/>
      <c r="G488" s="7"/>
      <c r="H488" s="7"/>
      <c r="I488" s="3"/>
      <c r="J488" s="3"/>
      <c r="K488" s="3"/>
    </row>
    <row r="489" spans="5:11" ht="15.75" customHeight="1" x14ac:dyDescent="0.2">
      <c r="E489" s="3"/>
      <c r="F489" s="24"/>
      <c r="G489" s="7"/>
      <c r="H489" s="7"/>
      <c r="I489" s="3"/>
      <c r="J489" s="3"/>
      <c r="K489" s="3"/>
    </row>
    <row r="490" spans="5:11" ht="15.75" customHeight="1" x14ac:dyDescent="0.2">
      <c r="E490" s="3"/>
      <c r="F490" s="24"/>
      <c r="G490" s="7"/>
      <c r="H490" s="7"/>
      <c r="I490" s="3"/>
      <c r="J490" s="3"/>
      <c r="K490" s="3"/>
    </row>
    <row r="491" spans="5:11" ht="15.75" customHeight="1" x14ac:dyDescent="0.2">
      <c r="E491" s="3"/>
      <c r="F491" s="24"/>
      <c r="G491" s="7"/>
      <c r="H491" s="7"/>
      <c r="I491" s="3"/>
      <c r="J491" s="3"/>
      <c r="K491" s="3"/>
    </row>
    <row r="492" spans="5:11" ht="15.75" customHeight="1" x14ac:dyDescent="0.2">
      <c r="E492" s="3"/>
      <c r="F492" s="24"/>
      <c r="G492" s="7"/>
      <c r="H492" s="7"/>
      <c r="I492" s="3"/>
      <c r="J492" s="3"/>
      <c r="K492" s="3"/>
    </row>
    <row r="493" spans="5:11" ht="15.75" customHeight="1" x14ac:dyDescent="0.2">
      <c r="E493" s="3"/>
      <c r="F493" s="24"/>
      <c r="G493" s="7"/>
      <c r="H493" s="7"/>
      <c r="I493" s="3"/>
      <c r="J493" s="3"/>
      <c r="K493" s="3"/>
    </row>
    <row r="494" spans="5:11" ht="15.75" customHeight="1" x14ac:dyDescent="0.2">
      <c r="E494" s="3"/>
      <c r="F494" s="24"/>
      <c r="G494" s="7"/>
      <c r="H494" s="7"/>
      <c r="I494" s="3"/>
      <c r="J494" s="3"/>
      <c r="K494" s="3"/>
    </row>
    <row r="495" spans="5:11" ht="15.75" customHeight="1" x14ac:dyDescent="0.2">
      <c r="E495" s="3"/>
      <c r="F495" s="24"/>
      <c r="G495" s="7"/>
      <c r="H495" s="7"/>
      <c r="I495" s="3"/>
      <c r="J495" s="3"/>
      <c r="K495" s="3"/>
    </row>
    <row r="496" spans="5:11" ht="15.75" customHeight="1" x14ac:dyDescent="0.2">
      <c r="E496" s="3"/>
      <c r="F496" s="24"/>
      <c r="G496" s="7"/>
      <c r="H496" s="7"/>
      <c r="I496" s="3"/>
      <c r="J496" s="3"/>
      <c r="K496" s="3"/>
    </row>
    <row r="497" spans="5:11" ht="15.75" customHeight="1" x14ac:dyDescent="0.2">
      <c r="E497" s="3"/>
      <c r="F497" s="24"/>
      <c r="G497" s="7"/>
      <c r="H497" s="7"/>
      <c r="I497" s="3"/>
      <c r="J497" s="3"/>
      <c r="K497" s="3"/>
    </row>
    <row r="498" spans="5:11" ht="15.75" customHeight="1" x14ac:dyDescent="0.2">
      <c r="E498" s="3"/>
      <c r="F498" s="24"/>
      <c r="G498" s="7"/>
      <c r="H498" s="7"/>
      <c r="I498" s="3"/>
      <c r="J498" s="3"/>
      <c r="K498" s="3"/>
    </row>
    <row r="499" spans="5:11" ht="15.75" customHeight="1" x14ac:dyDescent="0.2">
      <c r="E499" s="3"/>
      <c r="F499" s="24"/>
      <c r="G499" s="7"/>
      <c r="H499" s="7"/>
      <c r="I499" s="3"/>
      <c r="J499" s="3"/>
      <c r="K499" s="3"/>
    </row>
    <row r="500" spans="5:11" ht="15.75" customHeight="1" x14ac:dyDescent="0.2">
      <c r="E500" s="3"/>
      <c r="F500" s="24"/>
      <c r="G500" s="7"/>
      <c r="H500" s="7"/>
      <c r="I500" s="3"/>
      <c r="J500" s="3"/>
      <c r="K500" s="3"/>
    </row>
    <row r="501" spans="5:11" ht="15.75" customHeight="1" x14ac:dyDescent="0.2">
      <c r="E501" s="3"/>
      <c r="F501" s="24"/>
      <c r="G501" s="7"/>
      <c r="H501" s="7"/>
      <c r="I501" s="3"/>
      <c r="J501" s="3"/>
      <c r="K501" s="3"/>
    </row>
    <row r="502" spans="5:11" ht="15.75" customHeight="1" x14ac:dyDescent="0.2">
      <c r="E502" s="3"/>
      <c r="F502" s="24"/>
      <c r="G502" s="7"/>
      <c r="H502" s="7"/>
      <c r="I502" s="3"/>
      <c r="J502" s="3"/>
      <c r="K502" s="3"/>
    </row>
    <row r="503" spans="5:11" ht="15.75" customHeight="1" x14ac:dyDescent="0.2">
      <c r="E503" s="3"/>
      <c r="F503" s="24"/>
      <c r="G503" s="7"/>
      <c r="H503" s="7"/>
      <c r="I503" s="3"/>
      <c r="J503" s="3"/>
      <c r="K503" s="3"/>
    </row>
    <row r="504" spans="5:11" ht="15.75" customHeight="1" x14ac:dyDescent="0.2">
      <c r="E504" s="3"/>
      <c r="F504" s="24"/>
      <c r="G504" s="7"/>
      <c r="H504" s="7"/>
      <c r="I504" s="3"/>
      <c r="J504" s="3"/>
      <c r="K504" s="3"/>
    </row>
    <row r="505" spans="5:11" ht="15.75" customHeight="1" x14ac:dyDescent="0.2">
      <c r="E505" s="3"/>
      <c r="F505" s="24"/>
      <c r="G505" s="7"/>
      <c r="H505" s="7"/>
      <c r="I505" s="3"/>
      <c r="J505" s="3"/>
      <c r="K505" s="3"/>
    </row>
    <row r="506" spans="5:11" ht="15.75" customHeight="1" x14ac:dyDescent="0.2">
      <c r="E506" s="3"/>
      <c r="F506" s="24"/>
      <c r="G506" s="7"/>
      <c r="H506" s="7"/>
      <c r="I506" s="3"/>
      <c r="J506" s="3"/>
      <c r="K506" s="3"/>
    </row>
    <row r="507" spans="5:11" ht="15.75" customHeight="1" x14ac:dyDescent="0.2">
      <c r="E507" s="3"/>
      <c r="F507" s="24"/>
      <c r="G507" s="7"/>
      <c r="H507" s="7"/>
      <c r="I507" s="3"/>
      <c r="J507" s="3"/>
      <c r="K507" s="3"/>
    </row>
    <row r="508" spans="5:11" ht="15.75" customHeight="1" x14ac:dyDescent="0.2">
      <c r="E508" s="3"/>
      <c r="F508" s="24"/>
      <c r="G508" s="7"/>
      <c r="H508" s="7"/>
      <c r="I508" s="3"/>
      <c r="J508" s="3"/>
      <c r="K508" s="3"/>
    </row>
    <row r="509" spans="5:11" ht="15.75" customHeight="1" x14ac:dyDescent="0.2">
      <c r="E509" s="3"/>
      <c r="F509" s="24"/>
      <c r="G509" s="7"/>
      <c r="H509" s="7"/>
      <c r="I509" s="3"/>
      <c r="J509" s="3"/>
      <c r="K509" s="3"/>
    </row>
    <row r="510" spans="5:11" ht="15.75" customHeight="1" x14ac:dyDescent="0.2">
      <c r="E510" s="3"/>
      <c r="F510" s="24"/>
      <c r="G510" s="7"/>
      <c r="H510" s="7"/>
      <c r="I510" s="3"/>
      <c r="J510" s="3"/>
      <c r="K510" s="3"/>
    </row>
    <row r="511" spans="5:11" ht="15.75" customHeight="1" x14ac:dyDescent="0.2">
      <c r="E511" s="3"/>
      <c r="F511" s="24"/>
      <c r="G511" s="7"/>
      <c r="H511" s="7"/>
      <c r="I511" s="3"/>
      <c r="J511" s="3"/>
      <c r="K511" s="3"/>
    </row>
    <row r="512" spans="5:11" ht="15.75" customHeight="1" x14ac:dyDescent="0.2">
      <c r="E512" s="3"/>
      <c r="F512" s="24"/>
      <c r="G512" s="7"/>
      <c r="H512" s="7"/>
      <c r="I512" s="3"/>
      <c r="J512" s="3"/>
      <c r="K512" s="3"/>
    </row>
    <row r="513" spans="5:11" ht="15.75" customHeight="1" x14ac:dyDescent="0.2">
      <c r="E513" s="3"/>
      <c r="F513" s="24"/>
      <c r="G513" s="7"/>
      <c r="H513" s="7"/>
      <c r="I513" s="3"/>
      <c r="J513" s="3"/>
      <c r="K513" s="3"/>
    </row>
    <row r="514" spans="5:11" ht="15.75" customHeight="1" x14ac:dyDescent="0.2">
      <c r="E514" s="3"/>
      <c r="F514" s="24"/>
      <c r="G514" s="7"/>
      <c r="H514" s="7"/>
      <c r="I514" s="3"/>
      <c r="J514" s="3"/>
      <c r="K514" s="3"/>
    </row>
    <row r="515" spans="5:11" ht="15.75" customHeight="1" x14ac:dyDescent="0.2">
      <c r="E515" s="3"/>
      <c r="F515" s="24"/>
      <c r="G515" s="7"/>
      <c r="H515" s="7"/>
      <c r="I515" s="3"/>
      <c r="J515" s="3"/>
      <c r="K515" s="3"/>
    </row>
    <row r="516" spans="5:11" ht="15.75" customHeight="1" x14ac:dyDescent="0.2">
      <c r="E516" s="3"/>
      <c r="F516" s="24"/>
      <c r="G516" s="7"/>
      <c r="H516" s="7"/>
      <c r="I516" s="3"/>
      <c r="J516" s="3"/>
      <c r="K516" s="3"/>
    </row>
    <row r="517" spans="5:11" ht="15.75" customHeight="1" x14ac:dyDescent="0.2">
      <c r="E517" s="3"/>
      <c r="F517" s="24"/>
      <c r="G517" s="7"/>
      <c r="H517" s="7"/>
      <c r="I517" s="3"/>
      <c r="J517" s="3"/>
      <c r="K517" s="3"/>
    </row>
    <row r="518" spans="5:11" ht="15.75" customHeight="1" x14ac:dyDescent="0.2">
      <c r="E518" s="3"/>
      <c r="F518" s="24"/>
      <c r="G518" s="7"/>
      <c r="H518" s="7"/>
      <c r="I518" s="3"/>
      <c r="J518" s="3"/>
      <c r="K518" s="3"/>
    </row>
    <row r="519" spans="5:11" ht="15.75" customHeight="1" x14ac:dyDescent="0.2">
      <c r="E519" s="3"/>
      <c r="F519" s="24"/>
      <c r="G519" s="7"/>
      <c r="H519" s="7"/>
      <c r="I519" s="3"/>
      <c r="J519" s="3"/>
      <c r="K519" s="3"/>
    </row>
    <row r="520" spans="5:11" ht="15.75" customHeight="1" x14ac:dyDescent="0.2">
      <c r="E520" s="3"/>
      <c r="F520" s="24"/>
      <c r="G520" s="7"/>
      <c r="H520" s="7"/>
      <c r="I520" s="3"/>
      <c r="J520" s="3"/>
      <c r="K520" s="3"/>
    </row>
    <row r="521" spans="5:11" ht="15.75" customHeight="1" x14ac:dyDescent="0.2">
      <c r="E521" s="3"/>
      <c r="F521" s="24"/>
      <c r="G521" s="7"/>
      <c r="H521" s="7"/>
      <c r="I521" s="3"/>
      <c r="J521" s="3"/>
      <c r="K521" s="3"/>
    </row>
    <row r="522" spans="5:11" ht="15.75" customHeight="1" x14ac:dyDescent="0.2">
      <c r="E522" s="3"/>
      <c r="F522" s="24"/>
      <c r="G522" s="7"/>
      <c r="H522" s="7"/>
      <c r="I522" s="3"/>
      <c r="J522" s="3"/>
      <c r="K522" s="3"/>
    </row>
    <row r="523" spans="5:11" ht="15.75" customHeight="1" x14ac:dyDescent="0.2">
      <c r="E523" s="3"/>
      <c r="F523" s="24"/>
      <c r="G523" s="7"/>
      <c r="H523" s="7"/>
      <c r="I523" s="3"/>
      <c r="J523" s="3"/>
      <c r="K523" s="3"/>
    </row>
    <row r="524" spans="5:11" ht="15.75" customHeight="1" x14ac:dyDescent="0.2">
      <c r="E524" s="3"/>
      <c r="F524" s="24"/>
      <c r="G524" s="7"/>
      <c r="H524" s="7"/>
      <c r="I524" s="3"/>
      <c r="J524" s="3"/>
      <c r="K524" s="3"/>
    </row>
    <row r="525" spans="5:11" ht="15.75" customHeight="1" x14ac:dyDescent="0.2">
      <c r="E525" s="3"/>
      <c r="F525" s="24"/>
      <c r="G525" s="7"/>
      <c r="H525" s="7"/>
      <c r="I525" s="3"/>
      <c r="J525" s="3"/>
      <c r="K525" s="3"/>
    </row>
    <row r="526" spans="5:11" ht="15.75" customHeight="1" x14ac:dyDescent="0.2">
      <c r="E526" s="3"/>
      <c r="F526" s="24"/>
      <c r="G526" s="7"/>
      <c r="H526" s="7"/>
      <c r="I526" s="3"/>
      <c r="J526" s="3"/>
      <c r="K526" s="3"/>
    </row>
    <row r="527" spans="5:11" ht="15.75" customHeight="1" x14ac:dyDescent="0.2">
      <c r="E527" s="3"/>
      <c r="F527" s="24"/>
      <c r="G527" s="7"/>
      <c r="H527" s="7"/>
      <c r="I527" s="3"/>
      <c r="J527" s="3"/>
      <c r="K527" s="3"/>
    </row>
    <row r="528" spans="5:11" ht="15.75" customHeight="1" x14ac:dyDescent="0.2">
      <c r="E528" s="3"/>
      <c r="F528" s="24"/>
      <c r="G528" s="7"/>
      <c r="H528" s="7"/>
      <c r="I528" s="3"/>
      <c r="J528" s="3"/>
      <c r="K528" s="3"/>
    </row>
    <row r="529" spans="5:11" ht="15.75" customHeight="1" x14ac:dyDescent="0.2">
      <c r="E529" s="3"/>
      <c r="F529" s="24"/>
      <c r="G529" s="7"/>
      <c r="H529" s="7"/>
      <c r="I529" s="3"/>
      <c r="J529" s="3"/>
      <c r="K529" s="3"/>
    </row>
    <row r="530" spans="5:11" ht="15.75" customHeight="1" x14ac:dyDescent="0.2">
      <c r="E530" s="3"/>
      <c r="F530" s="24"/>
      <c r="G530" s="7"/>
      <c r="H530" s="7"/>
      <c r="I530" s="3"/>
      <c r="J530" s="3"/>
      <c r="K530" s="3"/>
    </row>
    <row r="531" spans="5:11" ht="15.75" customHeight="1" x14ac:dyDescent="0.2">
      <c r="E531" s="3"/>
      <c r="F531" s="24"/>
      <c r="G531" s="7"/>
      <c r="H531" s="7"/>
      <c r="I531" s="3"/>
      <c r="J531" s="3"/>
      <c r="K531" s="3"/>
    </row>
    <row r="532" spans="5:11" ht="15.75" customHeight="1" x14ac:dyDescent="0.2">
      <c r="E532" s="3"/>
      <c r="F532" s="24"/>
      <c r="G532" s="7"/>
      <c r="H532" s="7"/>
      <c r="I532" s="3"/>
      <c r="J532" s="3"/>
      <c r="K532" s="3"/>
    </row>
    <row r="533" spans="5:11" ht="15.75" customHeight="1" x14ac:dyDescent="0.2">
      <c r="E533" s="3"/>
      <c r="F533" s="24"/>
      <c r="G533" s="7"/>
      <c r="H533" s="7"/>
      <c r="I533" s="3"/>
      <c r="J533" s="3"/>
      <c r="K533" s="3"/>
    </row>
    <row r="534" spans="5:11" ht="15.75" customHeight="1" x14ac:dyDescent="0.2">
      <c r="E534" s="3"/>
      <c r="F534" s="24"/>
      <c r="G534" s="7"/>
      <c r="H534" s="7"/>
      <c r="I534" s="3"/>
      <c r="J534" s="3"/>
      <c r="K534" s="3"/>
    </row>
    <row r="535" spans="5:11" ht="15.75" customHeight="1" x14ac:dyDescent="0.2">
      <c r="E535" s="3"/>
      <c r="F535" s="24"/>
      <c r="G535" s="7"/>
      <c r="H535" s="7"/>
      <c r="I535" s="3"/>
      <c r="J535" s="3"/>
      <c r="K535" s="3"/>
    </row>
    <row r="536" spans="5:11" ht="15.75" customHeight="1" x14ac:dyDescent="0.2">
      <c r="E536" s="3"/>
      <c r="F536" s="24"/>
      <c r="G536" s="7"/>
      <c r="H536" s="7"/>
      <c r="I536" s="3"/>
      <c r="J536" s="3"/>
      <c r="K536" s="3"/>
    </row>
    <row r="537" spans="5:11" ht="15.75" customHeight="1" x14ac:dyDescent="0.2">
      <c r="E537" s="3"/>
      <c r="F537" s="24"/>
      <c r="G537" s="7"/>
      <c r="H537" s="7"/>
      <c r="I537" s="3"/>
      <c r="J537" s="3"/>
      <c r="K537" s="3"/>
    </row>
    <row r="538" spans="5:11" ht="15.75" customHeight="1" x14ac:dyDescent="0.2">
      <c r="E538" s="3"/>
      <c r="F538" s="24"/>
      <c r="G538" s="7"/>
      <c r="H538" s="7"/>
      <c r="I538" s="3"/>
      <c r="J538" s="3"/>
      <c r="K538" s="3"/>
    </row>
    <row r="539" spans="5:11" ht="15.75" customHeight="1" x14ac:dyDescent="0.2">
      <c r="E539" s="3"/>
      <c r="F539" s="24"/>
      <c r="G539" s="7"/>
      <c r="H539" s="7"/>
      <c r="I539" s="3"/>
      <c r="J539" s="3"/>
      <c r="K539" s="3"/>
    </row>
    <row r="540" spans="5:11" ht="15.75" customHeight="1" x14ac:dyDescent="0.2">
      <c r="E540" s="3"/>
      <c r="F540" s="24"/>
      <c r="G540" s="7"/>
      <c r="H540" s="7"/>
      <c r="I540" s="3"/>
      <c r="J540" s="3"/>
      <c r="K540" s="3"/>
    </row>
    <row r="541" spans="5:11" ht="15.75" customHeight="1" x14ac:dyDescent="0.2">
      <c r="E541" s="3"/>
      <c r="F541" s="24"/>
      <c r="G541" s="7"/>
      <c r="H541" s="7"/>
      <c r="I541" s="3"/>
      <c r="J541" s="3"/>
      <c r="K541" s="3"/>
    </row>
    <row r="542" spans="5:11" ht="15.75" customHeight="1" x14ac:dyDescent="0.2">
      <c r="E542" s="3"/>
      <c r="F542" s="24"/>
      <c r="G542" s="7"/>
      <c r="H542" s="7"/>
      <c r="I542" s="3"/>
      <c r="J542" s="3"/>
      <c r="K542" s="3"/>
    </row>
    <row r="543" spans="5:11" ht="15.75" customHeight="1" x14ac:dyDescent="0.2">
      <c r="E543" s="3"/>
      <c r="F543" s="24"/>
      <c r="G543" s="7"/>
      <c r="H543" s="7"/>
      <c r="I543" s="3"/>
      <c r="J543" s="3"/>
      <c r="K543" s="3"/>
    </row>
    <row r="544" spans="5:11" ht="15.75" customHeight="1" x14ac:dyDescent="0.2">
      <c r="E544" s="3"/>
      <c r="F544" s="24"/>
      <c r="G544" s="7"/>
      <c r="H544" s="7"/>
      <c r="I544" s="3"/>
      <c r="J544" s="3"/>
      <c r="K544" s="3"/>
    </row>
    <row r="545" spans="5:11" ht="15.75" customHeight="1" x14ac:dyDescent="0.2">
      <c r="E545" s="3"/>
      <c r="F545" s="24"/>
      <c r="G545" s="7"/>
      <c r="H545" s="7"/>
      <c r="I545" s="3"/>
      <c r="J545" s="3"/>
      <c r="K545" s="3"/>
    </row>
    <row r="546" spans="5:11" ht="15.75" customHeight="1" x14ac:dyDescent="0.2">
      <c r="E546" s="3"/>
      <c r="F546" s="24"/>
      <c r="G546" s="7"/>
      <c r="H546" s="7"/>
      <c r="I546" s="3"/>
      <c r="J546" s="3"/>
      <c r="K546" s="3"/>
    </row>
    <row r="547" spans="5:11" ht="15.75" customHeight="1" x14ac:dyDescent="0.2">
      <c r="E547" s="3"/>
      <c r="F547" s="24"/>
      <c r="G547" s="7"/>
      <c r="H547" s="7"/>
      <c r="I547" s="3"/>
      <c r="J547" s="3"/>
      <c r="K547" s="3"/>
    </row>
    <row r="548" spans="5:11" ht="15.75" customHeight="1" x14ac:dyDescent="0.2">
      <c r="E548" s="3"/>
      <c r="F548" s="24"/>
      <c r="G548" s="7"/>
      <c r="H548" s="7"/>
      <c r="I548" s="3"/>
      <c r="J548" s="3"/>
      <c r="K548" s="3"/>
    </row>
    <row r="549" spans="5:11" ht="15.75" customHeight="1" x14ac:dyDescent="0.2">
      <c r="E549" s="3"/>
      <c r="F549" s="24"/>
      <c r="G549" s="7"/>
      <c r="H549" s="7"/>
      <c r="I549" s="3"/>
      <c r="J549" s="3"/>
      <c r="K549" s="3"/>
    </row>
    <row r="550" spans="5:11" ht="15.75" customHeight="1" x14ac:dyDescent="0.2">
      <c r="E550" s="3"/>
      <c r="F550" s="24"/>
      <c r="G550" s="7"/>
      <c r="H550" s="7"/>
      <c r="I550" s="3"/>
      <c r="J550" s="3"/>
      <c r="K550" s="3"/>
    </row>
    <row r="551" spans="5:11" ht="15.75" customHeight="1" x14ac:dyDescent="0.2">
      <c r="E551" s="3"/>
      <c r="F551" s="24"/>
      <c r="G551" s="7"/>
      <c r="H551" s="7"/>
      <c r="I551" s="3"/>
      <c r="J551" s="3"/>
      <c r="K551" s="3"/>
    </row>
    <row r="552" spans="5:11" ht="15.75" customHeight="1" x14ac:dyDescent="0.2">
      <c r="E552" s="3"/>
      <c r="F552" s="24"/>
      <c r="G552" s="7"/>
      <c r="H552" s="7"/>
      <c r="I552" s="3"/>
      <c r="J552" s="3"/>
      <c r="K552" s="3"/>
    </row>
    <row r="553" spans="5:11" ht="15.75" customHeight="1" x14ac:dyDescent="0.2">
      <c r="E553" s="3"/>
      <c r="F553" s="24"/>
      <c r="G553" s="7"/>
      <c r="H553" s="7"/>
      <c r="I553" s="3"/>
      <c r="J553" s="3"/>
      <c r="K553" s="3"/>
    </row>
    <row r="554" spans="5:11" ht="15.75" customHeight="1" x14ac:dyDescent="0.2">
      <c r="E554" s="3"/>
      <c r="F554" s="24"/>
      <c r="G554" s="7"/>
      <c r="H554" s="7"/>
      <c r="I554" s="3"/>
      <c r="J554" s="3"/>
      <c r="K554" s="3"/>
    </row>
    <row r="555" spans="5:11" ht="15.75" customHeight="1" x14ac:dyDescent="0.2">
      <c r="E555" s="3"/>
      <c r="F555" s="24"/>
      <c r="G555" s="7"/>
      <c r="H555" s="7"/>
      <c r="I555" s="3"/>
      <c r="J555" s="3"/>
      <c r="K555" s="3"/>
    </row>
    <row r="556" spans="5:11" ht="15.75" customHeight="1" x14ac:dyDescent="0.2">
      <c r="E556" s="3"/>
      <c r="F556" s="24"/>
      <c r="G556" s="7"/>
      <c r="H556" s="7"/>
      <c r="I556" s="3"/>
      <c r="J556" s="3"/>
      <c r="K556" s="3"/>
    </row>
    <row r="557" spans="5:11" ht="15.75" customHeight="1" x14ac:dyDescent="0.2">
      <c r="E557" s="3"/>
      <c r="F557" s="24"/>
      <c r="G557" s="7"/>
      <c r="H557" s="7"/>
      <c r="I557" s="3"/>
      <c r="J557" s="3"/>
      <c r="K557" s="3"/>
    </row>
    <row r="558" spans="5:11" ht="15.75" customHeight="1" x14ac:dyDescent="0.2">
      <c r="E558" s="3"/>
      <c r="F558" s="24"/>
      <c r="G558" s="7"/>
      <c r="H558" s="7"/>
      <c r="I558" s="3"/>
      <c r="J558" s="3"/>
      <c r="K558" s="3"/>
    </row>
    <row r="559" spans="5:11" ht="15.75" customHeight="1" x14ac:dyDescent="0.2">
      <c r="E559" s="3"/>
      <c r="F559" s="24"/>
      <c r="G559" s="7"/>
      <c r="H559" s="7"/>
      <c r="I559" s="3"/>
      <c r="J559" s="3"/>
      <c r="K559" s="3"/>
    </row>
    <row r="560" spans="5:11" ht="15.75" customHeight="1" x14ac:dyDescent="0.2">
      <c r="E560" s="3"/>
      <c r="F560" s="24"/>
      <c r="G560" s="7"/>
      <c r="H560" s="7"/>
      <c r="I560" s="3"/>
      <c r="J560" s="3"/>
      <c r="K560" s="3"/>
    </row>
    <row r="561" spans="5:11" ht="15.75" customHeight="1" x14ac:dyDescent="0.2">
      <c r="E561" s="3"/>
      <c r="F561" s="24"/>
      <c r="G561" s="7"/>
      <c r="H561" s="7"/>
      <c r="I561" s="3"/>
      <c r="J561" s="3"/>
      <c r="K561" s="3"/>
    </row>
    <row r="562" spans="5:11" ht="15.75" customHeight="1" x14ac:dyDescent="0.2">
      <c r="E562" s="3"/>
      <c r="F562" s="24"/>
      <c r="G562" s="7"/>
      <c r="H562" s="7"/>
      <c r="I562" s="3"/>
      <c r="J562" s="3"/>
      <c r="K562" s="3"/>
    </row>
    <row r="563" spans="5:11" ht="15.75" customHeight="1" x14ac:dyDescent="0.2">
      <c r="E563" s="3"/>
      <c r="F563" s="24"/>
      <c r="G563" s="7"/>
      <c r="H563" s="7"/>
      <c r="I563" s="3"/>
      <c r="J563" s="3"/>
      <c r="K563" s="3"/>
    </row>
    <row r="564" spans="5:11" ht="15.75" customHeight="1" x14ac:dyDescent="0.2">
      <c r="E564" s="3"/>
      <c r="F564" s="24"/>
      <c r="G564" s="7"/>
      <c r="H564" s="7"/>
      <c r="I564" s="3"/>
      <c r="J564" s="3"/>
      <c r="K564" s="3"/>
    </row>
    <row r="565" spans="5:11" ht="15.75" customHeight="1" x14ac:dyDescent="0.2">
      <c r="E565" s="3"/>
      <c r="F565" s="24"/>
      <c r="G565" s="7"/>
      <c r="H565" s="7"/>
      <c r="I565" s="3"/>
      <c r="J565" s="3"/>
      <c r="K565" s="3"/>
    </row>
    <row r="566" spans="5:11" ht="15.75" customHeight="1" x14ac:dyDescent="0.2">
      <c r="E566" s="3"/>
      <c r="F566" s="24"/>
      <c r="G566" s="7"/>
      <c r="H566" s="7"/>
      <c r="I566" s="3"/>
      <c r="J566" s="3"/>
      <c r="K566" s="3"/>
    </row>
    <row r="567" spans="5:11" ht="15.75" customHeight="1" x14ac:dyDescent="0.2">
      <c r="E567" s="3"/>
      <c r="F567" s="24"/>
      <c r="G567" s="7"/>
      <c r="H567" s="7"/>
      <c r="I567" s="3"/>
      <c r="J567" s="3"/>
      <c r="K567" s="3"/>
    </row>
    <row r="568" spans="5:11" ht="15.75" customHeight="1" x14ac:dyDescent="0.2">
      <c r="E568" s="3"/>
      <c r="F568" s="24"/>
      <c r="G568" s="7"/>
      <c r="H568" s="7"/>
      <c r="I568" s="3"/>
      <c r="J568" s="3"/>
      <c r="K568" s="3"/>
    </row>
    <row r="569" spans="5:11" ht="15.75" customHeight="1" x14ac:dyDescent="0.2">
      <c r="E569" s="3"/>
      <c r="F569" s="24"/>
      <c r="G569" s="7"/>
      <c r="H569" s="7"/>
      <c r="I569" s="3"/>
      <c r="J569" s="3"/>
      <c r="K569" s="3"/>
    </row>
    <row r="570" spans="5:11" ht="15.75" customHeight="1" x14ac:dyDescent="0.2">
      <c r="E570" s="3"/>
      <c r="F570" s="24"/>
      <c r="G570" s="7"/>
      <c r="H570" s="7"/>
      <c r="I570" s="3"/>
      <c r="J570" s="3"/>
      <c r="K570" s="3"/>
    </row>
    <row r="571" spans="5:11" ht="15.75" customHeight="1" x14ac:dyDescent="0.2">
      <c r="E571" s="3"/>
      <c r="F571" s="24"/>
      <c r="G571" s="7"/>
      <c r="H571" s="7"/>
      <c r="I571" s="3"/>
      <c r="J571" s="3"/>
      <c r="K571" s="3"/>
    </row>
    <row r="572" spans="5:11" ht="15.75" customHeight="1" x14ac:dyDescent="0.2">
      <c r="E572" s="3"/>
      <c r="F572" s="24"/>
      <c r="G572" s="7"/>
      <c r="H572" s="7"/>
      <c r="I572" s="3"/>
      <c r="J572" s="3"/>
      <c r="K572" s="3"/>
    </row>
    <row r="573" spans="5:11" ht="15.75" customHeight="1" x14ac:dyDescent="0.2">
      <c r="E573" s="3"/>
      <c r="F573" s="24"/>
      <c r="G573" s="7"/>
      <c r="H573" s="7"/>
      <c r="I573" s="3"/>
      <c r="J573" s="3"/>
      <c r="K573" s="3"/>
    </row>
    <row r="574" spans="5:11" ht="15.75" customHeight="1" x14ac:dyDescent="0.2">
      <c r="E574" s="3"/>
      <c r="F574" s="24"/>
      <c r="G574" s="7"/>
      <c r="H574" s="7"/>
      <c r="I574" s="3"/>
      <c r="J574" s="3"/>
      <c r="K574" s="3"/>
    </row>
    <row r="575" spans="5:11" ht="15.75" customHeight="1" x14ac:dyDescent="0.2">
      <c r="E575" s="3"/>
      <c r="F575" s="24"/>
      <c r="G575" s="7"/>
      <c r="H575" s="7"/>
      <c r="I575" s="3"/>
      <c r="J575" s="3"/>
      <c r="K575" s="3"/>
    </row>
    <row r="576" spans="5:11" ht="15.75" customHeight="1" x14ac:dyDescent="0.2">
      <c r="E576" s="3"/>
      <c r="F576" s="24"/>
      <c r="G576" s="7"/>
      <c r="H576" s="7"/>
      <c r="I576" s="3"/>
      <c r="J576" s="3"/>
      <c r="K576" s="3"/>
    </row>
    <row r="577" spans="5:11" ht="15.75" customHeight="1" x14ac:dyDescent="0.2">
      <c r="E577" s="3"/>
      <c r="F577" s="24"/>
      <c r="G577" s="7"/>
      <c r="H577" s="7"/>
      <c r="I577" s="3"/>
      <c r="J577" s="3"/>
      <c r="K577" s="3"/>
    </row>
    <row r="578" spans="5:11" ht="15.75" customHeight="1" x14ac:dyDescent="0.2">
      <c r="E578" s="3"/>
      <c r="F578" s="24"/>
      <c r="G578" s="7"/>
      <c r="H578" s="7"/>
      <c r="I578" s="3"/>
      <c r="J578" s="3"/>
      <c r="K578" s="3"/>
    </row>
    <row r="579" spans="5:11" ht="15.75" customHeight="1" x14ac:dyDescent="0.2">
      <c r="E579" s="3"/>
      <c r="F579" s="24"/>
      <c r="G579" s="7"/>
      <c r="H579" s="7"/>
      <c r="I579" s="3"/>
      <c r="J579" s="3"/>
      <c r="K579" s="3"/>
    </row>
    <row r="580" spans="5:11" ht="15.75" customHeight="1" x14ac:dyDescent="0.2">
      <c r="E580" s="3"/>
      <c r="F580" s="24"/>
      <c r="G580" s="7"/>
      <c r="H580" s="7"/>
      <c r="I580" s="3"/>
      <c r="J580" s="3"/>
      <c r="K580" s="3"/>
    </row>
    <row r="581" spans="5:11" ht="15.75" customHeight="1" x14ac:dyDescent="0.2">
      <c r="E581" s="3"/>
      <c r="F581" s="24"/>
      <c r="G581" s="7"/>
      <c r="H581" s="7"/>
      <c r="I581" s="3"/>
      <c r="J581" s="3"/>
      <c r="K581" s="3"/>
    </row>
    <row r="582" spans="5:11" ht="15.75" customHeight="1" x14ac:dyDescent="0.2">
      <c r="E582" s="3"/>
      <c r="F582" s="24"/>
      <c r="G582" s="7"/>
      <c r="H582" s="7"/>
      <c r="I582" s="3"/>
      <c r="J582" s="3"/>
      <c r="K582" s="3"/>
    </row>
    <row r="583" spans="5:11" ht="15.75" customHeight="1" x14ac:dyDescent="0.2">
      <c r="E583" s="3"/>
      <c r="F583" s="24"/>
      <c r="G583" s="7"/>
      <c r="H583" s="7"/>
      <c r="I583" s="3"/>
      <c r="J583" s="3"/>
      <c r="K583" s="3"/>
    </row>
    <row r="584" spans="5:11" ht="15.75" customHeight="1" x14ac:dyDescent="0.2">
      <c r="E584" s="3"/>
      <c r="F584" s="24"/>
      <c r="G584" s="7"/>
      <c r="H584" s="7"/>
      <c r="I584" s="3"/>
      <c r="J584" s="3"/>
      <c r="K584" s="3"/>
    </row>
    <row r="585" spans="5:11" ht="15.75" customHeight="1" x14ac:dyDescent="0.2">
      <c r="E585" s="3"/>
      <c r="F585" s="24"/>
      <c r="G585" s="7"/>
      <c r="H585" s="7"/>
      <c r="I585" s="3"/>
      <c r="J585" s="3"/>
      <c r="K585" s="3"/>
    </row>
    <row r="586" spans="5:11" ht="15.75" customHeight="1" x14ac:dyDescent="0.2">
      <c r="E586" s="3"/>
      <c r="F586" s="24"/>
      <c r="G586" s="7"/>
      <c r="H586" s="7"/>
      <c r="I586" s="3"/>
      <c r="J586" s="3"/>
      <c r="K586" s="3"/>
    </row>
    <row r="587" spans="5:11" ht="15.75" customHeight="1" x14ac:dyDescent="0.2">
      <c r="E587" s="3"/>
      <c r="F587" s="24"/>
      <c r="G587" s="7"/>
      <c r="H587" s="7"/>
      <c r="I587" s="3"/>
      <c r="J587" s="3"/>
      <c r="K587" s="3"/>
    </row>
    <row r="588" spans="5:11" ht="15.75" customHeight="1" x14ac:dyDescent="0.2">
      <c r="E588" s="3"/>
      <c r="F588" s="24"/>
      <c r="G588" s="7"/>
      <c r="H588" s="7"/>
      <c r="I588" s="3"/>
      <c r="J588" s="3"/>
      <c r="K588" s="3"/>
    </row>
    <row r="589" spans="5:11" ht="15.75" customHeight="1" x14ac:dyDescent="0.2">
      <c r="E589" s="3"/>
      <c r="F589" s="24"/>
      <c r="G589" s="7"/>
      <c r="H589" s="7"/>
      <c r="I589" s="3"/>
      <c r="J589" s="3"/>
      <c r="K589" s="3"/>
    </row>
    <row r="590" spans="5:11" ht="15.75" customHeight="1" x14ac:dyDescent="0.2">
      <c r="E590" s="3"/>
      <c r="F590" s="24"/>
      <c r="G590" s="7"/>
      <c r="H590" s="7"/>
      <c r="I590" s="3"/>
      <c r="J590" s="3"/>
      <c r="K590" s="3"/>
    </row>
    <row r="591" spans="5:11" ht="15.75" customHeight="1" x14ac:dyDescent="0.2">
      <c r="E591" s="3"/>
      <c r="F591" s="24"/>
      <c r="G591" s="7"/>
      <c r="H591" s="7"/>
      <c r="I591" s="3"/>
      <c r="J591" s="3"/>
      <c r="K591" s="3"/>
    </row>
    <row r="592" spans="5:11" ht="15.75" customHeight="1" x14ac:dyDescent="0.2">
      <c r="E592" s="3"/>
      <c r="F592" s="24"/>
      <c r="G592" s="7"/>
      <c r="H592" s="7"/>
      <c r="I592" s="3"/>
      <c r="J592" s="3"/>
      <c r="K592" s="3"/>
    </row>
    <row r="593" spans="5:11" ht="15.75" customHeight="1" x14ac:dyDescent="0.2">
      <c r="E593" s="3"/>
      <c r="F593" s="24"/>
      <c r="G593" s="7"/>
      <c r="H593" s="7"/>
      <c r="I593" s="3"/>
      <c r="J593" s="3"/>
      <c r="K593" s="3"/>
    </row>
    <row r="594" spans="5:11" ht="15.75" customHeight="1" x14ac:dyDescent="0.2">
      <c r="E594" s="3"/>
      <c r="F594" s="24"/>
      <c r="G594" s="7"/>
      <c r="H594" s="7"/>
      <c r="I594" s="3"/>
      <c r="J594" s="3"/>
      <c r="K594" s="3"/>
    </row>
    <row r="595" spans="5:11" ht="15.75" customHeight="1" x14ac:dyDescent="0.2">
      <c r="E595" s="3"/>
      <c r="F595" s="24"/>
      <c r="G595" s="7"/>
      <c r="H595" s="7"/>
      <c r="I595" s="3"/>
      <c r="J595" s="3"/>
      <c r="K595" s="3"/>
    </row>
    <row r="596" spans="5:11" ht="15.75" customHeight="1" x14ac:dyDescent="0.2">
      <c r="E596" s="3"/>
      <c r="F596" s="24"/>
      <c r="G596" s="7"/>
      <c r="H596" s="7"/>
      <c r="I596" s="3"/>
      <c r="J596" s="3"/>
      <c r="K596" s="3"/>
    </row>
    <row r="597" spans="5:11" ht="15.75" customHeight="1" x14ac:dyDescent="0.2">
      <c r="E597" s="3"/>
      <c r="F597" s="24"/>
      <c r="G597" s="7"/>
      <c r="H597" s="7"/>
      <c r="I597" s="3"/>
      <c r="J597" s="3"/>
      <c r="K597" s="3"/>
    </row>
    <row r="598" spans="5:11" ht="15.75" customHeight="1" x14ac:dyDescent="0.2">
      <c r="E598" s="3"/>
      <c r="F598" s="24"/>
      <c r="G598" s="7"/>
      <c r="H598" s="7"/>
      <c r="I598" s="3"/>
      <c r="J598" s="3"/>
      <c r="K598" s="3"/>
    </row>
    <row r="599" spans="5:11" ht="15.75" customHeight="1" x14ac:dyDescent="0.2">
      <c r="E599" s="3"/>
      <c r="F599" s="24"/>
      <c r="G599" s="7"/>
      <c r="H599" s="7"/>
      <c r="I599" s="3"/>
      <c r="J599" s="3"/>
      <c r="K599" s="3"/>
    </row>
    <row r="600" spans="5:11" ht="15.75" customHeight="1" x14ac:dyDescent="0.2">
      <c r="E600" s="3"/>
      <c r="F600" s="24"/>
      <c r="G600" s="7"/>
      <c r="H600" s="7"/>
      <c r="I600" s="3"/>
      <c r="J600" s="3"/>
      <c r="K600" s="3"/>
    </row>
    <row r="601" spans="5:11" ht="15.75" customHeight="1" x14ac:dyDescent="0.2">
      <c r="E601" s="3"/>
      <c r="F601" s="24"/>
      <c r="G601" s="7"/>
      <c r="H601" s="7"/>
      <c r="I601" s="3"/>
      <c r="J601" s="3"/>
      <c r="K601" s="3"/>
    </row>
    <row r="602" spans="5:11" ht="15.75" customHeight="1" x14ac:dyDescent="0.2">
      <c r="E602" s="3"/>
      <c r="F602" s="24"/>
      <c r="G602" s="7"/>
      <c r="H602" s="7"/>
      <c r="I602" s="3"/>
      <c r="J602" s="3"/>
      <c r="K602" s="3"/>
    </row>
    <row r="603" spans="5:11" ht="15.75" customHeight="1" x14ac:dyDescent="0.2">
      <c r="E603" s="3"/>
      <c r="F603" s="24"/>
      <c r="G603" s="7"/>
      <c r="H603" s="7"/>
      <c r="I603" s="3"/>
      <c r="J603" s="3"/>
      <c r="K603" s="3"/>
    </row>
    <row r="604" spans="5:11" ht="15.75" customHeight="1" x14ac:dyDescent="0.2">
      <c r="E604" s="3"/>
      <c r="F604" s="24"/>
      <c r="G604" s="7"/>
      <c r="H604" s="7"/>
      <c r="I604" s="3"/>
      <c r="J604" s="3"/>
      <c r="K604" s="3"/>
    </row>
    <row r="605" spans="5:11" ht="15.75" customHeight="1" x14ac:dyDescent="0.2">
      <c r="E605" s="3"/>
      <c r="F605" s="24"/>
      <c r="G605" s="7"/>
      <c r="H605" s="7"/>
      <c r="I605" s="3"/>
      <c r="J605" s="3"/>
      <c r="K605" s="3"/>
    </row>
    <row r="606" spans="5:11" ht="15.75" customHeight="1" x14ac:dyDescent="0.2">
      <c r="E606" s="3"/>
      <c r="F606" s="24"/>
      <c r="G606" s="7"/>
      <c r="H606" s="7"/>
      <c r="I606" s="3"/>
      <c r="J606" s="3"/>
      <c r="K606" s="3"/>
    </row>
    <row r="607" spans="5:11" ht="15.75" customHeight="1" x14ac:dyDescent="0.2">
      <c r="E607" s="3"/>
      <c r="F607" s="24"/>
      <c r="G607" s="7"/>
      <c r="H607" s="7"/>
      <c r="I607" s="3"/>
      <c r="J607" s="3"/>
      <c r="K607" s="3"/>
    </row>
    <row r="608" spans="5:11" ht="15.75" customHeight="1" x14ac:dyDescent="0.2">
      <c r="E608" s="3"/>
      <c r="F608" s="24"/>
      <c r="G608" s="7"/>
      <c r="H608" s="7"/>
      <c r="I608" s="3"/>
      <c r="J608" s="3"/>
      <c r="K608" s="3"/>
    </row>
    <row r="609" spans="5:11" ht="15.75" customHeight="1" x14ac:dyDescent="0.2">
      <c r="E609" s="3"/>
      <c r="F609" s="24"/>
      <c r="G609" s="7"/>
      <c r="H609" s="7"/>
      <c r="I609" s="3"/>
      <c r="J609" s="3"/>
      <c r="K609" s="3"/>
    </row>
    <row r="610" spans="5:11" ht="15.75" customHeight="1" x14ac:dyDescent="0.2">
      <c r="E610" s="3"/>
      <c r="F610" s="24"/>
      <c r="G610" s="7"/>
      <c r="H610" s="7"/>
      <c r="I610" s="3"/>
      <c r="J610" s="3"/>
      <c r="K610" s="3"/>
    </row>
    <row r="611" spans="5:11" ht="15.75" customHeight="1" x14ac:dyDescent="0.2">
      <c r="E611" s="3"/>
      <c r="F611" s="24"/>
      <c r="G611" s="7"/>
      <c r="H611" s="7"/>
      <c r="I611" s="3"/>
      <c r="J611" s="3"/>
      <c r="K611" s="3"/>
    </row>
    <row r="612" spans="5:11" ht="15.75" customHeight="1" x14ac:dyDescent="0.2">
      <c r="E612" s="3"/>
      <c r="F612" s="24"/>
      <c r="G612" s="7"/>
      <c r="H612" s="7"/>
      <c r="I612" s="3"/>
      <c r="J612" s="3"/>
      <c r="K612" s="3"/>
    </row>
    <row r="613" spans="5:11" ht="15.75" customHeight="1" x14ac:dyDescent="0.2">
      <c r="E613" s="3"/>
      <c r="F613" s="24"/>
      <c r="G613" s="7"/>
      <c r="H613" s="7"/>
      <c r="I613" s="3"/>
      <c r="J613" s="3"/>
      <c r="K613" s="3"/>
    </row>
    <row r="614" spans="5:11" ht="15.75" customHeight="1" x14ac:dyDescent="0.2">
      <c r="E614" s="3"/>
      <c r="F614" s="24"/>
      <c r="G614" s="7"/>
      <c r="H614" s="7"/>
      <c r="I614" s="3"/>
      <c r="J614" s="3"/>
      <c r="K614" s="3"/>
    </row>
    <row r="615" spans="5:11" ht="15.75" customHeight="1" x14ac:dyDescent="0.2">
      <c r="E615" s="3"/>
      <c r="F615" s="24"/>
      <c r="G615" s="7"/>
      <c r="H615" s="7"/>
      <c r="I615" s="3"/>
      <c r="J615" s="3"/>
      <c r="K615" s="3"/>
    </row>
    <row r="616" spans="5:11" ht="15.75" customHeight="1" x14ac:dyDescent="0.2">
      <c r="E616" s="3"/>
      <c r="F616" s="24"/>
      <c r="G616" s="7"/>
      <c r="H616" s="7"/>
      <c r="I616" s="3"/>
      <c r="J616" s="3"/>
      <c r="K616" s="3"/>
    </row>
    <row r="617" spans="5:11" ht="15.75" customHeight="1" x14ac:dyDescent="0.2">
      <c r="E617" s="3"/>
      <c r="F617" s="24"/>
      <c r="G617" s="7"/>
      <c r="H617" s="7"/>
      <c r="I617" s="3"/>
      <c r="J617" s="3"/>
      <c r="K617" s="3"/>
    </row>
    <row r="618" spans="5:11" ht="15.75" customHeight="1" x14ac:dyDescent="0.2">
      <c r="E618" s="3"/>
      <c r="F618" s="24"/>
      <c r="G618" s="7"/>
      <c r="H618" s="7"/>
      <c r="I618" s="3"/>
      <c r="J618" s="3"/>
      <c r="K618" s="3"/>
    </row>
    <row r="619" spans="5:11" ht="15.75" customHeight="1" x14ac:dyDescent="0.2">
      <c r="E619" s="3"/>
      <c r="F619" s="24"/>
      <c r="G619" s="7"/>
      <c r="H619" s="7"/>
      <c r="I619" s="3"/>
      <c r="J619" s="3"/>
      <c r="K619" s="3"/>
    </row>
    <row r="620" spans="5:11" ht="15.75" customHeight="1" x14ac:dyDescent="0.2">
      <c r="E620" s="3"/>
      <c r="F620" s="24"/>
      <c r="G620" s="7"/>
      <c r="H620" s="7"/>
      <c r="I620" s="3"/>
      <c r="J620" s="3"/>
      <c r="K620" s="3"/>
    </row>
    <row r="621" spans="5:11" ht="15.75" customHeight="1" x14ac:dyDescent="0.2">
      <c r="E621" s="3"/>
      <c r="F621" s="24"/>
      <c r="G621" s="7"/>
      <c r="H621" s="7"/>
      <c r="I621" s="3"/>
      <c r="J621" s="3"/>
      <c r="K621" s="3"/>
    </row>
    <row r="622" spans="5:11" ht="15.75" customHeight="1" x14ac:dyDescent="0.2">
      <c r="E622" s="3"/>
      <c r="F622" s="24"/>
      <c r="G622" s="7"/>
      <c r="H622" s="7"/>
      <c r="I622" s="3"/>
      <c r="J622" s="3"/>
      <c r="K622" s="3"/>
    </row>
    <row r="623" spans="5:11" ht="15.75" customHeight="1" x14ac:dyDescent="0.2">
      <c r="E623" s="3"/>
      <c r="F623" s="24"/>
      <c r="G623" s="7"/>
      <c r="H623" s="7"/>
      <c r="I623" s="3"/>
      <c r="J623" s="3"/>
      <c r="K623" s="3"/>
    </row>
    <row r="624" spans="5:11" ht="15.75" customHeight="1" x14ac:dyDescent="0.2">
      <c r="E624" s="3"/>
      <c r="F624" s="24"/>
      <c r="G624" s="7"/>
      <c r="H624" s="7"/>
      <c r="I624" s="3"/>
      <c r="J624" s="3"/>
      <c r="K624" s="3"/>
    </row>
    <row r="625" spans="5:11" ht="15.75" customHeight="1" x14ac:dyDescent="0.2">
      <c r="E625" s="3"/>
      <c r="F625" s="24"/>
      <c r="G625" s="7"/>
      <c r="H625" s="7"/>
      <c r="I625" s="3"/>
      <c r="J625" s="3"/>
      <c r="K625" s="3"/>
    </row>
    <row r="626" spans="5:11" ht="15.75" customHeight="1" x14ac:dyDescent="0.2">
      <c r="E626" s="3"/>
      <c r="F626" s="24"/>
      <c r="G626" s="7"/>
      <c r="H626" s="7"/>
      <c r="I626" s="3"/>
      <c r="J626" s="3"/>
      <c r="K626" s="3"/>
    </row>
    <row r="627" spans="5:11" ht="15.75" customHeight="1" x14ac:dyDescent="0.2">
      <c r="E627" s="3"/>
      <c r="F627" s="24"/>
      <c r="G627" s="7"/>
      <c r="H627" s="7"/>
      <c r="I627" s="3"/>
      <c r="J627" s="3"/>
      <c r="K627" s="3"/>
    </row>
    <row r="628" spans="5:11" ht="15.75" customHeight="1" x14ac:dyDescent="0.2">
      <c r="E628" s="3"/>
      <c r="F628" s="24"/>
      <c r="G628" s="7"/>
      <c r="H628" s="7"/>
      <c r="I628" s="3"/>
      <c r="J628" s="3"/>
      <c r="K628" s="3"/>
    </row>
    <row r="629" spans="5:11" ht="15.75" customHeight="1" x14ac:dyDescent="0.2">
      <c r="E629" s="3"/>
      <c r="F629" s="24"/>
      <c r="G629" s="7"/>
      <c r="H629" s="7"/>
      <c r="I629" s="3"/>
      <c r="J629" s="3"/>
      <c r="K629" s="3"/>
    </row>
    <row r="630" spans="5:11" ht="15.75" customHeight="1" x14ac:dyDescent="0.2">
      <c r="E630" s="3"/>
      <c r="F630" s="24"/>
      <c r="G630" s="7"/>
      <c r="H630" s="7"/>
      <c r="I630" s="3"/>
      <c r="J630" s="3"/>
      <c r="K630" s="3"/>
    </row>
    <row r="631" spans="5:11" ht="15.75" customHeight="1" x14ac:dyDescent="0.2">
      <c r="E631" s="3"/>
      <c r="F631" s="24"/>
      <c r="G631" s="7"/>
      <c r="H631" s="7"/>
      <c r="I631" s="3"/>
      <c r="J631" s="3"/>
      <c r="K631" s="3"/>
    </row>
    <row r="632" spans="5:11" ht="15.75" customHeight="1" x14ac:dyDescent="0.2">
      <c r="E632" s="3"/>
      <c r="F632" s="24"/>
      <c r="G632" s="7"/>
      <c r="H632" s="7"/>
      <c r="I632" s="3"/>
      <c r="J632" s="3"/>
      <c r="K632" s="3"/>
    </row>
    <row r="633" spans="5:11" ht="15.75" customHeight="1" x14ac:dyDescent="0.2">
      <c r="E633" s="3"/>
      <c r="F633" s="24"/>
      <c r="G633" s="7"/>
      <c r="H633" s="7"/>
      <c r="I633" s="3"/>
      <c r="J633" s="3"/>
      <c r="K633" s="3"/>
    </row>
    <row r="634" spans="5:11" ht="15.75" customHeight="1" x14ac:dyDescent="0.2">
      <c r="E634" s="3"/>
      <c r="F634" s="24"/>
      <c r="G634" s="7"/>
      <c r="H634" s="7"/>
      <c r="I634" s="3"/>
      <c r="J634" s="3"/>
      <c r="K634" s="3"/>
    </row>
    <row r="635" spans="5:11" ht="15.75" customHeight="1" x14ac:dyDescent="0.2">
      <c r="E635" s="3"/>
      <c r="F635" s="24"/>
      <c r="G635" s="7"/>
      <c r="H635" s="7"/>
      <c r="I635" s="3"/>
      <c r="J635" s="3"/>
      <c r="K635" s="3"/>
    </row>
    <row r="636" spans="5:11" ht="15.75" customHeight="1" x14ac:dyDescent="0.2">
      <c r="E636" s="3"/>
      <c r="F636" s="24"/>
      <c r="G636" s="7"/>
      <c r="H636" s="7"/>
      <c r="I636" s="3"/>
      <c r="J636" s="3"/>
      <c r="K636" s="3"/>
    </row>
    <row r="637" spans="5:11" ht="15.75" customHeight="1" x14ac:dyDescent="0.2">
      <c r="E637" s="3"/>
      <c r="F637" s="24"/>
      <c r="G637" s="7"/>
      <c r="H637" s="7"/>
      <c r="I637" s="3"/>
      <c r="J637" s="3"/>
      <c r="K637" s="3"/>
    </row>
    <row r="638" spans="5:11" ht="15.75" customHeight="1" x14ac:dyDescent="0.2">
      <c r="E638" s="3"/>
      <c r="F638" s="24"/>
      <c r="G638" s="7"/>
      <c r="H638" s="7"/>
      <c r="I638" s="3"/>
      <c r="J638" s="3"/>
      <c r="K638" s="3"/>
    </row>
    <row r="639" spans="5:11" ht="15.75" customHeight="1" x14ac:dyDescent="0.2">
      <c r="E639" s="3"/>
      <c r="F639" s="24"/>
      <c r="G639" s="7"/>
      <c r="H639" s="7"/>
      <c r="I639" s="3"/>
      <c r="J639" s="3"/>
      <c r="K639" s="3"/>
    </row>
    <row r="640" spans="5:11" ht="15.75" customHeight="1" x14ac:dyDescent="0.2">
      <c r="E640" s="3"/>
      <c r="F640" s="24"/>
      <c r="G640" s="7"/>
      <c r="H640" s="7"/>
      <c r="I640" s="3"/>
      <c r="J640" s="3"/>
      <c r="K640" s="3"/>
    </row>
    <row r="641" spans="5:11" ht="15.75" customHeight="1" x14ac:dyDescent="0.2">
      <c r="E641" s="3"/>
      <c r="F641" s="24"/>
      <c r="G641" s="7"/>
      <c r="H641" s="7"/>
      <c r="I641" s="3"/>
      <c r="J641" s="3"/>
      <c r="K641" s="3"/>
    </row>
    <row r="642" spans="5:11" ht="15.75" customHeight="1" x14ac:dyDescent="0.2">
      <c r="E642" s="3"/>
      <c r="F642" s="24"/>
      <c r="G642" s="7"/>
      <c r="H642" s="7"/>
      <c r="I642" s="3"/>
      <c r="J642" s="3"/>
      <c r="K642" s="3"/>
    </row>
    <row r="643" spans="5:11" ht="15.75" customHeight="1" x14ac:dyDescent="0.2">
      <c r="E643" s="3"/>
      <c r="F643" s="24"/>
      <c r="G643" s="7"/>
      <c r="H643" s="7"/>
      <c r="I643" s="3"/>
      <c r="J643" s="3"/>
      <c r="K643" s="3"/>
    </row>
    <row r="644" spans="5:11" ht="15.75" customHeight="1" x14ac:dyDescent="0.2">
      <c r="E644" s="3"/>
      <c r="F644" s="24"/>
      <c r="G644" s="7"/>
      <c r="H644" s="7"/>
      <c r="I644" s="3"/>
      <c r="J644" s="3"/>
      <c r="K644" s="3"/>
    </row>
    <row r="645" spans="5:11" ht="15.75" customHeight="1" x14ac:dyDescent="0.2">
      <c r="E645" s="3"/>
      <c r="F645" s="24"/>
      <c r="G645" s="7"/>
      <c r="H645" s="7"/>
      <c r="I645" s="3"/>
      <c r="J645" s="3"/>
      <c r="K645" s="3"/>
    </row>
    <row r="646" spans="5:11" ht="15.75" customHeight="1" x14ac:dyDescent="0.2">
      <c r="E646" s="3"/>
      <c r="F646" s="24"/>
      <c r="G646" s="7"/>
      <c r="H646" s="7"/>
      <c r="I646" s="3"/>
      <c r="J646" s="3"/>
      <c r="K646" s="3"/>
    </row>
    <row r="647" spans="5:11" ht="15.75" customHeight="1" x14ac:dyDescent="0.2">
      <c r="E647" s="3"/>
      <c r="F647" s="24"/>
      <c r="G647" s="7"/>
      <c r="H647" s="7"/>
      <c r="I647" s="3"/>
      <c r="J647" s="3"/>
      <c r="K647" s="3"/>
    </row>
    <row r="648" spans="5:11" ht="15.75" customHeight="1" x14ac:dyDescent="0.2">
      <c r="E648" s="3"/>
      <c r="F648" s="24"/>
      <c r="G648" s="7"/>
      <c r="H648" s="7"/>
      <c r="I648" s="3"/>
      <c r="J648" s="3"/>
      <c r="K648" s="3"/>
    </row>
    <row r="649" spans="5:11" ht="15.75" customHeight="1" x14ac:dyDescent="0.2">
      <c r="E649" s="3"/>
      <c r="F649" s="24"/>
      <c r="G649" s="7"/>
      <c r="H649" s="7"/>
      <c r="I649" s="3"/>
      <c r="J649" s="3"/>
      <c r="K649" s="3"/>
    </row>
    <row r="650" spans="5:11" ht="15.75" customHeight="1" x14ac:dyDescent="0.2">
      <c r="E650" s="3"/>
      <c r="F650" s="24"/>
      <c r="G650" s="7"/>
      <c r="H650" s="7"/>
      <c r="I650" s="3"/>
      <c r="J650" s="3"/>
      <c r="K650" s="3"/>
    </row>
    <row r="651" spans="5:11" ht="15.75" customHeight="1" x14ac:dyDescent="0.2">
      <c r="E651" s="3"/>
      <c r="F651" s="24"/>
      <c r="G651" s="7"/>
      <c r="H651" s="7"/>
      <c r="I651" s="3"/>
      <c r="J651" s="3"/>
      <c r="K651" s="3"/>
    </row>
    <row r="652" spans="5:11" ht="15.75" customHeight="1" x14ac:dyDescent="0.2">
      <c r="E652" s="3"/>
      <c r="F652" s="24"/>
      <c r="G652" s="7"/>
      <c r="H652" s="7"/>
      <c r="I652" s="3"/>
      <c r="J652" s="3"/>
      <c r="K652" s="3"/>
    </row>
    <row r="653" spans="5:11" ht="15.75" customHeight="1" x14ac:dyDescent="0.2">
      <c r="E653" s="3"/>
      <c r="F653" s="24"/>
      <c r="G653" s="7"/>
      <c r="H653" s="7"/>
      <c r="I653" s="3"/>
      <c r="J653" s="3"/>
      <c r="K653" s="3"/>
    </row>
    <row r="654" spans="5:11" ht="15.75" customHeight="1" x14ac:dyDescent="0.2">
      <c r="E654" s="3"/>
      <c r="F654" s="24"/>
      <c r="G654" s="7"/>
      <c r="H654" s="7"/>
      <c r="I654" s="3"/>
      <c r="J654" s="3"/>
      <c r="K654" s="3"/>
    </row>
    <row r="655" spans="5:11" ht="15.75" customHeight="1" x14ac:dyDescent="0.2">
      <c r="E655" s="3"/>
      <c r="F655" s="24"/>
      <c r="G655" s="7"/>
      <c r="H655" s="7"/>
      <c r="I655" s="3"/>
      <c r="J655" s="3"/>
      <c r="K655" s="3"/>
    </row>
    <row r="656" spans="5:11" ht="15.75" customHeight="1" x14ac:dyDescent="0.2">
      <c r="E656" s="3"/>
      <c r="F656" s="24"/>
      <c r="G656" s="7"/>
      <c r="H656" s="7"/>
      <c r="I656" s="3"/>
      <c r="J656" s="3"/>
      <c r="K656" s="3"/>
    </row>
    <row r="657" spans="5:11" ht="15.75" customHeight="1" x14ac:dyDescent="0.2">
      <c r="E657" s="3"/>
      <c r="F657" s="24"/>
      <c r="G657" s="7"/>
      <c r="H657" s="7"/>
      <c r="I657" s="3"/>
      <c r="J657" s="3"/>
      <c r="K657" s="3"/>
    </row>
    <row r="658" spans="5:11" ht="15.75" customHeight="1" x14ac:dyDescent="0.2">
      <c r="E658" s="3"/>
      <c r="F658" s="24"/>
      <c r="G658" s="7"/>
      <c r="H658" s="7"/>
      <c r="I658" s="3"/>
      <c r="J658" s="3"/>
      <c r="K658" s="3"/>
    </row>
    <row r="659" spans="5:11" ht="15.75" customHeight="1" x14ac:dyDescent="0.2">
      <c r="E659" s="3"/>
      <c r="F659" s="24"/>
      <c r="G659" s="7"/>
      <c r="H659" s="7"/>
      <c r="I659" s="3"/>
      <c r="J659" s="3"/>
      <c r="K659" s="3"/>
    </row>
    <row r="660" spans="5:11" ht="15.75" customHeight="1" x14ac:dyDescent="0.2">
      <c r="E660" s="3"/>
      <c r="F660" s="24"/>
      <c r="G660" s="7"/>
      <c r="H660" s="7"/>
      <c r="I660" s="3"/>
      <c r="J660" s="3"/>
      <c r="K660" s="3"/>
    </row>
    <row r="661" spans="5:11" ht="15.75" customHeight="1" x14ac:dyDescent="0.2">
      <c r="E661" s="3"/>
      <c r="F661" s="24"/>
      <c r="G661" s="7"/>
      <c r="H661" s="7"/>
      <c r="I661" s="3"/>
      <c r="J661" s="3"/>
      <c r="K661" s="3"/>
    </row>
    <row r="662" spans="5:11" ht="15.75" customHeight="1" x14ac:dyDescent="0.2">
      <c r="E662" s="3"/>
      <c r="F662" s="24"/>
      <c r="G662" s="7"/>
      <c r="H662" s="7"/>
      <c r="I662" s="3"/>
      <c r="J662" s="3"/>
      <c r="K662" s="3"/>
    </row>
    <row r="663" spans="5:11" ht="15.75" customHeight="1" x14ac:dyDescent="0.2">
      <c r="E663" s="3"/>
      <c r="F663" s="24"/>
      <c r="G663" s="7"/>
      <c r="H663" s="7"/>
      <c r="I663" s="3"/>
      <c r="J663" s="3"/>
      <c r="K663" s="3"/>
    </row>
    <row r="664" spans="5:11" ht="15.75" customHeight="1" x14ac:dyDescent="0.2">
      <c r="E664" s="3"/>
      <c r="F664" s="24"/>
      <c r="G664" s="7"/>
      <c r="H664" s="7"/>
      <c r="I664" s="3"/>
      <c r="J664" s="3"/>
      <c r="K664" s="3"/>
    </row>
    <row r="665" spans="5:11" ht="15.75" customHeight="1" x14ac:dyDescent="0.2">
      <c r="E665" s="3"/>
      <c r="F665" s="24"/>
      <c r="G665" s="7"/>
      <c r="H665" s="7"/>
      <c r="I665" s="3"/>
      <c r="J665" s="3"/>
      <c r="K665" s="3"/>
    </row>
    <row r="666" spans="5:11" ht="15.75" customHeight="1" x14ac:dyDescent="0.2">
      <c r="E666" s="3"/>
      <c r="F666" s="24"/>
      <c r="G666" s="7"/>
      <c r="H666" s="7"/>
      <c r="I666" s="3"/>
      <c r="J666" s="3"/>
      <c r="K666" s="3"/>
    </row>
    <row r="667" spans="5:11" ht="15.75" customHeight="1" x14ac:dyDescent="0.2">
      <c r="E667" s="3"/>
      <c r="F667" s="24"/>
      <c r="G667" s="7"/>
      <c r="H667" s="7"/>
      <c r="I667" s="3"/>
      <c r="J667" s="3"/>
      <c r="K667" s="3"/>
    </row>
    <row r="668" spans="5:11" ht="15.75" customHeight="1" x14ac:dyDescent="0.2">
      <c r="E668" s="3"/>
      <c r="F668" s="24"/>
      <c r="G668" s="7"/>
      <c r="H668" s="7"/>
      <c r="I668" s="3"/>
      <c r="J668" s="3"/>
      <c r="K668" s="3"/>
    </row>
    <row r="669" spans="5:11" ht="15.75" customHeight="1" x14ac:dyDescent="0.2">
      <c r="E669" s="3"/>
      <c r="F669" s="24"/>
      <c r="G669" s="7"/>
      <c r="H669" s="7"/>
      <c r="I669" s="3"/>
      <c r="J669" s="3"/>
      <c r="K669" s="3"/>
    </row>
    <row r="670" spans="5:11" ht="15.75" customHeight="1" x14ac:dyDescent="0.2">
      <c r="E670" s="3"/>
      <c r="F670" s="24"/>
      <c r="G670" s="7"/>
      <c r="H670" s="7"/>
      <c r="I670" s="3"/>
      <c r="J670" s="3"/>
      <c r="K670" s="3"/>
    </row>
    <row r="671" spans="5:11" ht="15.75" customHeight="1" x14ac:dyDescent="0.2">
      <c r="E671" s="3"/>
      <c r="F671" s="24"/>
      <c r="G671" s="7"/>
      <c r="H671" s="7"/>
      <c r="I671" s="3"/>
      <c r="J671" s="3"/>
      <c r="K671" s="3"/>
    </row>
    <row r="672" spans="5:11" ht="15.75" customHeight="1" x14ac:dyDescent="0.2">
      <c r="E672" s="3"/>
      <c r="F672" s="24"/>
      <c r="G672" s="7"/>
      <c r="H672" s="7"/>
      <c r="I672" s="3"/>
      <c r="J672" s="3"/>
      <c r="K672" s="3"/>
    </row>
    <row r="673" spans="5:11" ht="15.75" customHeight="1" x14ac:dyDescent="0.2">
      <c r="E673" s="3"/>
      <c r="F673" s="24"/>
      <c r="G673" s="7"/>
      <c r="H673" s="7"/>
      <c r="I673" s="3"/>
      <c r="J673" s="3"/>
      <c r="K673" s="3"/>
    </row>
    <row r="674" spans="5:11" ht="15.75" customHeight="1" x14ac:dyDescent="0.2">
      <c r="E674" s="3"/>
      <c r="F674" s="24"/>
      <c r="G674" s="7"/>
      <c r="H674" s="7"/>
      <c r="I674" s="3"/>
      <c r="J674" s="3"/>
      <c r="K674" s="3"/>
    </row>
    <row r="675" spans="5:11" ht="15.75" customHeight="1" x14ac:dyDescent="0.2">
      <c r="E675" s="3"/>
      <c r="F675" s="24"/>
      <c r="G675" s="7"/>
      <c r="H675" s="7"/>
      <c r="I675" s="3"/>
      <c r="J675" s="3"/>
      <c r="K675" s="3"/>
    </row>
    <row r="676" spans="5:11" ht="15.75" customHeight="1" x14ac:dyDescent="0.2">
      <c r="E676" s="3"/>
      <c r="F676" s="24"/>
      <c r="G676" s="7"/>
      <c r="H676" s="7"/>
      <c r="I676" s="3"/>
      <c r="J676" s="3"/>
      <c r="K676" s="3"/>
    </row>
    <row r="677" spans="5:11" ht="15.75" customHeight="1" x14ac:dyDescent="0.2">
      <c r="E677" s="3"/>
      <c r="F677" s="24"/>
      <c r="G677" s="7"/>
      <c r="H677" s="7"/>
      <c r="I677" s="3"/>
      <c r="J677" s="3"/>
      <c r="K677" s="3"/>
    </row>
    <row r="678" spans="5:11" ht="15.75" customHeight="1" x14ac:dyDescent="0.2">
      <c r="E678" s="3"/>
      <c r="F678" s="24"/>
      <c r="G678" s="7"/>
      <c r="H678" s="7"/>
      <c r="I678" s="3"/>
      <c r="J678" s="3"/>
      <c r="K678" s="3"/>
    </row>
    <row r="679" spans="5:11" ht="15.75" customHeight="1" x14ac:dyDescent="0.2">
      <c r="E679" s="3"/>
      <c r="F679" s="24"/>
      <c r="G679" s="7"/>
      <c r="H679" s="7"/>
      <c r="I679" s="3"/>
      <c r="J679" s="3"/>
      <c r="K679" s="3"/>
    </row>
    <row r="680" spans="5:11" ht="15.75" customHeight="1" x14ac:dyDescent="0.2">
      <c r="E680" s="3"/>
      <c r="F680" s="24"/>
      <c r="G680" s="7"/>
      <c r="H680" s="7"/>
      <c r="I680" s="3"/>
      <c r="J680" s="3"/>
      <c r="K680" s="3"/>
    </row>
    <row r="681" spans="5:11" ht="15.75" customHeight="1" x14ac:dyDescent="0.2">
      <c r="E681" s="3"/>
      <c r="F681" s="24"/>
      <c r="G681" s="7"/>
      <c r="H681" s="7"/>
      <c r="I681" s="3"/>
      <c r="J681" s="3"/>
      <c r="K681" s="3"/>
    </row>
    <row r="682" spans="5:11" ht="15.75" customHeight="1" x14ac:dyDescent="0.2">
      <c r="E682" s="3"/>
      <c r="F682" s="24"/>
      <c r="G682" s="7"/>
      <c r="H682" s="7"/>
      <c r="I682" s="3"/>
      <c r="J682" s="3"/>
      <c r="K682" s="3"/>
    </row>
    <row r="683" spans="5:11" ht="15.75" customHeight="1" x14ac:dyDescent="0.2">
      <c r="E683" s="3"/>
      <c r="F683" s="24"/>
      <c r="G683" s="7"/>
      <c r="H683" s="7"/>
      <c r="I683" s="3"/>
      <c r="J683" s="3"/>
      <c r="K683" s="3"/>
    </row>
    <row r="684" spans="5:11" ht="15.75" customHeight="1" x14ac:dyDescent="0.2">
      <c r="E684" s="3"/>
      <c r="F684" s="24"/>
      <c r="G684" s="7"/>
      <c r="H684" s="7"/>
      <c r="I684" s="3"/>
      <c r="J684" s="3"/>
      <c r="K684" s="3"/>
    </row>
    <row r="685" spans="5:11" ht="15.75" customHeight="1" x14ac:dyDescent="0.2">
      <c r="E685" s="3"/>
      <c r="F685" s="24"/>
      <c r="G685" s="7"/>
      <c r="H685" s="7"/>
      <c r="I685" s="3"/>
      <c r="J685" s="3"/>
      <c r="K685" s="3"/>
    </row>
    <row r="686" spans="5:11" ht="15.75" customHeight="1" x14ac:dyDescent="0.2">
      <c r="E686" s="3"/>
      <c r="F686" s="24"/>
      <c r="G686" s="7"/>
      <c r="H686" s="7"/>
      <c r="I686" s="3"/>
      <c r="J686" s="3"/>
      <c r="K686" s="3"/>
    </row>
    <row r="687" spans="5:11" ht="15.75" customHeight="1" x14ac:dyDescent="0.2">
      <c r="E687" s="3"/>
      <c r="F687" s="24"/>
      <c r="G687" s="7"/>
      <c r="H687" s="7"/>
      <c r="I687" s="3"/>
      <c r="J687" s="3"/>
      <c r="K687" s="3"/>
    </row>
    <row r="688" spans="5:11" ht="15.75" customHeight="1" x14ac:dyDescent="0.2">
      <c r="E688" s="3"/>
      <c r="F688" s="24"/>
      <c r="G688" s="7"/>
      <c r="H688" s="7"/>
      <c r="I688" s="3"/>
      <c r="J688" s="3"/>
      <c r="K688" s="3"/>
    </row>
    <row r="689" spans="5:11" ht="15.75" customHeight="1" x14ac:dyDescent="0.2">
      <c r="E689" s="3"/>
      <c r="F689" s="24"/>
      <c r="G689" s="7"/>
      <c r="H689" s="7"/>
      <c r="I689" s="3"/>
      <c r="J689" s="3"/>
      <c r="K689" s="3"/>
    </row>
    <row r="690" spans="5:11" ht="15.75" customHeight="1" x14ac:dyDescent="0.2">
      <c r="E690" s="3"/>
      <c r="F690" s="24"/>
      <c r="G690" s="7"/>
      <c r="H690" s="7"/>
      <c r="I690" s="3"/>
      <c r="J690" s="3"/>
      <c r="K690" s="3"/>
    </row>
    <row r="691" spans="5:11" ht="15.75" customHeight="1" x14ac:dyDescent="0.2">
      <c r="E691" s="3"/>
      <c r="F691" s="24"/>
      <c r="G691" s="7"/>
      <c r="H691" s="7"/>
      <c r="I691" s="3"/>
      <c r="J691" s="3"/>
      <c r="K691" s="3"/>
    </row>
    <row r="692" spans="5:11" ht="15.75" customHeight="1" x14ac:dyDescent="0.2">
      <c r="E692" s="3"/>
      <c r="F692" s="24"/>
      <c r="G692" s="7"/>
      <c r="H692" s="7"/>
      <c r="I692" s="3"/>
      <c r="J692" s="3"/>
      <c r="K692" s="3"/>
    </row>
    <row r="693" spans="5:11" ht="15.75" customHeight="1" x14ac:dyDescent="0.2">
      <c r="E693" s="3"/>
      <c r="F693" s="24"/>
      <c r="G693" s="7"/>
      <c r="H693" s="7"/>
      <c r="I693" s="3"/>
      <c r="J693" s="3"/>
      <c r="K693" s="3"/>
    </row>
    <row r="694" spans="5:11" ht="15.75" customHeight="1" x14ac:dyDescent="0.2">
      <c r="E694" s="3"/>
      <c r="F694" s="24"/>
      <c r="G694" s="7"/>
      <c r="H694" s="7"/>
      <c r="I694" s="3"/>
      <c r="J694" s="3"/>
      <c r="K694" s="3"/>
    </row>
    <row r="695" spans="5:11" ht="15.75" customHeight="1" x14ac:dyDescent="0.2">
      <c r="E695" s="3"/>
      <c r="F695" s="24"/>
      <c r="G695" s="7"/>
      <c r="H695" s="7"/>
      <c r="I695" s="3"/>
      <c r="J695" s="3"/>
      <c r="K695" s="3"/>
    </row>
    <row r="696" spans="5:11" ht="15.75" customHeight="1" x14ac:dyDescent="0.2">
      <c r="E696" s="3"/>
      <c r="F696" s="24"/>
      <c r="G696" s="7"/>
      <c r="H696" s="7"/>
      <c r="I696" s="3"/>
      <c r="J696" s="3"/>
      <c r="K696" s="3"/>
    </row>
    <row r="697" spans="5:11" ht="15.75" customHeight="1" x14ac:dyDescent="0.2">
      <c r="E697" s="3"/>
      <c r="F697" s="24"/>
      <c r="G697" s="7"/>
      <c r="H697" s="7"/>
      <c r="I697" s="3"/>
      <c r="J697" s="3"/>
      <c r="K697" s="3"/>
    </row>
    <row r="698" spans="5:11" ht="15.75" customHeight="1" x14ac:dyDescent="0.2">
      <c r="E698" s="3"/>
      <c r="F698" s="24"/>
      <c r="G698" s="7"/>
      <c r="H698" s="7"/>
      <c r="I698" s="3"/>
      <c r="J698" s="3"/>
      <c r="K698" s="3"/>
    </row>
    <row r="699" spans="5:11" ht="15.75" customHeight="1" x14ac:dyDescent="0.2">
      <c r="E699" s="3"/>
      <c r="F699" s="24"/>
      <c r="G699" s="7"/>
      <c r="H699" s="7"/>
      <c r="I699" s="3"/>
      <c r="J699" s="3"/>
      <c r="K699" s="3"/>
    </row>
    <row r="700" spans="5:11" ht="15.75" customHeight="1" x14ac:dyDescent="0.2">
      <c r="E700" s="3"/>
      <c r="F700" s="24"/>
      <c r="G700" s="7"/>
      <c r="H700" s="7"/>
      <c r="I700" s="3"/>
      <c r="J700" s="3"/>
      <c r="K700" s="3"/>
    </row>
    <row r="701" spans="5:11" ht="15.75" customHeight="1" x14ac:dyDescent="0.2">
      <c r="E701" s="3"/>
      <c r="F701" s="24"/>
      <c r="G701" s="7"/>
      <c r="H701" s="7"/>
      <c r="I701" s="3"/>
      <c r="J701" s="3"/>
      <c r="K701" s="3"/>
    </row>
    <row r="702" spans="5:11" ht="15.75" customHeight="1" x14ac:dyDescent="0.2">
      <c r="E702" s="3"/>
      <c r="F702" s="24"/>
      <c r="G702" s="7"/>
      <c r="H702" s="7"/>
      <c r="I702" s="3"/>
      <c r="J702" s="3"/>
      <c r="K702" s="3"/>
    </row>
    <row r="703" spans="5:11" ht="15.75" customHeight="1" x14ac:dyDescent="0.2">
      <c r="E703" s="3"/>
      <c r="F703" s="24"/>
      <c r="G703" s="7"/>
      <c r="H703" s="7"/>
      <c r="I703" s="3"/>
      <c r="J703" s="3"/>
      <c r="K703" s="3"/>
    </row>
    <row r="704" spans="5:11" ht="15.75" customHeight="1" x14ac:dyDescent="0.2">
      <c r="E704" s="3"/>
      <c r="F704" s="24"/>
      <c r="G704" s="7"/>
      <c r="H704" s="7"/>
      <c r="I704" s="3"/>
      <c r="J704" s="3"/>
      <c r="K704" s="3"/>
    </row>
    <row r="705" spans="5:11" ht="15.75" customHeight="1" x14ac:dyDescent="0.2">
      <c r="E705" s="3"/>
      <c r="F705" s="24"/>
      <c r="G705" s="7"/>
      <c r="H705" s="7"/>
      <c r="I705" s="3"/>
      <c r="J705" s="3"/>
      <c r="K705" s="3"/>
    </row>
    <row r="706" spans="5:11" ht="15.75" customHeight="1" x14ac:dyDescent="0.2">
      <c r="E706" s="3"/>
      <c r="F706" s="24"/>
      <c r="G706" s="7"/>
      <c r="H706" s="7"/>
      <c r="I706" s="3"/>
      <c r="J706" s="3"/>
      <c r="K706" s="3"/>
    </row>
    <row r="707" spans="5:11" ht="15.75" customHeight="1" x14ac:dyDescent="0.2">
      <c r="E707" s="3"/>
      <c r="F707" s="24"/>
      <c r="G707" s="7"/>
      <c r="H707" s="7"/>
      <c r="I707" s="3"/>
      <c r="J707" s="3"/>
      <c r="K707" s="3"/>
    </row>
    <row r="708" spans="5:11" ht="15.75" customHeight="1" x14ac:dyDescent="0.2">
      <c r="E708" s="3"/>
      <c r="F708" s="24"/>
      <c r="G708" s="7"/>
      <c r="H708" s="7"/>
      <c r="I708" s="3"/>
      <c r="J708" s="3"/>
      <c r="K708" s="3"/>
    </row>
    <row r="709" spans="5:11" ht="15.75" customHeight="1" x14ac:dyDescent="0.2">
      <c r="E709" s="3"/>
      <c r="F709" s="24"/>
      <c r="G709" s="7"/>
      <c r="H709" s="7"/>
      <c r="I709" s="3"/>
      <c r="J709" s="3"/>
      <c r="K709" s="3"/>
    </row>
    <row r="710" spans="5:11" ht="15.75" customHeight="1" x14ac:dyDescent="0.2">
      <c r="E710" s="3"/>
      <c r="F710" s="24"/>
      <c r="G710" s="7"/>
      <c r="H710" s="7"/>
      <c r="I710" s="3"/>
      <c r="J710" s="3"/>
      <c r="K710" s="3"/>
    </row>
    <row r="711" spans="5:11" ht="15.75" customHeight="1" x14ac:dyDescent="0.2">
      <c r="E711" s="3"/>
      <c r="F711" s="24"/>
      <c r="G711" s="7"/>
      <c r="H711" s="7"/>
      <c r="I711" s="3"/>
      <c r="J711" s="3"/>
      <c r="K711" s="3"/>
    </row>
    <row r="712" spans="5:11" ht="15.75" customHeight="1" x14ac:dyDescent="0.2">
      <c r="E712" s="3"/>
      <c r="F712" s="24"/>
      <c r="G712" s="7"/>
      <c r="H712" s="7"/>
      <c r="I712" s="3"/>
      <c r="J712" s="3"/>
      <c r="K712" s="3"/>
    </row>
    <row r="713" spans="5:11" ht="15.75" customHeight="1" x14ac:dyDescent="0.2">
      <c r="E713" s="3"/>
      <c r="F713" s="24"/>
      <c r="G713" s="7"/>
      <c r="H713" s="7"/>
      <c r="I713" s="3"/>
      <c r="J713" s="3"/>
      <c r="K713" s="3"/>
    </row>
    <row r="714" spans="5:11" ht="15.75" customHeight="1" x14ac:dyDescent="0.2">
      <c r="E714" s="3"/>
      <c r="F714" s="24"/>
      <c r="G714" s="7"/>
      <c r="H714" s="7"/>
      <c r="I714" s="3"/>
      <c r="J714" s="3"/>
      <c r="K714" s="3"/>
    </row>
    <row r="715" spans="5:11" ht="15.75" customHeight="1" x14ac:dyDescent="0.2">
      <c r="E715" s="3"/>
      <c r="F715" s="24"/>
      <c r="G715" s="7"/>
      <c r="H715" s="7"/>
      <c r="I715" s="3"/>
      <c r="J715" s="3"/>
      <c r="K715" s="3"/>
    </row>
    <row r="716" spans="5:11" ht="15.75" customHeight="1" x14ac:dyDescent="0.2">
      <c r="E716" s="3"/>
      <c r="F716" s="24"/>
      <c r="G716" s="7"/>
      <c r="H716" s="7"/>
      <c r="I716" s="3"/>
      <c r="J716" s="3"/>
      <c r="K716" s="3"/>
    </row>
    <row r="717" spans="5:11" ht="15.75" customHeight="1" x14ac:dyDescent="0.2">
      <c r="E717" s="3"/>
      <c r="F717" s="24"/>
      <c r="G717" s="7"/>
      <c r="H717" s="7"/>
      <c r="I717" s="3"/>
      <c r="J717" s="3"/>
      <c r="K717" s="3"/>
    </row>
    <row r="718" spans="5:11" ht="15.75" customHeight="1" x14ac:dyDescent="0.2">
      <c r="E718" s="3"/>
      <c r="F718" s="24"/>
      <c r="G718" s="7"/>
      <c r="H718" s="7"/>
      <c r="I718" s="3"/>
      <c r="J718" s="3"/>
      <c r="K718" s="3"/>
    </row>
    <row r="719" spans="5:11" ht="15.75" customHeight="1" x14ac:dyDescent="0.2">
      <c r="E719" s="3"/>
      <c r="F719" s="24"/>
      <c r="G719" s="7"/>
      <c r="H719" s="7"/>
      <c r="I719" s="3"/>
      <c r="J719" s="3"/>
      <c r="K719" s="3"/>
    </row>
    <row r="720" spans="5:11" ht="15.75" customHeight="1" x14ac:dyDescent="0.2">
      <c r="E720" s="3"/>
      <c r="F720" s="24"/>
      <c r="G720" s="7"/>
      <c r="H720" s="7"/>
      <c r="I720" s="3"/>
      <c r="J720" s="3"/>
      <c r="K720" s="3"/>
    </row>
    <row r="721" spans="5:11" ht="15.75" customHeight="1" x14ac:dyDescent="0.2">
      <c r="E721" s="3"/>
      <c r="F721" s="24"/>
      <c r="G721" s="7"/>
      <c r="H721" s="7"/>
      <c r="I721" s="3"/>
      <c r="J721" s="3"/>
      <c r="K721" s="3"/>
    </row>
    <row r="722" spans="5:11" ht="15.75" customHeight="1" x14ac:dyDescent="0.2">
      <c r="E722" s="3"/>
      <c r="F722" s="24"/>
      <c r="G722" s="7"/>
      <c r="H722" s="7"/>
      <c r="I722" s="3"/>
      <c r="J722" s="3"/>
      <c r="K722" s="3"/>
    </row>
    <row r="723" spans="5:11" ht="15.75" customHeight="1" x14ac:dyDescent="0.2">
      <c r="E723" s="3"/>
      <c r="F723" s="24"/>
      <c r="G723" s="7"/>
      <c r="H723" s="7"/>
      <c r="I723" s="3"/>
      <c r="J723" s="3"/>
      <c r="K723" s="3"/>
    </row>
    <row r="724" spans="5:11" ht="15.75" customHeight="1" x14ac:dyDescent="0.2">
      <c r="E724" s="3"/>
      <c r="F724" s="24"/>
      <c r="G724" s="7"/>
      <c r="H724" s="7"/>
      <c r="I724" s="3"/>
      <c r="J724" s="3"/>
      <c r="K724" s="3"/>
    </row>
    <row r="725" spans="5:11" ht="15.75" customHeight="1" x14ac:dyDescent="0.2">
      <c r="E725" s="3"/>
      <c r="F725" s="24"/>
      <c r="G725" s="7"/>
      <c r="H725" s="7"/>
      <c r="I725" s="3"/>
      <c r="J725" s="3"/>
      <c r="K725" s="3"/>
    </row>
    <row r="726" spans="5:11" ht="15.75" customHeight="1" x14ac:dyDescent="0.2">
      <c r="E726" s="3"/>
      <c r="F726" s="24"/>
      <c r="G726" s="7"/>
      <c r="H726" s="7"/>
      <c r="I726" s="3"/>
      <c r="J726" s="3"/>
      <c r="K726" s="3"/>
    </row>
    <row r="727" spans="5:11" ht="15.75" customHeight="1" x14ac:dyDescent="0.2">
      <c r="E727" s="3"/>
      <c r="F727" s="24"/>
      <c r="G727" s="7"/>
      <c r="H727" s="7"/>
      <c r="I727" s="3"/>
      <c r="J727" s="3"/>
      <c r="K727" s="3"/>
    </row>
    <row r="728" spans="5:11" ht="15.75" customHeight="1" x14ac:dyDescent="0.2">
      <c r="E728" s="3"/>
      <c r="F728" s="24"/>
      <c r="G728" s="7"/>
      <c r="H728" s="7"/>
      <c r="I728" s="3"/>
      <c r="J728" s="3"/>
      <c r="K728" s="3"/>
    </row>
    <row r="729" spans="5:11" ht="15.75" customHeight="1" x14ac:dyDescent="0.2">
      <c r="E729" s="3"/>
      <c r="F729" s="24"/>
      <c r="G729" s="7"/>
      <c r="H729" s="7"/>
      <c r="I729" s="3"/>
      <c r="J729" s="3"/>
      <c r="K729" s="3"/>
    </row>
    <row r="730" spans="5:11" ht="15.75" customHeight="1" x14ac:dyDescent="0.2">
      <c r="E730" s="3"/>
      <c r="F730" s="24"/>
      <c r="G730" s="7"/>
      <c r="H730" s="7"/>
      <c r="I730" s="3"/>
      <c r="J730" s="3"/>
      <c r="K730" s="3"/>
    </row>
    <row r="731" spans="5:11" ht="15.75" customHeight="1" x14ac:dyDescent="0.2">
      <c r="E731" s="3"/>
      <c r="F731" s="24"/>
      <c r="G731" s="7"/>
      <c r="H731" s="7"/>
      <c r="I731" s="3"/>
      <c r="J731" s="3"/>
      <c r="K731" s="3"/>
    </row>
    <row r="732" spans="5:11" ht="15.75" customHeight="1" x14ac:dyDescent="0.2">
      <c r="E732" s="3"/>
      <c r="F732" s="24"/>
      <c r="G732" s="7"/>
      <c r="H732" s="7"/>
      <c r="I732" s="3"/>
      <c r="J732" s="3"/>
      <c r="K732" s="3"/>
    </row>
    <row r="733" spans="5:11" ht="15.75" customHeight="1" x14ac:dyDescent="0.2">
      <c r="E733" s="3"/>
      <c r="F733" s="24"/>
      <c r="G733" s="7"/>
      <c r="H733" s="7"/>
      <c r="I733" s="3"/>
      <c r="J733" s="3"/>
      <c r="K733" s="3"/>
    </row>
    <row r="734" spans="5:11" ht="15.75" customHeight="1" x14ac:dyDescent="0.2">
      <c r="E734" s="3"/>
      <c r="F734" s="24"/>
      <c r="G734" s="7"/>
      <c r="H734" s="7"/>
      <c r="I734" s="3"/>
      <c r="J734" s="3"/>
      <c r="K734" s="3"/>
    </row>
    <row r="735" spans="5:11" ht="15.75" customHeight="1" x14ac:dyDescent="0.2">
      <c r="E735" s="3"/>
      <c r="F735" s="24"/>
      <c r="G735" s="7"/>
      <c r="H735" s="7"/>
      <c r="I735" s="3"/>
      <c r="J735" s="3"/>
      <c r="K735" s="3"/>
    </row>
    <row r="736" spans="5:11" ht="15.75" customHeight="1" x14ac:dyDescent="0.2">
      <c r="E736" s="3"/>
      <c r="F736" s="24"/>
      <c r="G736" s="7"/>
      <c r="H736" s="7"/>
      <c r="I736" s="3"/>
      <c r="J736" s="3"/>
      <c r="K736" s="3"/>
    </row>
    <row r="737" spans="5:11" ht="15.75" customHeight="1" x14ac:dyDescent="0.2">
      <c r="E737" s="3"/>
      <c r="F737" s="24"/>
      <c r="G737" s="7"/>
      <c r="H737" s="7"/>
      <c r="I737" s="3"/>
      <c r="J737" s="3"/>
      <c r="K737" s="3"/>
    </row>
    <row r="738" spans="5:11" ht="15.75" customHeight="1" x14ac:dyDescent="0.2">
      <c r="E738" s="3"/>
      <c r="F738" s="24"/>
      <c r="G738" s="7"/>
      <c r="H738" s="7"/>
      <c r="I738" s="3"/>
      <c r="J738" s="3"/>
      <c r="K738" s="3"/>
    </row>
    <row r="739" spans="5:11" ht="15.75" customHeight="1" x14ac:dyDescent="0.2">
      <c r="E739" s="3"/>
      <c r="F739" s="24"/>
      <c r="G739" s="7"/>
      <c r="H739" s="7"/>
      <c r="I739" s="3"/>
      <c r="J739" s="3"/>
      <c r="K739" s="3"/>
    </row>
    <row r="740" spans="5:11" ht="15.75" customHeight="1" x14ac:dyDescent="0.2">
      <c r="E740" s="3"/>
      <c r="F740" s="24"/>
      <c r="G740" s="7"/>
      <c r="H740" s="7"/>
      <c r="I740" s="3"/>
      <c r="J740" s="3"/>
      <c r="K740" s="3"/>
    </row>
    <row r="741" spans="5:11" ht="15.75" customHeight="1" x14ac:dyDescent="0.2">
      <c r="E741" s="3"/>
      <c r="F741" s="24"/>
      <c r="G741" s="7"/>
      <c r="H741" s="7"/>
      <c r="I741" s="3"/>
      <c r="J741" s="3"/>
      <c r="K741" s="3"/>
    </row>
    <row r="742" spans="5:11" ht="15.75" customHeight="1" x14ac:dyDescent="0.2">
      <c r="E742" s="3"/>
      <c r="F742" s="24"/>
      <c r="G742" s="7"/>
      <c r="H742" s="7"/>
      <c r="I742" s="3"/>
      <c r="J742" s="3"/>
      <c r="K742" s="3"/>
    </row>
    <row r="743" spans="5:11" ht="15.75" customHeight="1" x14ac:dyDescent="0.2">
      <c r="E743" s="3"/>
      <c r="F743" s="24"/>
      <c r="G743" s="7"/>
      <c r="H743" s="7"/>
      <c r="I743" s="3"/>
      <c r="J743" s="3"/>
      <c r="K743" s="3"/>
    </row>
    <row r="744" spans="5:11" ht="15.75" customHeight="1" x14ac:dyDescent="0.2">
      <c r="E744" s="3"/>
      <c r="F744" s="24"/>
      <c r="G744" s="7"/>
      <c r="H744" s="7"/>
      <c r="I744" s="3"/>
      <c r="J744" s="3"/>
      <c r="K744" s="3"/>
    </row>
    <row r="745" spans="5:11" ht="15.75" customHeight="1" x14ac:dyDescent="0.2">
      <c r="E745" s="3"/>
      <c r="F745" s="24"/>
      <c r="G745" s="7"/>
      <c r="H745" s="7"/>
      <c r="I745" s="3"/>
      <c r="J745" s="3"/>
      <c r="K745" s="3"/>
    </row>
    <row r="746" spans="5:11" ht="15.75" customHeight="1" x14ac:dyDescent="0.2">
      <c r="E746" s="3"/>
      <c r="F746" s="24"/>
      <c r="G746" s="7"/>
      <c r="H746" s="7"/>
      <c r="I746" s="3"/>
      <c r="J746" s="3"/>
      <c r="K746" s="3"/>
    </row>
    <row r="747" spans="5:11" ht="15.75" customHeight="1" x14ac:dyDescent="0.2">
      <c r="E747" s="3"/>
      <c r="F747" s="24"/>
      <c r="G747" s="7"/>
      <c r="H747" s="7"/>
      <c r="I747" s="3"/>
      <c r="J747" s="3"/>
      <c r="K747" s="3"/>
    </row>
    <row r="748" spans="5:11" ht="15.75" customHeight="1" x14ac:dyDescent="0.2">
      <c r="E748" s="3"/>
      <c r="F748" s="24"/>
      <c r="G748" s="7"/>
      <c r="H748" s="7"/>
      <c r="I748" s="3"/>
      <c r="J748" s="3"/>
      <c r="K748" s="3"/>
    </row>
    <row r="749" spans="5:11" ht="15.75" customHeight="1" x14ac:dyDescent="0.2">
      <c r="E749" s="3"/>
      <c r="F749" s="24"/>
      <c r="G749" s="7"/>
      <c r="H749" s="7"/>
      <c r="I749" s="3"/>
      <c r="J749" s="3"/>
      <c r="K749" s="3"/>
    </row>
    <row r="750" spans="5:11" ht="15.75" customHeight="1" x14ac:dyDescent="0.2">
      <c r="E750" s="3"/>
      <c r="F750" s="24"/>
      <c r="G750" s="7"/>
      <c r="H750" s="7"/>
      <c r="I750" s="3"/>
      <c r="J750" s="3"/>
      <c r="K750" s="3"/>
    </row>
    <row r="751" spans="5:11" ht="15.75" customHeight="1" x14ac:dyDescent="0.2">
      <c r="E751" s="3"/>
      <c r="F751" s="24"/>
      <c r="G751" s="7"/>
      <c r="H751" s="7"/>
      <c r="I751" s="3"/>
      <c r="J751" s="3"/>
      <c r="K751" s="3"/>
    </row>
    <row r="752" spans="5:11" ht="15.75" customHeight="1" x14ac:dyDescent="0.2">
      <c r="E752" s="3"/>
      <c r="F752" s="24"/>
      <c r="G752" s="7"/>
      <c r="H752" s="7"/>
      <c r="I752" s="3"/>
      <c r="J752" s="3"/>
      <c r="K752" s="3"/>
    </row>
    <row r="753" spans="5:11" ht="15.75" customHeight="1" x14ac:dyDescent="0.2">
      <c r="E753" s="3"/>
      <c r="F753" s="24"/>
      <c r="G753" s="7"/>
      <c r="H753" s="7"/>
      <c r="I753" s="3"/>
      <c r="J753" s="3"/>
      <c r="K753" s="3"/>
    </row>
    <row r="754" spans="5:11" ht="15.75" customHeight="1" x14ac:dyDescent="0.2">
      <c r="E754" s="3"/>
      <c r="F754" s="24"/>
      <c r="G754" s="7"/>
      <c r="H754" s="7"/>
      <c r="I754" s="3"/>
      <c r="J754" s="3"/>
      <c r="K754" s="3"/>
    </row>
    <row r="755" spans="5:11" ht="15.75" customHeight="1" x14ac:dyDescent="0.2">
      <c r="E755" s="3"/>
      <c r="F755" s="24"/>
      <c r="G755" s="7"/>
      <c r="H755" s="7"/>
      <c r="I755" s="3"/>
      <c r="J755" s="3"/>
      <c r="K755" s="3"/>
    </row>
    <row r="756" spans="5:11" ht="15.75" customHeight="1" x14ac:dyDescent="0.2">
      <c r="E756" s="3"/>
      <c r="F756" s="24"/>
      <c r="G756" s="7"/>
      <c r="H756" s="7"/>
      <c r="I756" s="3"/>
      <c r="J756" s="3"/>
      <c r="K756" s="3"/>
    </row>
    <row r="757" spans="5:11" ht="15.75" customHeight="1" x14ac:dyDescent="0.2">
      <c r="E757" s="3"/>
      <c r="F757" s="24"/>
      <c r="G757" s="7"/>
      <c r="H757" s="7"/>
      <c r="I757" s="3"/>
      <c r="J757" s="3"/>
      <c r="K757" s="3"/>
    </row>
    <row r="758" spans="5:11" ht="15.75" customHeight="1" x14ac:dyDescent="0.2">
      <c r="E758" s="3"/>
      <c r="F758" s="24"/>
      <c r="G758" s="7"/>
      <c r="H758" s="7"/>
      <c r="I758" s="3"/>
      <c r="J758" s="3"/>
      <c r="K758" s="3"/>
    </row>
    <row r="759" spans="5:11" ht="15.75" customHeight="1" x14ac:dyDescent="0.2">
      <c r="E759" s="3"/>
      <c r="F759" s="24"/>
      <c r="G759" s="7"/>
      <c r="H759" s="7"/>
      <c r="I759" s="3"/>
      <c r="J759" s="3"/>
      <c r="K759" s="3"/>
    </row>
    <row r="760" spans="5:11" ht="15.75" customHeight="1" x14ac:dyDescent="0.2">
      <c r="E760" s="3"/>
      <c r="F760" s="24"/>
      <c r="G760" s="7"/>
      <c r="H760" s="7"/>
      <c r="I760" s="3"/>
      <c r="J760" s="3"/>
      <c r="K760" s="3"/>
    </row>
    <row r="761" spans="5:11" ht="15.75" customHeight="1" x14ac:dyDescent="0.2">
      <c r="E761" s="3"/>
      <c r="F761" s="24"/>
      <c r="G761" s="7"/>
      <c r="H761" s="7"/>
      <c r="I761" s="3"/>
      <c r="J761" s="3"/>
      <c r="K761" s="3"/>
    </row>
    <row r="762" spans="5:11" ht="15.75" customHeight="1" x14ac:dyDescent="0.2">
      <c r="E762" s="3"/>
      <c r="F762" s="24"/>
      <c r="G762" s="7"/>
      <c r="H762" s="7"/>
      <c r="I762" s="3"/>
      <c r="J762" s="3"/>
      <c r="K762" s="3"/>
    </row>
    <row r="763" spans="5:11" ht="15.75" customHeight="1" x14ac:dyDescent="0.2">
      <c r="E763" s="3"/>
      <c r="F763" s="24"/>
      <c r="G763" s="7"/>
      <c r="H763" s="7"/>
      <c r="I763" s="3"/>
      <c r="J763" s="3"/>
      <c r="K763" s="3"/>
    </row>
    <row r="764" spans="5:11" ht="15.75" customHeight="1" x14ac:dyDescent="0.2">
      <c r="E764" s="3"/>
      <c r="F764" s="24"/>
      <c r="G764" s="7"/>
      <c r="H764" s="7"/>
      <c r="I764" s="3"/>
      <c r="J764" s="3"/>
      <c r="K764" s="3"/>
    </row>
    <row r="765" spans="5:11" ht="15.75" customHeight="1" x14ac:dyDescent="0.2">
      <c r="E765" s="3"/>
      <c r="F765" s="24"/>
      <c r="G765" s="7"/>
      <c r="H765" s="7"/>
      <c r="I765" s="3"/>
      <c r="J765" s="3"/>
      <c r="K765" s="3"/>
    </row>
    <row r="766" spans="5:11" ht="15.75" customHeight="1" x14ac:dyDescent="0.2">
      <c r="E766" s="3"/>
      <c r="F766" s="24"/>
      <c r="G766" s="7"/>
      <c r="H766" s="7"/>
      <c r="I766" s="3"/>
      <c r="J766" s="3"/>
      <c r="K766" s="3"/>
    </row>
    <row r="767" spans="5:11" ht="15.75" customHeight="1" x14ac:dyDescent="0.2">
      <c r="E767" s="3"/>
      <c r="F767" s="24"/>
      <c r="G767" s="7"/>
      <c r="H767" s="7"/>
      <c r="I767" s="3"/>
      <c r="J767" s="3"/>
      <c r="K767" s="3"/>
    </row>
    <row r="768" spans="5:11" ht="15.75" customHeight="1" x14ac:dyDescent="0.2">
      <c r="E768" s="3"/>
      <c r="F768" s="24"/>
      <c r="G768" s="7"/>
      <c r="H768" s="7"/>
      <c r="I768" s="3"/>
      <c r="J768" s="3"/>
      <c r="K768" s="3"/>
    </row>
    <row r="769" spans="5:11" ht="15.75" customHeight="1" x14ac:dyDescent="0.2">
      <c r="E769" s="3"/>
      <c r="F769" s="24"/>
      <c r="G769" s="7"/>
      <c r="H769" s="7"/>
      <c r="I769" s="3"/>
      <c r="J769" s="3"/>
      <c r="K769" s="3"/>
    </row>
    <row r="770" spans="5:11" ht="15.75" customHeight="1" x14ac:dyDescent="0.2">
      <c r="E770" s="3"/>
      <c r="F770" s="24"/>
      <c r="G770" s="7"/>
      <c r="H770" s="7"/>
      <c r="I770" s="3"/>
      <c r="J770" s="3"/>
      <c r="K770" s="3"/>
    </row>
    <row r="771" spans="5:11" ht="15.75" customHeight="1" x14ac:dyDescent="0.2">
      <c r="E771" s="3"/>
      <c r="F771" s="24"/>
      <c r="G771" s="7"/>
      <c r="H771" s="7"/>
      <c r="I771" s="3"/>
      <c r="J771" s="3"/>
      <c r="K771" s="3"/>
    </row>
    <row r="772" spans="5:11" ht="15.75" customHeight="1" x14ac:dyDescent="0.2">
      <c r="E772" s="3"/>
      <c r="F772" s="24"/>
      <c r="G772" s="7"/>
      <c r="H772" s="7"/>
      <c r="I772" s="3"/>
      <c r="J772" s="3"/>
      <c r="K772" s="3"/>
    </row>
    <row r="773" spans="5:11" ht="15.75" customHeight="1" x14ac:dyDescent="0.2">
      <c r="E773" s="3"/>
      <c r="F773" s="24"/>
      <c r="G773" s="7"/>
      <c r="H773" s="7"/>
      <c r="I773" s="3"/>
      <c r="J773" s="3"/>
      <c r="K773" s="3"/>
    </row>
    <row r="774" spans="5:11" ht="15.75" customHeight="1" x14ac:dyDescent="0.2">
      <c r="E774" s="3"/>
      <c r="F774" s="24"/>
      <c r="G774" s="7"/>
      <c r="H774" s="7"/>
      <c r="I774" s="3"/>
      <c r="J774" s="3"/>
      <c r="K774" s="3"/>
    </row>
    <row r="775" spans="5:11" ht="15.75" customHeight="1" x14ac:dyDescent="0.2">
      <c r="E775" s="3"/>
      <c r="F775" s="24"/>
      <c r="G775" s="7"/>
      <c r="H775" s="7"/>
      <c r="I775" s="3"/>
      <c r="J775" s="3"/>
      <c r="K775" s="3"/>
    </row>
    <row r="776" spans="5:11" ht="15.75" customHeight="1" x14ac:dyDescent="0.2">
      <c r="E776" s="3"/>
      <c r="F776" s="24"/>
      <c r="G776" s="7"/>
      <c r="H776" s="7"/>
      <c r="I776" s="3"/>
      <c r="J776" s="3"/>
      <c r="K776" s="3"/>
    </row>
    <row r="777" spans="5:11" ht="15.75" customHeight="1" x14ac:dyDescent="0.2">
      <c r="E777" s="3"/>
      <c r="F777" s="24"/>
      <c r="G777" s="7"/>
      <c r="H777" s="7"/>
      <c r="I777" s="3"/>
      <c r="J777" s="3"/>
      <c r="K777" s="3"/>
    </row>
    <row r="778" spans="5:11" ht="15.75" customHeight="1" x14ac:dyDescent="0.2">
      <c r="E778" s="3"/>
      <c r="F778" s="24"/>
      <c r="G778" s="7"/>
      <c r="H778" s="7"/>
      <c r="I778" s="3"/>
      <c r="J778" s="3"/>
      <c r="K778" s="3"/>
    </row>
    <row r="779" spans="5:11" ht="15.75" customHeight="1" x14ac:dyDescent="0.2">
      <c r="E779" s="3"/>
      <c r="F779" s="24"/>
      <c r="G779" s="7"/>
      <c r="H779" s="7"/>
      <c r="I779" s="3"/>
      <c r="J779" s="3"/>
      <c r="K779" s="3"/>
    </row>
    <row r="780" spans="5:11" ht="15.75" customHeight="1" x14ac:dyDescent="0.2">
      <c r="E780" s="3"/>
      <c r="F780" s="24"/>
      <c r="G780" s="7"/>
      <c r="H780" s="7"/>
      <c r="I780" s="3"/>
      <c r="J780" s="3"/>
      <c r="K780" s="3"/>
    </row>
    <row r="781" spans="5:11" ht="15.75" customHeight="1" x14ac:dyDescent="0.2">
      <c r="E781" s="3"/>
      <c r="F781" s="24"/>
      <c r="G781" s="7"/>
      <c r="H781" s="7"/>
      <c r="I781" s="3"/>
      <c r="J781" s="3"/>
      <c r="K781" s="3"/>
    </row>
    <row r="782" spans="5:11" ht="15.75" customHeight="1" x14ac:dyDescent="0.2">
      <c r="E782" s="3"/>
      <c r="F782" s="24"/>
      <c r="G782" s="7"/>
      <c r="H782" s="7"/>
      <c r="I782" s="3"/>
      <c r="J782" s="3"/>
      <c r="K782" s="3"/>
    </row>
    <row r="783" spans="5:11" ht="15.75" customHeight="1" x14ac:dyDescent="0.2">
      <c r="E783" s="3"/>
      <c r="F783" s="24"/>
      <c r="G783" s="7"/>
      <c r="H783" s="7"/>
      <c r="I783" s="3"/>
      <c r="J783" s="3"/>
      <c r="K783" s="3"/>
    </row>
    <row r="784" spans="5:11" ht="15.75" customHeight="1" x14ac:dyDescent="0.2">
      <c r="E784" s="3"/>
      <c r="F784" s="24"/>
      <c r="G784" s="7"/>
      <c r="H784" s="7"/>
      <c r="I784" s="3"/>
      <c r="J784" s="3"/>
      <c r="K784" s="3"/>
    </row>
    <row r="785" spans="5:11" ht="15.75" customHeight="1" x14ac:dyDescent="0.2">
      <c r="E785" s="3"/>
      <c r="F785" s="24"/>
      <c r="G785" s="7"/>
      <c r="H785" s="7"/>
      <c r="I785" s="3"/>
      <c r="J785" s="3"/>
      <c r="K785" s="3"/>
    </row>
    <row r="786" spans="5:11" ht="15.75" customHeight="1" x14ac:dyDescent="0.2">
      <c r="E786" s="3"/>
      <c r="F786" s="24"/>
      <c r="G786" s="7"/>
      <c r="H786" s="7"/>
      <c r="I786" s="3"/>
      <c r="J786" s="3"/>
      <c r="K786" s="3"/>
    </row>
    <row r="787" spans="5:11" ht="15.75" customHeight="1" x14ac:dyDescent="0.2">
      <c r="E787" s="3"/>
      <c r="F787" s="24"/>
      <c r="G787" s="7"/>
      <c r="H787" s="7"/>
      <c r="I787" s="3"/>
      <c r="J787" s="3"/>
      <c r="K787" s="3"/>
    </row>
    <row r="788" spans="5:11" ht="15.75" customHeight="1" x14ac:dyDescent="0.2">
      <c r="E788" s="3"/>
      <c r="F788" s="24"/>
      <c r="G788" s="7"/>
      <c r="H788" s="7"/>
      <c r="I788" s="3"/>
      <c r="J788" s="3"/>
      <c r="K788" s="3"/>
    </row>
    <row r="789" spans="5:11" ht="15.75" customHeight="1" x14ac:dyDescent="0.2">
      <c r="E789" s="3"/>
      <c r="F789" s="24"/>
      <c r="G789" s="7"/>
      <c r="H789" s="7"/>
      <c r="I789" s="3"/>
      <c r="J789" s="3"/>
      <c r="K789" s="3"/>
    </row>
    <row r="790" spans="5:11" ht="15.75" customHeight="1" x14ac:dyDescent="0.2">
      <c r="E790" s="3"/>
      <c r="F790" s="24"/>
      <c r="G790" s="7"/>
      <c r="H790" s="7"/>
      <c r="I790" s="3"/>
      <c r="J790" s="3"/>
      <c r="K790" s="3"/>
    </row>
    <row r="791" spans="5:11" ht="15.75" customHeight="1" x14ac:dyDescent="0.2">
      <c r="E791" s="3"/>
      <c r="F791" s="24"/>
      <c r="G791" s="7"/>
      <c r="H791" s="7"/>
      <c r="I791" s="3"/>
      <c r="J791" s="3"/>
      <c r="K791" s="3"/>
    </row>
    <row r="792" spans="5:11" ht="15.75" customHeight="1" x14ac:dyDescent="0.2">
      <c r="E792" s="3"/>
      <c r="F792" s="24"/>
      <c r="G792" s="7"/>
      <c r="H792" s="7"/>
      <c r="I792" s="3"/>
      <c r="J792" s="3"/>
      <c r="K792" s="3"/>
    </row>
    <row r="793" spans="5:11" ht="15.75" customHeight="1" x14ac:dyDescent="0.2">
      <c r="E793" s="3"/>
      <c r="F793" s="24"/>
      <c r="G793" s="7"/>
      <c r="H793" s="7"/>
      <c r="I793" s="3"/>
      <c r="J793" s="3"/>
      <c r="K793" s="3"/>
    </row>
    <row r="794" spans="5:11" ht="15.75" customHeight="1" x14ac:dyDescent="0.2">
      <c r="E794" s="3"/>
      <c r="F794" s="24"/>
      <c r="G794" s="7"/>
      <c r="H794" s="7"/>
      <c r="I794" s="3"/>
      <c r="J794" s="3"/>
      <c r="K794" s="3"/>
    </row>
    <row r="795" spans="5:11" ht="15.75" customHeight="1" x14ac:dyDescent="0.2">
      <c r="E795" s="3"/>
      <c r="F795" s="24"/>
      <c r="G795" s="7"/>
      <c r="H795" s="7"/>
      <c r="I795" s="3"/>
      <c r="J795" s="3"/>
      <c r="K795" s="3"/>
    </row>
    <row r="796" spans="5:11" ht="15.75" customHeight="1" x14ac:dyDescent="0.2">
      <c r="E796" s="3"/>
      <c r="F796" s="24"/>
      <c r="G796" s="7"/>
      <c r="H796" s="7"/>
      <c r="I796" s="3"/>
      <c r="J796" s="3"/>
      <c r="K796" s="3"/>
    </row>
    <row r="797" spans="5:11" ht="15.75" customHeight="1" x14ac:dyDescent="0.2">
      <c r="E797" s="3"/>
      <c r="F797" s="24"/>
      <c r="G797" s="7"/>
      <c r="H797" s="7"/>
      <c r="I797" s="3"/>
      <c r="J797" s="3"/>
      <c r="K797" s="3"/>
    </row>
    <row r="798" spans="5:11" ht="15.75" customHeight="1" x14ac:dyDescent="0.2">
      <c r="E798" s="3"/>
      <c r="F798" s="24"/>
      <c r="G798" s="7"/>
      <c r="H798" s="7"/>
      <c r="I798" s="3"/>
      <c r="J798" s="3"/>
      <c r="K798" s="3"/>
    </row>
    <row r="799" spans="5:11" ht="15.75" customHeight="1" x14ac:dyDescent="0.2">
      <c r="E799" s="3"/>
      <c r="F799" s="24"/>
      <c r="G799" s="7"/>
      <c r="H799" s="7"/>
      <c r="I799" s="3"/>
      <c r="J799" s="3"/>
      <c r="K799" s="3"/>
    </row>
    <row r="800" spans="5:11" ht="15.75" customHeight="1" x14ac:dyDescent="0.2">
      <c r="E800" s="3"/>
      <c r="F800" s="24"/>
      <c r="G800" s="7"/>
      <c r="H800" s="7"/>
      <c r="I800" s="3"/>
      <c r="J800" s="3"/>
      <c r="K800" s="3"/>
    </row>
    <row r="801" spans="5:11" ht="15.75" customHeight="1" x14ac:dyDescent="0.2">
      <c r="E801" s="3"/>
      <c r="F801" s="24"/>
      <c r="G801" s="7"/>
      <c r="H801" s="7"/>
      <c r="I801" s="3"/>
      <c r="J801" s="3"/>
      <c r="K801" s="3"/>
    </row>
    <row r="802" spans="5:11" ht="15.75" customHeight="1" x14ac:dyDescent="0.2">
      <c r="E802" s="3"/>
      <c r="F802" s="24"/>
      <c r="G802" s="7"/>
      <c r="H802" s="7"/>
      <c r="I802" s="3"/>
      <c r="J802" s="3"/>
      <c r="K802" s="3"/>
    </row>
    <row r="803" spans="5:11" ht="15.75" customHeight="1" x14ac:dyDescent="0.2">
      <c r="E803" s="3"/>
      <c r="F803" s="24"/>
      <c r="G803" s="7"/>
      <c r="H803" s="7"/>
      <c r="I803" s="3"/>
      <c r="J803" s="3"/>
      <c r="K803" s="3"/>
    </row>
    <row r="804" spans="5:11" ht="15.75" customHeight="1" x14ac:dyDescent="0.2">
      <c r="E804" s="3"/>
      <c r="F804" s="24"/>
      <c r="G804" s="7"/>
      <c r="H804" s="7"/>
      <c r="I804" s="3"/>
      <c r="J804" s="3"/>
      <c r="K804" s="3"/>
    </row>
    <row r="805" spans="5:11" ht="15.75" customHeight="1" x14ac:dyDescent="0.2">
      <c r="E805" s="3"/>
      <c r="F805" s="24"/>
      <c r="G805" s="7"/>
      <c r="H805" s="7"/>
      <c r="I805" s="3"/>
      <c r="J805" s="3"/>
      <c r="K805" s="3"/>
    </row>
    <row r="806" spans="5:11" ht="15.75" customHeight="1" x14ac:dyDescent="0.2">
      <c r="E806" s="3"/>
      <c r="F806" s="24"/>
      <c r="G806" s="7"/>
      <c r="H806" s="7"/>
      <c r="I806" s="3"/>
      <c r="J806" s="3"/>
      <c r="K806" s="3"/>
    </row>
    <row r="807" spans="5:11" ht="15.75" customHeight="1" x14ac:dyDescent="0.2">
      <c r="E807" s="3"/>
      <c r="F807" s="24"/>
      <c r="G807" s="7"/>
      <c r="H807" s="7"/>
      <c r="I807" s="3"/>
      <c r="J807" s="3"/>
      <c r="K807" s="3"/>
    </row>
    <row r="808" spans="5:11" ht="15.75" customHeight="1" x14ac:dyDescent="0.2">
      <c r="E808" s="3"/>
      <c r="F808" s="24"/>
      <c r="G808" s="7"/>
      <c r="H808" s="7"/>
      <c r="I808" s="3"/>
      <c r="J808" s="3"/>
      <c r="K808" s="3"/>
    </row>
    <row r="809" spans="5:11" ht="15.75" customHeight="1" x14ac:dyDescent="0.2">
      <c r="E809" s="3"/>
      <c r="F809" s="24"/>
      <c r="G809" s="7"/>
      <c r="H809" s="7"/>
      <c r="I809" s="3"/>
      <c r="J809" s="3"/>
      <c r="K809" s="3"/>
    </row>
    <row r="810" spans="5:11" ht="15.75" customHeight="1" x14ac:dyDescent="0.2">
      <c r="E810" s="3"/>
      <c r="F810" s="24"/>
      <c r="G810" s="7"/>
      <c r="H810" s="7"/>
      <c r="I810" s="3"/>
      <c r="J810" s="3"/>
      <c r="K810" s="3"/>
    </row>
    <row r="811" spans="5:11" ht="15.75" customHeight="1" x14ac:dyDescent="0.2">
      <c r="E811" s="3"/>
      <c r="F811" s="24"/>
      <c r="G811" s="7"/>
      <c r="H811" s="7"/>
      <c r="I811" s="3"/>
      <c r="J811" s="3"/>
      <c r="K811" s="3"/>
    </row>
    <row r="812" spans="5:11" ht="15.75" customHeight="1" x14ac:dyDescent="0.2">
      <c r="E812" s="3"/>
      <c r="F812" s="24"/>
      <c r="G812" s="7"/>
      <c r="H812" s="7"/>
      <c r="I812" s="3"/>
      <c r="J812" s="3"/>
      <c r="K812" s="3"/>
    </row>
    <row r="813" spans="5:11" ht="15.75" customHeight="1" x14ac:dyDescent="0.2">
      <c r="E813" s="3"/>
      <c r="F813" s="24"/>
      <c r="G813" s="7"/>
      <c r="H813" s="7"/>
      <c r="I813" s="3"/>
      <c r="J813" s="3"/>
      <c r="K813" s="3"/>
    </row>
    <row r="814" spans="5:11" ht="15.75" customHeight="1" x14ac:dyDescent="0.2">
      <c r="E814" s="3"/>
      <c r="F814" s="24"/>
      <c r="G814" s="7"/>
      <c r="H814" s="7"/>
      <c r="I814" s="3"/>
      <c r="J814" s="3"/>
      <c r="K814" s="3"/>
    </row>
    <row r="815" spans="5:11" ht="15.75" customHeight="1" x14ac:dyDescent="0.2">
      <c r="E815" s="3"/>
      <c r="F815" s="24"/>
      <c r="G815" s="7"/>
      <c r="H815" s="7"/>
      <c r="I815" s="3"/>
      <c r="J815" s="3"/>
      <c r="K815" s="3"/>
    </row>
    <row r="816" spans="5:11" ht="15.75" customHeight="1" x14ac:dyDescent="0.2">
      <c r="E816" s="3"/>
      <c r="F816" s="24"/>
      <c r="G816" s="7"/>
      <c r="H816" s="7"/>
      <c r="I816" s="3"/>
      <c r="J816" s="3"/>
      <c r="K816" s="3"/>
    </row>
    <row r="817" spans="5:11" ht="15.75" customHeight="1" x14ac:dyDescent="0.2">
      <c r="E817" s="3"/>
      <c r="F817" s="24"/>
      <c r="G817" s="7"/>
      <c r="H817" s="7"/>
      <c r="I817" s="3"/>
      <c r="J817" s="3"/>
      <c r="K817" s="3"/>
    </row>
    <row r="818" spans="5:11" ht="15.75" customHeight="1" x14ac:dyDescent="0.2">
      <c r="E818" s="3"/>
      <c r="F818" s="24"/>
      <c r="G818" s="7"/>
      <c r="H818" s="7"/>
      <c r="I818" s="3"/>
      <c r="J818" s="3"/>
      <c r="K818" s="3"/>
    </row>
    <row r="819" spans="5:11" ht="15.75" customHeight="1" x14ac:dyDescent="0.2">
      <c r="E819" s="3"/>
      <c r="F819" s="24"/>
      <c r="G819" s="7"/>
      <c r="H819" s="7"/>
      <c r="I819" s="3"/>
      <c r="J819" s="3"/>
      <c r="K819" s="3"/>
    </row>
    <row r="820" spans="5:11" ht="15.75" customHeight="1" x14ac:dyDescent="0.2">
      <c r="E820" s="3"/>
      <c r="F820" s="24"/>
      <c r="G820" s="7"/>
      <c r="H820" s="7"/>
      <c r="I820" s="3"/>
      <c r="J820" s="3"/>
      <c r="K820" s="3"/>
    </row>
    <row r="821" spans="5:11" ht="15.75" customHeight="1" x14ac:dyDescent="0.2">
      <c r="E821" s="3"/>
      <c r="F821" s="24"/>
      <c r="G821" s="7"/>
      <c r="H821" s="7"/>
      <c r="I821" s="3"/>
      <c r="J821" s="3"/>
      <c r="K821" s="3"/>
    </row>
    <row r="822" spans="5:11" ht="15.75" customHeight="1" x14ac:dyDescent="0.2">
      <c r="E822" s="3"/>
      <c r="F822" s="24"/>
      <c r="G822" s="7"/>
      <c r="H822" s="7"/>
      <c r="I822" s="3"/>
      <c r="J822" s="3"/>
      <c r="K822" s="3"/>
    </row>
    <row r="823" spans="5:11" ht="15.75" customHeight="1" x14ac:dyDescent="0.2">
      <c r="E823" s="3"/>
      <c r="F823" s="24"/>
      <c r="G823" s="7"/>
      <c r="H823" s="7"/>
      <c r="I823" s="3"/>
      <c r="J823" s="3"/>
      <c r="K823" s="3"/>
    </row>
    <row r="824" spans="5:11" ht="15.75" customHeight="1" x14ac:dyDescent="0.2">
      <c r="E824" s="3"/>
      <c r="F824" s="24"/>
      <c r="G824" s="7"/>
      <c r="H824" s="7"/>
      <c r="I824" s="3"/>
      <c r="J824" s="3"/>
      <c r="K824" s="3"/>
    </row>
    <row r="825" spans="5:11" ht="15.75" customHeight="1" x14ac:dyDescent="0.2">
      <c r="E825" s="3"/>
      <c r="F825" s="24"/>
      <c r="G825" s="7"/>
      <c r="H825" s="7"/>
      <c r="I825" s="3"/>
      <c r="J825" s="3"/>
      <c r="K825" s="3"/>
    </row>
    <row r="826" spans="5:11" ht="15.75" customHeight="1" x14ac:dyDescent="0.2">
      <c r="E826" s="3"/>
      <c r="F826" s="24"/>
      <c r="G826" s="7"/>
      <c r="H826" s="7"/>
      <c r="I826" s="3"/>
      <c r="J826" s="3"/>
      <c r="K826" s="3"/>
    </row>
    <row r="827" spans="5:11" ht="15.75" customHeight="1" x14ac:dyDescent="0.2">
      <c r="E827" s="3"/>
      <c r="F827" s="24"/>
      <c r="G827" s="7"/>
      <c r="H827" s="7"/>
      <c r="I827" s="3"/>
      <c r="J827" s="3"/>
      <c r="K827" s="3"/>
    </row>
    <row r="828" spans="5:11" ht="15.75" customHeight="1" x14ac:dyDescent="0.2">
      <c r="E828" s="3"/>
      <c r="F828" s="24"/>
      <c r="G828" s="7"/>
      <c r="H828" s="7"/>
      <c r="I828" s="3"/>
      <c r="J828" s="3"/>
      <c r="K828" s="3"/>
    </row>
    <row r="829" spans="5:11" ht="15.75" customHeight="1" x14ac:dyDescent="0.2">
      <c r="E829" s="3"/>
      <c r="F829" s="24"/>
      <c r="G829" s="7"/>
      <c r="H829" s="7"/>
      <c r="I829" s="3"/>
      <c r="J829" s="3"/>
      <c r="K829" s="3"/>
    </row>
    <row r="830" spans="5:11" ht="15.75" customHeight="1" x14ac:dyDescent="0.2">
      <c r="E830" s="3"/>
      <c r="F830" s="24"/>
      <c r="G830" s="7"/>
      <c r="H830" s="7"/>
      <c r="I830" s="3"/>
      <c r="J830" s="3"/>
      <c r="K830" s="3"/>
    </row>
    <row r="831" spans="5:11" ht="15.75" customHeight="1" x14ac:dyDescent="0.2">
      <c r="E831" s="3"/>
      <c r="F831" s="24"/>
      <c r="G831" s="7"/>
      <c r="H831" s="7"/>
      <c r="I831" s="3"/>
      <c r="J831" s="3"/>
      <c r="K831" s="3"/>
    </row>
    <row r="832" spans="5:11" ht="15.75" customHeight="1" x14ac:dyDescent="0.2">
      <c r="E832" s="3"/>
      <c r="F832" s="24"/>
      <c r="G832" s="7"/>
      <c r="H832" s="7"/>
      <c r="I832" s="3"/>
      <c r="J832" s="3"/>
      <c r="K832" s="3"/>
    </row>
    <row r="833" spans="5:11" ht="15.75" customHeight="1" x14ac:dyDescent="0.2">
      <c r="E833" s="3"/>
      <c r="F833" s="24"/>
      <c r="G833" s="7"/>
      <c r="H833" s="7"/>
      <c r="I833" s="3"/>
      <c r="J833" s="3"/>
      <c r="K833" s="3"/>
    </row>
    <row r="834" spans="5:11" ht="15.75" customHeight="1" x14ac:dyDescent="0.2">
      <c r="E834" s="3"/>
      <c r="F834" s="24"/>
      <c r="G834" s="7"/>
      <c r="H834" s="7"/>
      <c r="I834" s="3"/>
      <c r="J834" s="3"/>
      <c r="K834" s="3"/>
    </row>
    <row r="835" spans="5:11" ht="15.75" customHeight="1" x14ac:dyDescent="0.2">
      <c r="E835" s="3"/>
      <c r="F835" s="24"/>
      <c r="G835" s="7"/>
      <c r="H835" s="7"/>
      <c r="I835" s="3"/>
      <c r="J835" s="3"/>
      <c r="K835" s="3"/>
    </row>
    <row r="836" spans="5:11" ht="15.75" customHeight="1" x14ac:dyDescent="0.2">
      <c r="E836" s="3"/>
      <c r="F836" s="24"/>
      <c r="G836" s="7"/>
      <c r="H836" s="7"/>
      <c r="I836" s="3"/>
      <c r="J836" s="3"/>
      <c r="K836" s="3"/>
    </row>
    <row r="837" spans="5:11" ht="15.75" customHeight="1" x14ac:dyDescent="0.2">
      <c r="E837" s="3"/>
      <c r="F837" s="24"/>
      <c r="G837" s="7"/>
      <c r="H837" s="7"/>
      <c r="I837" s="3"/>
      <c r="J837" s="3"/>
      <c r="K837" s="3"/>
    </row>
    <row r="838" spans="5:11" ht="15.75" customHeight="1" x14ac:dyDescent="0.2">
      <c r="E838" s="3"/>
      <c r="F838" s="24"/>
      <c r="G838" s="7"/>
      <c r="H838" s="7"/>
      <c r="I838" s="3"/>
      <c r="J838" s="3"/>
      <c r="K838" s="3"/>
    </row>
    <row r="839" spans="5:11" ht="15.75" customHeight="1" x14ac:dyDescent="0.2">
      <c r="E839" s="3"/>
      <c r="F839" s="24"/>
      <c r="G839" s="7"/>
      <c r="H839" s="7"/>
      <c r="I839" s="3"/>
      <c r="J839" s="3"/>
      <c r="K839" s="3"/>
    </row>
    <row r="840" spans="5:11" ht="15.75" customHeight="1" x14ac:dyDescent="0.2">
      <c r="E840" s="3"/>
      <c r="F840" s="24"/>
      <c r="G840" s="7"/>
      <c r="H840" s="7"/>
      <c r="I840" s="3"/>
      <c r="J840" s="3"/>
      <c r="K840" s="3"/>
    </row>
    <row r="841" spans="5:11" ht="15.75" customHeight="1" x14ac:dyDescent="0.2">
      <c r="E841" s="3"/>
      <c r="F841" s="24"/>
      <c r="G841" s="7"/>
      <c r="H841" s="7"/>
      <c r="I841" s="3"/>
      <c r="J841" s="3"/>
      <c r="K841" s="3"/>
    </row>
    <row r="842" spans="5:11" ht="15.75" customHeight="1" x14ac:dyDescent="0.2">
      <c r="E842" s="3"/>
      <c r="F842" s="24"/>
      <c r="G842" s="7"/>
      <c r="H842" s="7"/>
      <c r="I842" s="3"/>
      <c r="J842" s="3"/>
      <c r="K842" s="3"/>
    </row>
    <row r="843" spans="5:11" ht="15.75" customHeight="1" x14ac:dyDescent="0.2">
      <c r="E843" s="3"/>
      <c r="F843" s="24"/>
      <c r="G843" s="7"/>
      <c r="H843" s="7"/>
      <c r="I843" s="3"/>
      <c r="J843" s="3"/>
      <c r="K843" s="3"/>
    </row>
    <row r="844" spans="5:11" ht="15.75" customHeight="1" x14ac:dyDescent="0.2">
      <c r="E844" s="3"/>
      <c r="F844" s="24"/>
      <c r="G844" s="7"/>
      <c r="H844" s="7"/>
      <c r="I844" s="3"/>
      <c r="J844" s="3"/>
      <c r="K844" s="3"/>
    </row>
    <row r="845" spans="5:11" ht="15.75" customHeight="1" x14ac:dyDescent="0.2">
      <c r="E845" s="3"/>
      <c r="F845" s="24"/>
      <c r="G845" s="7"/>
      <c r="H845" s="7"/>
      <c r="I845" s="3"/>
      <c r="J845" s="3"/>
      <c r="K845" s="3"/>
    </row>
    <row r="846" spans="5:11" ht="15.75" customHeight="1" x14ac:dyDescent="0.2">
      <c r="E846" s="3"/>
      <c r="F846" s="24"/>
      <c r="G846" s="7"/>
      <c r="H846" s="7"/>
      <c r="I846" s="3"/>
      <c r="J846" s="3"/>
      <c r="K846" s="3"/>
    </row>
    <row r="847" spans="5:11" ht="15.75" customHeight="1" x14ac:dyDescent="0.2">
      <c r="E847" s="3"/>
      <c r="F847" s="24"/>
      <c r="G847" s="7"/>
      <c r="H847" s="7"/>
      <c r="I847" s="3"/>
      <c r="J847" s="3"/>
      <c r="K847" s="3"/>
    </row>
    <row r="848" spans="5:11" ht="15.75" customHeight="1" x14ac:dyDescent="0.2">
      <c r="E848" s="3"/>
      <c r="F848" s="24"/>
      <c r="G848" s="7"/>
      <c r="H848" s="7"/>
      <c r="I848" s="3"/>
      <c r="J848" s="3"/>
      <c r="K848" s="3"/>
    </row>
    <row r="849" spans="5:11" ht="15.75" customHeight="1" x14ac:dyDescent="0.2">
      <c r="E849" s="3"/>
      <c r="F849" s="24"/>
      <c r="G849" s="7"/>
      <c r="H849" s="7"/>
      <c r="I849" s="3"/>
      <c r="J849" s="3"/>
      <c r="K849" s="3"/>
    </row>
    <row r="850" spans="5:11" ht="15.75" customHeight="1" x14ac:dyDescent="0.2">
      <c r="E850" s="3"/>
      <c r="F850" s="24"/>
      <c r="G850" s="7"/>
      <c r="H850" s="7"/>
      <c r="I850" s="3"/>
      <c r="J850" s="3"/>
      <c r="K850" s="3"/>
    </row>
    <row r="851" spans="5:11" ht="15.75" customHeight="1" x14ac:dyDescent="0.2">
      <c r="E851" s="3"/>
      <c r="F851" s="24"/>
      <c r="G851" s="7"/>
      <c r="H851" s="7"/>
      <c r="I851" s="3"/>
      <c r="J851" s="3"/>
      <c r="K851" s="3"/>
    </row>
    <row r="852" spans="5:11" ht="15.75" customHeight="1" x14ac:dyDescent="0.2">
      <c r="E852" s="3"/>
      <c r="F852" s="24"/>
      <c r="G852" s="7"/>
      <c r="H852" s="7"/>
      <c r="I852" s="3"/>
      <c r="J852" s="3"/>
      <c r="K852" s="3"/>
    </row>
    <row r="853" spans="5:11" ht="15.75" customHeight="1" x14ac:dyDescent="0.2">
      <c r="E853" s="3"/>
      <c r="F853" s="24"/>
      <c r="G853" s="7"/>
      <c r="H853" s="7"/>
      <c r="I853" s="3"/>
      <c r="J853" s="3"/>
      <c r="K853" s="3"/>
    </row>
    <row r="854" spans="5:11" ht="15.75" customHeight="1" x14ac:dyDescent="0.2">
      <c r="E854" s="3"/>
      <c r="F854" s="24"/>
      <c r="G854" s="7"/>
      <c r="H854" s="7"/>
      <c r="I854" s="3"/>
      <c r="J854" s="3"/>
      <c r="K854" s="3"/>
    </row>
    <row r="855" spans="5:11" ht="15.75" customHeight="1" x14ac:dyDescent="0.2">
      <c r="E855" s="3"/>
      <c r="F855" s="24"/>
      <c r="G855" s="7"/>
      <c r="H855" s="7"/>
      <c r="I855" s="3"/>
      <c r="J855" s="3"/>
      <c r="K855" s="3"/>
    </row>
    <row r="856" spans="5:11" ht="15.75" customHeight="1" x14ac:dyDescent="0.2">
      <c r="E856" s="3"/>
      <c r="F856" s="24"/>
      <c r="G856" s="7"/>
      <c r="H856" s="7"/>
      <c r="I856" s="3"/>
      <c r="J856" s="3"/>
      <c r="K856" s="3"/>
    </row>
    <row r="857" spans="5:11" ht="15.75" customHeight="1" x14ac:dyDescent="0.2">
      <c r="E857" s="3"/>
      <c r="F857" s="24"/>
      <c r="G857" s="7"/>
      <c r="H857" s="7"/>
      <c r="I857" s="3"/>
      <c r="J857" s="3"/>
      <c r="K857" s="3"/>
    </row>
    <row r="858" spans="5:11" ht="15.75" customHeight="1" x14ac:dyDescent="0.2">
      <c r="E858" s="3"/>
      <c r="F858" s="24"/>
      <c r="G858" s="7"/>
      <c r="H858" s="7"/>
      <c r="I858" s="3"/>
      <c r="J858" s="3"/>
      <c r="K858" s="3"/>
    </row>
    <row r="859" spans="5:11" ht="15.75" customHeight="1" x14ac:dyDescent="0.2">
      <c r="E859" s="3"/>
      <c r="F859" s="24"/>
      <c r="G859" s="7"/>
      <c r="H859" s="7"/>
      <c r="I859" s="3"/>
      <c r="J859" s="3"/>
      <c r="K859" s="3"/>
    </row>
    <row r="860" spans="5:11" ht="15.75" customHeight="1" x14ac:dyDescent="0.2">
      <c r="E860" s="3"/>
      <c r="F860" s="24"/>
      <c r="G860" s="7"/>
      <c r="H860" s="7"/>
      <c r="I860" s="3"/>
      <c r="J860" s="3"/>
      <c r="K860" s="3"/>
    </row>
    <row r="861" spans="5:11" ht="15.75" customHeight="1" x14ac:dyDescent="0.2">
      <c r="E861" s="3"/>
      <c r="F861" s="24"/>
      <c r="G861" s="7"/>
      <c r="H861" s="7"/>
      <c r="I861" s="3"/>
      <c r="J861" s="3"/>
      <c r="K861" s="3"/>
    </row>
    <row r="862" spans="5:11" ht="15.75" customHeight="1" x14ac:dyDescent="0.2">
      <c r="E862" s="3"/>
      <c r="F862" s="24"/>
      <c r="G862" s="7"/>
      <c r="H862" s="7"/>
      <c r="I862" s="3"/>
      <c r="J862" s="3"/>
      <c r="K862" s="3"/>
    </row>
    <row r="863" spans="5:11" ht="15.75" customHeight="1" x14ac:dyDescent="0.2">
      <c r="E863" s="3"/>
      <c r="F863" s="24"/>
      <c r="G863" s="7"/>
      <c r="H863" s="7"/>
      <c r="I863" s="3"/>
      <c r="J863" s="3"/>
      <c r="K863" s="3"/>
    </row>
    <row r="864" spans="5:11" ht="15.75" customHeight="1" x14ac:dyDescent="0.2">
      <c r="E864" s="3"/>
      <c r="F864" s="24"/>
      <c r="G864" s="7"/>
      <c r="H864" s="7"/>
      <c r="I864" s="3"/>
      <c r="J864" s="3"/>
      <c r="K864" s="3"/>
    </row>
    <row r="865" spans="5:11" ht="15.75" customHeight="1" x14ac:dyDescent="0.2">
      <c r="E865" s="3"/>
      <c r="F865" s="24"/>
      <c r="G865" s="7"/>
      <c r="H865" s="7"/>
      <c r="I865" s="3"/>
      <c r="J865" s="3"/>
      <c r="K865" s="3"/>
    </row>
    <row r="866" spans="5:11" ht="15.75" customHeight="1" x14ac:dyDescent="0.2">
      <c r="E866" s="3"/>
      <c r="F866" s="24"/>
      <c r="G866" s="7"/>
      <c r="H866" s="7"/>
      <c r="I866" s="3"/>
      <c r="J866" s="3"/>
      <c r="K866" s="3"/>
    </row>
    <row r="867" spans="5:11" ht="15.75" customHeight="1" x14ac:dyDescent="0.2">
      <c r="E867" s="3"/>
      <c r="F867" s="24"/>
      <c r="G867" s="7"/>
      <c r="H867" s="7"/>
      <c r="I867" s="3"/>
      <c r="J867" s="3"/>
      <c r="K867" s="3"/>
    </row>
    <row r="868" spans="5:11" ht="15.75" customHeight="1" x14ac:dyDescent="0.2">
      <c r="E868" s="3"/>
      <c r="F868" s="24"/>
      <c r="G868" s="7"/>
      <c r="H868" s="7"/>
      <c r="I868" s="3"/>
      <c r="J868" s="3"/>
      <c r="K868" s="3"/>
    </row>
    <row r="869" spans="5:11" ht="15.75" customHeight="1" x14ac:dyDescent="0.2">
      <c r="E869" s="3"/>
      <c r="F869" s="24"/>
      <c r="G869" s="7"/>
      <c r="H869" s="7"/>
      <c r="I869" s="3"/>
      <c r="J869" s="3"/>
      <c r="K869" s="3"/>
    </row>
    <row r="870" spans="5:11" ht="15.75" customHeight="1" x14ac:dyDescent="0.2">
      <c r="E870" s="3"/>
      <c r="F870" s="24"/>
      <c r="G870" s="7"/>
      <c r="H870" s="7"/>
      <c r="I870" s="3"/>
      <c r="J870" s="3"/>
      <c r="K870" s="3"/>
    </row>
    <row r="871" spans="5:11" ht="15.75" customHeight="1" x14ac:dyDescent="0.2">
      <c r="E871" s="3"/>
      <c r="F871" s="24"/>
      <c r="G871" s="7"/>
      <c r="H871" s="7"/>
      <c r="I871" s="3"/>
      <c r="J871" s="3"/>
      <c r="K871" s="3"/>
    </row>
    <row r="872" spans="5:11" ht="15.75" customHeight="1" x14ac:dyDescent="0.2">
      <c r="E872" s="3"/>
      <c r="F872" s="24"/>
      <c r="G872" s="7"/>
      <c r="H872" s="7"/>
      <c r="I872" s="3"/>
      <c r="J872" s="3"/>
      <c r="K872" s="3"/>
    </row>
    <row r="873" spans="5:11" ht="15.75" customHeight="1" x14ac:dyDescent="0.2">
      <c r="E873" s="3"/>
      <c r="F873" s="24"/>
      <c r="G873" s="7"/>
      <c r="H873" s="7"/>
      <c r="I873" s="3"/>
      <c r="J873" s="3"/>
      <c r="K873" s="3"/>
    </row>
    <row r="874" spans="5:11" ht="15.75" customHeight="1" x14ac:dyDescent="0.2">
      <c r="E874" s="3"/>
      <c r="F874" s="24"/>
      <c r="G874" s="7"/>
      <c r="H874" s="7"/>
      <c r="I874" s="3"/>
      <c r="J874" s="3"/>
      <c r="K874" s="3"/>
    </row>
    <row r="875" spans="5:11" ht="15.75" customHeight="1" x14ac:dyDescent="0.2">
      <c r="E875" s="3"/>
      <c r="F875" s="24"/>
      <c r="G875" s="7"/>
      <c r="H875" s="7"/>
      <c r="I875" s="3"/>
      <c r="J875" s="3"/>
      <c r="K875" s="3"/>
    </row>
    <row r="876" spans="5:11" ht="15.75" customHeight="1" x14ac:dyDescent="0.2">
      <c r="E876" s="3"/>
      <c r="F876" s="24"/>
      <c r="G876" s="7"/>
      <c r="H876" s="7"/>
      <c r="I876" s="3"/>
      <c r="J876" s="3"/>
      <c r="K876" s="3"/>
    </row>
    <row r="877" spans="5:11" ht="15.75" customHeight="1" x14ac:dyDescent="0.2">
      <c r="E877" s="3"/>
      <c r="F877" s="24"/>
      <c r="G877" s="7"/>
      <c r="H877" s="7"/>
      <c r="I877" s="3"/>
      <c r="J877" s="3"/>
      <c r="K877" s="3"/>
    </row>
    <row r="878" spans="5:11" ht="15.75" customHeight="1" x14ac:dyDescent="0.2">
      <c r="E878" s="3"/>
      <c r="F878" s="24"/>
      <c r="G878" s="7"/>
      <c r="H878" s="7"/>
      <c r="I878" s="3"/>
      <c r="J878" s="3"/>
      <c r="K878" s="3"/>
    </row>
    <row r="879" spans="5:11" ht="15.75" customHeight="1" x14ac:dyDescent="0.2">
      <c r="E879" s="3"/>
      <c r="F879" s="24"/>
      <c r="G879" s="7"/>
      <c r="H879" s="7"/>
      <c r="I879" s="3"/>
      <c r="J879" s="3"/>
      <c r="K879" s="3"/>
    </row>
    <row r="880" spans="5:11" ht="15.75" customHeight="1" x14ac:dyDescent="0.2">
      <c r="E880" s="3"/>
      <c r="F880" s="24"/>
      <c r="G880" s="7"/>
      <c r="H880" s="7"/>
      <c r="I880" s="3"/>
      <c r="J880" s="3"/>
      <c r="K880" s="3"/>
    </row>
    <row r="881" spans="5:11" ht="15.75" customHeight="1" x14ac:dyDescent="0.2">
      <c r="E881" s="3"/>
      <c r="F881" s="24"/>
      <c r="G881" s="7"/>
      <c r="H881" s="7"/>
      <c r="I881" s="3"/>
      <c r="J881" s="3"/>
      <c r="K881" s="3"/>
    </row>
    <row r="882" spans="5:11" ht="15.75" customHeight="1" x14ac:dyDescent="0.2">
      <c r="E882" s="3"/>
      <c r="F882" s="24"/>
      <c r="G882" s="7"/>
      <c r="H882" s="7"/>
      <c r="I882" s="3"/>
      <c r="J882" s="3"/>
      <c r="K882" s="3"/>
    </row>
    <row r="883" spans="5:11" ht="15.75" customHeight="1" x14ac:dyDescent="0.2">
      <c r="E883" s="3"/>
      <c r="F883" s="24"/>
      <c r="G883" s="7"/>
      <c r="H883" s="7"/>
      <c r="I883" s="3"/>
      <c r="J883" s="3"/>
      <c r="K883" s="3"/>
    </row>
    <row r="884" spans="5:11" ht="15.75" customHeight="1" x14ac:dyDescent="0.2">
      <c r="E884" s="3"/>
      <c r="F884" s="24"/>
      <c r="G884" s="7"/>
      <c r="H884" s="7"/>
      <c r="I884" s="3"/>
      <c r="J884" s="3"/>
      <c r="K884" s="3"/>
    </row>
    <row r="885" spans="5:11" ht="15.75" customHeight="1" x14ac:dyDescent="0.2">
      <c r="E885" s="3"/>
      <c r="F885" s="24"/>
      <c r="G885" s="7"/>
      <c r="H885" s="7"/>
      <c r="I885" s="3"/>
      <c r="J885" s="3"/>
      <c r="K885" s="3"/>
    </row>
    <row r="886" spans="5:11" ht="15.75" customHeight="1" x14ac:dyDescent="0.2">
      <c r="E886" s="3"/>
      <c r="F886" s="24"/>
      <c r="G886" s="7"/>
      <c r="H886" s="7"/>
      <c r="I886" s="3"/>
      <c r="J886" s="3"/>
      <c r="K886" s="3"/>
    </row>
    <row r="887" spans="5:11" ht="15.75" customHeight="1" x14ac:dyDescent="0.2">
      <c r="E887" s="3"/>
      <c r="F887" s="24"/>
      <c r="G887" s="7"/>
      <c r="H887" s="7"/>
      <c r="I887" s="3"/>
      <c r="J887" s="3"/>
      <c r="K887" s="3"/>
    </row>
    <row r="888" spans="5:11" ht="15.75" customHeight="1" x14ac:dyDescent="0.2">
      <c r="E888" s="3"/>
      <c r="F888" s="24"/>
      <c r="G888" s="7"/>
      <c r="H888" s="7"/>
      <c r="I888" s="3"/>
      <c r="J888" s="3"/>
      <c r="K888" s="3"/>
    </row>
    <row r="889" spans="5:11" ht="15.75" customHeight="1" x14ac:dyDescent="0.2">
      <c r="E889" s="3"/>
      <c r="F889" s="24"/>
      <c r="G889" s="7"/>
      <c r="H889" s="7"/>
      <c r="I889" s="3"/>
      <c r="J889" s="3"/>
      <c r="K889" s="3"/>
    </row>
    <row r="890" spans="5:11" ht="15.75" customHeight="1" x14ac:dyDescent="0.2">
      <c r="E890" s="3"/>
      <c r="F890" s="24"/>
      <c r="G890" s="7"/>
      <c r="H890" s="7"/>
      <c r="I890" s="3"/>
      <c r="J890" s="3"/>
      <c r="K890" s="3"/>
    </row>
    <row r="891" spans="5:11" ht="15.75" customHeight="1" x14ac:dyDescent="0.2">
      <c r="E891" s="3"/>
      <c r="F891" s="24"/>
      <c r="G891" s="7"/>
      <c r="H891" s="7"/>
      <c r="I891" s="3"/>
      <c r="J891" s="3"/>
      <c r="K891" s="3"/>
    </row>
    <row r="892" spans="5:11" ht="15.75" customHeight="1" x14ac:dyDescent="0.2">
      <c r="E892" s="3"/>
      <c r="F892" s="24"/>
      <c r="G892" s="7"/>
      <c r="H892" s="7"/>
      <c r="I892" s="3"/>
      <c r="J892" s="3"/>
      <c r="K892" s="3"/>
    </row>
    <row r="893" spans="5:11" ht="15.75" customHeight="1" x14ac:dyDescent="0.2">
      <c r="E893" s="3"/>
      <c r="F893" s="24"/>
      <c r="G893" s="7"/>
      <c r="H893" s="7"/>
      <c r="I893" s="3"/>
      <c r="J893" s="3"/>
      <c r="K893" s="3"/>
    </row>
    <row r="894" spans="5:11" ht="15.75" customHeight="1" x14ac:dyDescent="0.2">
      <c r="E894" s="3"/>
      <c r="F894" s="24"/>
      <c r="G894" s="7"/>
      <c r="H894" s="7"/>
      <c r="I894" s="3"/>
      <c r="J894" s="3"/>
      <c r="K894" s="3"/>
    </row>
    <row r="895" spans="5:11" ht="15.75" customHeight="1" x14ac:dyDescent="0.2">
      <c r="E895" s="3"/>
      <c r="F895" s="24"/>
      <c r="G895" s="7"/>
      <c r="H895" s="7"/>
      <c r="I895" s="3"/>
      <c r="J895" s="3"/>
      <c r="K895" s="3"/>
    </row>
    <row r="896" spans="5:11" ht="15.75" customHeight="1" x14ac:dyDescent="0.2">
      <c r="E896" s="3"/>
      <c r="F896" s="24"/>
      <c r="G896" s="7"/>
      <c r="H896" s="7"/>
      <c r="I896" s="3"/>
      <c r="J896" s="3"/>
      <c r="K896" s="3"/>
    </row>
    <row r="897" spans="5:11" ht="15.75" customHeight="1" x14ac:dyDescent="0.2">
      <c r="E897" s="3"/>
      <c r="F897" s="24"/>
      <c r="G897" s="7"/>
      <c r="H897" s="7"/>
      <c r="I897" s="3"/>
      <c r="J897" s="3"/>
      <c r="K897" s="3"/>
    </row>
    <row r="898" spans="5:11" ht="15.75" customHeight="1" x14ac:dyDescent="0.2">
      <c r="E898" s="3"/>
      <c r="F898" s="24"/>
      <c r="G898" s="7"/>
      <c r="H898" s="7"/>
      <c r="I898" s="3"/>
      <c r="J898" s="3"/>
      <c r="K898" s="3"/>
    </row>
    <row r="899" spans="5:11" ht="15.75" customHeight="1" x14ac:dyDescent="0.2">
      <c r="E899" s="3"/>
      <c r="F899" s="24"/>
      <c r="G899" s="7"/>
      <c r="H899" s="7"/>
      <c r="I899" s="3"/>
      <c r="J899" s="3"/>
      <c r="K899" s="3"/>
    </row>
    <row r="900" spans="5:11" ht="15.75" customHeight="1" x14ac:dyDescent="0.2">
      <c r="E900" s="3"/>
      <c r="F900" s="24"/>
      <c r="G900" s="7"/>
      <c r="H900" s="7"/>
      <c r="I900" s="3"/>
      <c r="J900" s="3"/>
      <c r="K900" s="3"/>
    </row>
    <row r="901" spans="5:11" ht="15.75" customHeight="1" x14ac:dyDescent="0.2">
      <c r="E901" s="3"/>
      <c r="F901" s="24"/>
      <c r="G901" s="7"/>
      <c r="H901" s="7"/>
      <c r="I901" s="3"/>
      <c r="J901" s="3"/>
      <c r="K901" s="3"/>
    </row>
    <row r="902" spans="5:11" ht="15.75" customHeight="1" x14ac:dyDescent="0.2">
      <c r="E902" s="3"/>
      <c r="F902" s="24"/>
      <c r="G902" s="7"/>
      <c r="H902" s="7"/>
      <c r="I902" s="3"/>
      <c r="J902" s="3"/>
      <c r="K902" s="3"/>
    </row>
    <row r="903" spans="5:11" ht="15.75" customHeight="1" x14ac:dyDescent="0.2">
      <c r="E903" s="3"/>
      <c r="F903" s="24"/>
      <c r="G903" s="7"/>
      <c r="H903" s="7"/>
      <c r="I903" s="3"/>
      <c r="J903" s="3"/>
      <c r="K903" s="3"/>
    </row>
    <row r="904" spans="5:11" ht="15.75" customHeight="1" x14ac:dyDescent="0.2">
      <c r="E904" s="3"/>
      <c r="F904" s="24"/>
      <c r="G904" s="7"/>
      <c r="H904" s="7"/>
      <c r="I904" s="3"/>
      <c r="J904" s="3"/>
      <c r="K904" s="3"/>
    </row>
    <row r="905" spans="5:11" ht="15.75" customHeight="1" x14ac:dyDescent="0.2">
      <c r="E905" s="3"/>
      <c r="F905" s="24"/>
      <c r="G905" s="7"/>
      <c r="H905" s="7"/>
      <c r="I905" s="3"/>
      <c r="J905" s="3"/>
      <c r="K905" s="3"/>
    </row>
    <row r="906" spans="5:11" ht="15.75" customHeight="1" x14ac:dyDescent="0.2">
      <c r="E906" s="3"/>
      <c r="F906" s="24"/>
      <c r="G906" s="7"/>
      <c r="H906" s="7"/>
      <c r="I906" s="3"/>
      <c r="J906" s="3"/>
      <c r="K906" s="3"/>
    </row>
    <row r="907" spans="5:11" ht="15.75" customHeight="1" x14ac:dyDescent="0.2">
      <c r="E907" s="3"/>
      <c r="F907" s="24"/>
      <c r="G907" s="7"/>
      <c r="H907" s="7"/>
      <c r="I907" s="3"/>
      <c r="J907" s="3"/>
      <c r="K907" s="3"/>
    </row>
    <row r="908" spans="5:11" ht="15.75" customHeight="1" x14ac:dyDescent="0.2">
      <c r="E908" s="3"/>
      <c r="F908" s="24"/>
      <c r="G908" s="7"/>
      <c r="H908" s="7"/>
      <c r="I908" s="3"/>
      <c r="J908" s="3"/>
      <c r="K908" s="3"/>
    </row>
    <row r="909" spans="5:11" ht="15.75" customHeight="1" x14ac:dyDescent="0.2">
      <c r="E909" s="3"/>
      <c r="F909" s="24"/>
      <c r="G909" s="7"/>
      <c r="H909" s="7"/>
      <c r="I909" s="3"/>
      <c r="J909" s="3"/>
      <c r="K909" s="3"/>
    </row>
    <row r="910" spans="5:11" ht="15.75" customHeight="1" x14ac:dyDescent="0.2">
      <c r="E910" s="3"/>
      <c r="F910" s="24"/>
      <c r="G910" s="7"/>
      <c r="H910" s="7"/>
      <c r="I910" s="3"/>
      <c r="J910" s="3"/>
      <c r="K910" s="3"/>
    </row>
    <row r="911" spans="5:11" ht="15.75" customHeight="1" x14ac:dyDescent="0.2">
      <c r="E911" s="3"/>
      <c r="F911" s="24"/>
      <c r="G911" s="7"/>
      <c r="H911" s="7"/>
      <c r="I911" s="3"/>
      <c r="J911" s="3"/>
      <c r="K911" s="3"/>
    </row>
    <row r="912" spans="5:11" ht="15.75" customHeight="1" x14ac:dyDescent="0.2">
      <c r="E912" s="3"/>
      <c r="F912" s="24"/>
      <c r="G912" s="7"/>
      <c r="H912" s="7"/>
      <c r="I912" s="3"/>
      <c r="J912" s="3"/>
      <c r="K912" s="3"/>
    </row>
    <row r="913" spans="5:11" ht="15.75" customHeight="1" x14ac:dyDescent="0.2">
      <c r="E913" s="3"/>
      <c r="F913" s="24"/>
      <c r="G913" s="7"/>
      <c r="H913" s="7"/>
      <c r="I913" s="3"/>
      <c r="J913" s="3"/>
      <c r="K913" s="3"/>
    </row>
    <row r="914" spans="5:11" ht="15.75" customHeight="1" x14ac:dyDescent="0.2">
      <c r="E914" s="3"/>
      <c r="F914" s="24"/>
      <c r="G914" s="7"/>
      <c r="H914" s="7"/>
      <c r="I914" s="3"/>
      <c r="J914" s="3"/>
      <c r="K914" s="3"/>
    </row>
    <row r="915" spans="5:11" ht="15.75" customHeight="1" x14ac:dyDescent="0.2">
      <c r="E915" s="3"/>
      <c r="F915" s="24"/>
      <c r="G915" s="7"/>
      <c r="H915" s="7"/>
      <c r="I915" s="3"/>
      <c r="J915" s="3"/>
      <c r="K915" s="3"/>
    </row>
    <row r="916" spans="5:11" ht="15.75" customHeight="1" x14ac:dyDescent="0.2">
      <c r="E916" s="3"/>
      <c r="F916" s="24"/>
      <c r="G916" s="7"/>
      <c r="H916" s="7"/>
      <c r="I916" s="3"/>
      <c r="J916" s="3"/>
      <c r="K916" s="3"/>
    </row>
    <row r="917" spans="5:11" ht="15.75" customHeight="1" x14ac:dyDescent="0.2">
      <c r="E917" s="3"/>
      <c r="F917" s="24"/>
      <c r="G917" s="7"/>
      <c r="H917" s="7"/>
      <c r="I917" s="3"/>
      <c r="J917" s="3"/>
      <c r="K917" s="3"/>
    </row>
    <row r="918" spans="5:11" ht="15.75" customHeight="1" x14ac:dyDescent="0.2">
      <c r="E918" s="3"/>
      <c r="F918" s="24"/>
      <c r="G918" s="7"/>
      <c r="H918" s="7"/>
      <c r="I918" s="3"/>
      <c r="J918" s="3"/>
      <c r="K918" s="3"/>
    </row>
    <row r="919" spans="5:11" ht="15.75" customHeight="1" x14ac:dyDescent="0.2">
      <c r="E919" s="3"/>
      <c r="F919" s="24"/>
      <c r="G919" s="7"/>
      <c r="H919" s="7"/>
      <c r="I919" s="3"/>
      <c r="J919" s="3"/>
      <c r="K919" s="3"/>
    </row>
    <row r="920" spans="5:11" ht="15.75" customHeight="1" x14ac:dyDescent="0.2">
      <c r="E920" s="3"/>
      <c r="F920" s="24"/>
      <c r="G920" s="7"/>
      <c r="H920" s="7"/>
      <c r="I920" s="3"/>
      <c r="J920" s="3"/>
      <c r="K920" s="3"/>
    </row>
    <row r="921" spans="5:11" ht="15.75" customHeight="1" x14ac:dyDescent="0.2">
      <c r="E921" s="3"/>
      <c r="F921" s="24"/>
      <c r="G921" s="7"/>
      <c r="H921" s="7"/>
      <c r="I921" s="3"/>
      <c r="J921" s="3"/>
      <c r="K921" s="3"/>
    </row>
    <row r="922" spans="5:11" ht="15.75" customHeight="1" x14ac:dyDescent="0.2">
      <c r="E922" s="3"/>
      <c r="F922" s="24"/>
      <c r="G922" s="7"/>
      <c r="H922" s="7"/>
      <c r="I922" s="3"/>
      <c r="J922" s="3"/>
      <c r="K922" s="3"/>
    </row>
    <row r="923" spans="5:11" ht="15.75" customHeight="1" x14ac:dyDescent="0.2">
      <c r="E923" s="3"/>
      <c r="F923" s="24"/>
      <c r="G923" s="7"/>
      <c r="H923" s="7"/>
      <c r="I923" s="3"/>
      <c r="J923" s="3"/>
      <c r="K923" s="3"/>
    </row>
    <row r="924" spans="5:11" ht="15.75" customHeight="1" x14ac:dyDescent="0.2">
      <c r="E924" s="3"/>
      <c r="F924" s="24"/>
      <c r="G924" s="7"/>
      <c r="H924" s="7"/>
      <c r="I924" s="3"/>
      <c r="J924" s="3"/>
      <c r="K924" s="3"/>
    </row>
    <row r="925" spans="5:11" ht="15.75" customHeight="1" x14ac:dyDescent="0.2">
      <c r="E925" s="3"/>
      <c r="F925" s="24"/>
      <c r="G925" s="7"/>
      <c r="H925" s="7"/>
      <c r="I925" s="3"/>
      <c r="J925" s="3"/>
      <c r="K925" s="3"/>
    </row>
    <row r="926" spans="5:11" ht="15.75" customHeight="1" x14ac:dyDescent="0.2">
      <c r="E926" s="3"/>
      <c r="F926" s="24"/>
      <c r="G926" s="7"/>
      <c r="H926" s="7"/>
      <c r="I926" s="3"/>
      <c r="J926" s="3"/>
      <c r="K926" s="3"/>
    </row>
    <row r="927" spans="5:11" ht="15.75" customHeight="1" x14ac:dyDescent="0.2">
      <c r="E927" s="3"/>
      <c r="F927" s="24"/>
      <c r="G927" s="7"/>
      <c r="H927" s="7"/>
      <c r="I927" s="3"/>
      <c r="J927" s="3"/>
      <c r="K927" s="3"/>
    </row>
    <row r="928" spans="5:11" ht="15.75" customHeight="1" x14ac:dyDescent="0.2">
      <c r="E928" s="3"/>
      <c r="F928" s="24"/>
      <c r="G928" s="7"/>
      <c r="H928" s="7"/>
      <c r="I928" s="3"/>
      <c r="J928" s="3"/>
      <c r="K928" s="3"/>
    </row>
    <row r="929" spans="5:11" ht="15.75" customHeight="1" x14ac:dyDescent="0.2">
      <c r="E929" s="3"/>
      <c r="F929" s="24"/>
      <c r="G929" s="7"/>
      <c r="H929" s="7"/>
      <c r="I929" s="3"/>
      <c r="J929" s="3"/>
      <c r="K929" s="3"/>
    </row>
    <row r="930" spans="5:11" ht="15.75" customHeight="1" x14ac:dyDescent="0.2">
      <c r="E930" s="3"/>
      <c r="F930" s="24"/>
      <c r="G930" s="7"/>
      <c r="H930" s="7"/>
      <c r="I930" s="3"/>
      <c r="J930" s="3"/>
      <c r="K930" s="3"/>
    </row>
    <row r="931" spans="5:11" ht="15.75" customHeight="1" x14ac:dyDescent="0.2">
      <c r="E931" s="3"/>
      <c r="F931" s="24"/>
      <c r="G931" s="7"/>
      <c r="H931" s="7"/>
      <c r="I931" s="3"/>
      <c r="J931" s="3"/>
      <c r="K931" s="3"/>
    </row>
    <row r="932" spans="5:11" ht="15.75" customHeight="1" x14ac:dyDescent="0.2">
      <c r="E932" s="3"/>
      <c r="F932" s="24"/>
      <c r="G932" s="7"/>
      <c r="H932" s="7"/>
      <c r="I932" s="3"/>
      <c r="J932" s="3"/>
      <c r="K932" s="3"/>
    </row>
    <row r="933" spans="5:11" ht="15.75" customHeight="1" x14ac:dyDescent="0.2">
      <c r="E933" s="3"/>
      <c r="F933" s="24"/>
      <c r="G933" s="7"/>
      <c r="H933" s="7"/>
      <c r="I933" s="3"/>
      <c r="J933" s="3"/>
      <c r="K933" s="3"/>
    </row>
    <row r="934" spans="5:11" ht="15.75" customHeight="1" x14ac:dyDescent="0.2">
      <c r="E934" s="3"/>
      <c r="F934" s="24"/>
      <c r="G934" s="7"/>
      <c r="H934" s="7"/>
      <c r="I934" s="3"/>
      <c r="J934" s="3"/>
      <c r="K934" s="3"/>
    </row>
    <row r="935" spans="5:11" ht="15.75" customHeight="1" x14ac:dyDescent="0.2">
      <c r="E935" s="3"/>
      <c r="F935" s="24"/>
      <c r="G935" s="7"/>
      <c r="H935" s="7"/>
      <c r="I935" s="3"/>
      <c r="J935" s="3"/>
      <c r="K935" s="3"/>
    </row>
    <row r="936" spans="5:11" ht="15.75" customHeight="1" x14ac:dyDescent="0.2">
      <c r="E936" s="3"/>
      <c r="F936" s="24"/>
      <c r="G936" s="7"/>
      <c r="H936" s="7"/>
      <c r="I936" s="3"/>
      <c r="J936" s="3"/>
      <c r="K936" s="3"/>
    </row>
    <row r="937" spans="5:11" ht="15.75" customHeight="1" x14ac:dyDescent="0.2">
      <c r="E937" s="3"/>
      <c r="F937" s="24"/>
      <c r="G937" s="7"/>
      <c r="H937" s="7"/>
      <c r="I937" s="3"/>
      <c r="J937" s="3"/>
      <c r="K937" s="3"/>
    </row>
    <row r="938" spans="5:11" ht="15.75" customHeight="1" x14ac:dyDescent="0.2">
      <c r="E938" s="3"/>
      <c r="F938" s="24"/>
      <c r="G938" s="7"/>
      <c r="H938" s="7"/>
      <c r="I938" s="3"/>
      <c r="J938" s="3"/>
      <c r="K938" s="3"/>
    </row>
    <row r="939" spans="5:11" ht="15.75" customHeight="1" x14ac:dyDescent="0.2">
      <c r="E939" s="3"/>
      <c r="F939" s="24"/>
      <c r="G939" s="7"/>
      <c r="H939" s="7"/>
      <c r="I939" s="3"/>
      <c r="J939" s="3"/>
      <c r="K939" s="3"/>
    </row>
    <row r="940" spans="5:11" ht="15.75" customHeight="1" x14ac:dyDescent="0.2">
      <c r="E940" s="3"/>
      <c r="F940" s="24"/>
      <c r="G940" s="7"/>
      <c r="H940" s="7"/>
      <c r="I940" s="3"/>
      <c r="J940" s="3"/>
      <c r="K940" s="3"/>
    </row>
    <row r="941" spans="5:11" ht="15.75" customHeight="1" x14ac:dyDescent="0.2">
      <c r="E941" s="3"/>
      <c r="F941" s="24"/>
      <c r="G941" s="7"/>
      <c r="H941" s="7"/>
      <c r="I941" s="3"/>
      <c r="J941" s="3"/>
      <c r="K941" s="3"/>
    </row>
    <row r="942" spans="5:11" ht="15.75" customHeight="1" x14ac:dyDescent="0.2">
      <c r="E942" s="3"/>
      <c r="F942" s="24"/>
      <c r="G942" s="7"/>
      <c r="H942" s="7"/>
      <c r="I942" s="3"/>
      <c r="J942" s="3"/>
      <c r="K942" s="3"/>
    </row>
    <row r="943" spans="5:11" ht="15.75" customHeight="1" x14ac:dyDescent="0.2">
      <c r="E943" s="3"/>
      <c r="F943" s="24"/>
      <c r="G943" s="7"/>
      <c r="H943" s="7"/>
      <c r="I943" s="3"/>
      <c r="J943" s="3"/>
      <c r="K943" s="3"/>
    </row>
    <row r="944" spans="5:11" ht="15.75" customHeight="1" x14ac:dyDescent="0.2">
      <c r="E944" s="3"/>
      <c r="F944" s="24"/>
      <c r="G944" s="7"/>
      <c r="H944" s="7"/>
      <c r="I944" s="3"/>
      <c r="J944" s="3"/>
      <c r="K944" s="3"/>
    </row>
    <row r="945" spans="5:11" ht="15.75" customHeight="1" x14ac:dyDescent="0.2">
      <c r="E945" s="3"/>
      <c r="F945" s="24"/>
      <c r="G945" s="7"/>
      <c r="H945" s="7"/>
      <c r="I945" s="3"/>
      <c r="J945" s="3"/>
      <c r="K945" s="3"/>
    </row>
    <row r="946" spans="5:11" ht="15.75" customHeight="1" x14ac:dyDescent="0.2">
      <c r="E946" s="3"/>
      <c r="F946" s="24"/>
      <c r="G946" s="7"/>
      <c r="H946" s="7"/>
      <c r="I946" s="3"/>
      <c r="J946" s="3"/>
      <c r="K946" s="3"/>
    </row>
    <row r="947" spans="5:11" ht="15.75" customHeight="1" x14ac:dyDescent="0.2">
      <c r="E947" s="3"/>
      <c r="F947" s="24"/>
      <c r="G947" s="7"/>
      <c r="H947" s="7"/>
      <c r="I947" s="3"/>
      <c r="J947" s="3"/>
      <c r="K947" s="3"/>
    </row>
    <row r="948" spans="5:11" ht="15.75" customHeight="1" x14ac:dyDescent="0.2">
      <c r="E948" s="3"/>
      <c r="F948" s="24"/>
      <c r="G948" s="7"/>
      <c r="H948" s="7"/>
      <c r="I948" s="3"/>
      <c r="J948" s="3"/>
      <c r="K948" s="3"/>
    </row>
    <row r="949" spans="5:11" ht="15.75" customHeight="1" x14ac:dyDescent="0.2">
      <c r="E949" s="3"/>
      <c r="F949" s="24"/>
      <c r="G949" s="7"/>
      <c r="H949" s="7"/>
      <c r="I949" s="3"/>
      <c r="J949" s="3"/>
      <c r="K949" s="3"/>
    </row>
    <row r="950" spans="5:11" ht="15.75" customHeight="1" x14ac:dyDescent="0.2">
      <c r="E950" s="3"/>
      <c r="F950" s="24"/>
      <c r="G950" s="7"/>
      <c r="H950" s="7"/>
      <c r="I950" s="3"/>
      <c r="J950" s="3"/>
      <c r="K950" s="3"/>
    </row>
    <row r="951" spans="5:11" ht="15.75" customHeight="1" x14ac:dyDescent="0.2">
      <c r="E951" s="3"/>
      <c r="F951" s="24"/>
      <c r="G951" s="7"/>
      <c r="H951" s="7"/>
      <c r="I951" s="3"/>
      <c r="J951" s="3"/>
      <c r="K951" s="3"/>
    </row>
    <row r="952" spans="5:11" ht="15.75" customHeight="1" x14ac:dyDescent="0.2">
      <c r="E952" s="3"/>
      <c r="F952" s="24"/>
      <c r="G952" s="7"/>
      <c r="H952" s="7"/>
      <c r="I952" s="3"/>
      <c r="J952" s="3"/>
      <c r="K952" s="3"/>
    </row>
    <row r="953" spans="5:11" ht="15.75" customHeight="1" x14ac:dyDescent="0.2">
      <c r="E953" s="3"/>
      <c r="F953" s="24"/>
      <c r="G953" s="7"/>
      <c r="H953" s="7"/>
      <c r="I953" s="3"/>
      <c r="J953" s="3"/>
      <c r="K953" s="3"/>
    </row>
    <row r="954" spans="5:11" ht="15.75" customHeight="1" x14ac:dyDescent="0.2">
      <c r="E954" s="3"/>
      <c r="F954" s="24"/>
      <c r="G954" s="7"/>
      <c r="H954" s="7"/>
      <c r="I954" s="3"/>
      <c r="J954" s="3"/>
      <c r="K954" s="3"/>
    </row>
    <row r="955" spans="5:11" ht="15.75" customHeight="1" x14ac:dyDescent="0.2">
      <c r="E955" s="3"/>
      <c r="F955" s="24"/>
      <c r="G955" s="7"/>
      <c r="H955" s="7"/>
      <c r="I955" s="3"/>
      <c r="J955" s="3"/>
      <c r="K955" s="3"/>
    </row>
    <row r="956" spans="5:11" ht="15.75" customHeight="1" x14ac:dyDescent="0.2">
      <c r="E956" s="3"/>
      <c r="F956" s="24"/>
      <c r="G956" s="7"/>
      <c r="H956" s="7"/>
      <c r="I956" s="3"/>
      <c r="J956" s="3"/>
      <c r="K956" s="3"/>
    </row>
    <row r="957" spans="5:11" ht="15.75" customHeight="1" x14ac:dyDescent="0.2">
      <c r="E957" s="3"/>
      <c r="F957" s="24"/>
      <c r="G957" s="7"/>
      <c r="H957" s="7"/>
      <c r="I957" s="3"/>
      <c r="J957" s="3"/>
      <c r="K957" s="3"/>
    </row>
    <row r="958" spans="5:11" ht="15.75" customHeight="1" x14ac:dyDescent="0.2">
      <c r="E958" s="3"/>
      <c r="F958" s="24"/>
      <c r="G958" s="7"/>
      <c r="H958" s="7"/>
      <c r="I958" s="3"/>
      <c r="J958" s="3"/>
      <c r="K958" s="3"/>
    </row>
    <row r="959" spans="5:11" ht="15.75" customHeight="1" x14ac:dyDescent="0.2">
      <c r="E959" s="3"/>
      <c r="F959" s="24"/>
      <c r="G959" s="7"/>
      <c r="H959" s="7"/>
      <c r="I959" s="3"/>
      <c r="J959" s="3"/>
      <c r="K959" s="3"/>
    </row>
    <row r="960" spans="5:11" ht="15.75" customHeight="1" x14ac:dyDescent="0.2">
      <c r="E960" s="3"/>
      <c r="F960" s="24"/>
      <c r="G960" s="7"/>
      <c r="H960" s="7"/>
      <c r="I960" s="3"/>
      <c r="J960" s="3"/>
      <c r="K960" s="3"/>
    </row>
    <row r="961" spans="5:11" ht="15.75" customHeight="1" x14ac:dyDescent="0.2">
      <c r="E961" s="3"/>
      <c r="F961" s="24"/>
      <c r="G961" s="7"/>
      <c r="H961" s="7"/>
      <c r="I961" s="3"/>
      <c r="J961" s="3"/>
      <c r="K961" s="3"/>
    </row>
    <row r="962" spans="5:11" ht="15.75" customHeight="1" x14ac:dyDescent="0.2">
      <c r="E962" s="3"/>
      <c r="F962" s="24"/>
      <c r="G962" s="7"/>
      <c r="H962" s="7"/>
      <c r="I962" s="3"/>
      <c r="J962" s="3"/>
      <c r="K962" s="3"/>
    </row>
    <row r="963" spans="5:11" ht="15.75" customHeight="1" x14ac:dyDescent="0.2">
      <c r="E963" s="3"/>
      <c r="F963" s="24"/>
      <c r="G963" s="7"/>
      <c r="H963" s="7"/>
      <c r="I963" s="3"/>
      <c r="J963" s="3"/>
      <c r="K963" s="3"/>
    </row>
    <row r="964" spans="5:11" ht="15.75" customHeight="1" x14ac:dyDescent="0.2">
      <c r="E964" s="3"/>
      <c r="F964" s="24"/>
      <c r="G964" s="7"/>
      <c r="H964" s="7"/>
      <c r="I964" s="3"/>
      <c r="J964" s="3"/>
      <c r="K964" s="3"/>
    </row>
    <row r="965" spans="5:11" ht="15.75" customHeight="1" x14ac:dyDescent="0.2">
      <c r="E965" s="3"/>
      <c r="F965" s="24"/>
      <c r="G965" s="7"/>
      <c r="H965" s="7"/>
      <c r="I965" s="3"/>
      <c r="J965" s="3"/>
      <c r="K965" s="3"/>
    </row>
    <row r="966" spans="5:11" ht="15.75" customHeight="1" x14ac:dyDescent="0.2">
      <c r="E966" s="3"/>
      <c r="F966" s="24"/>
      <c r="G966" s="7"/>
      <c r="H966" s="7"/>
      <c r="I966" s="3"/>
      <c r="J966" s="3"/>
      <c r="K966" s="3"/>
    </row>
    <row r="967" spans="5:11" ht="15.75" customHeight="1" x14ac:dyDescent="0.2">
      <c r="E967" s="3"/>
      <c r="F967" s="24"/>
      <c r="G967" s="7"/>
      <c r="H967" s="7"/>
      <c r="I967" s="3"/>
      <c r="J967" s="3"/>
      <c r="K967" s="3"/>
    </row>
    <row r="968" spans="5:11" ht="15.75" customHeight="1" x14ac:dyDescent="0.2">
      <c r="E968" s="3"/>
      <c r="F968" s="24"/>
      <c r="G968" s="7"/>
      <c r="H968" s="7"/>
      <c r="I968" s="3"/>
      <c r="J968" s="3"/>
      <c r="K968" s="3"/>
    </row>
    <row r="969" spans="5:11" ht="15.75" customHeight="1" x14ac:dyDescent="0.2">
      <c r="E969" s="3"/>
      <c r="F969" s="24"/>
      <c r="G969" s="7"/>
      <c r="H969" s="7"/>
      <c r="I969" s="3"/>
      <c r="J969" s="3"/>
      <c r="K969" s="3"/>
    </row>
    <row r="970" spans="5:11" ht="15.75" customHeight="1" x14ac:dyDescent="0.2">
      <c r="E970" s="3"/>
      <c r="F970" s="24"/>
      <c r="G970" s="7"/>
      <c r="H970" s="7"/>
      <c r="I970" s="3"/>
      <c r="J970" s="3"/>
      <c r="K970" s="3"/>
    </row>
    <row r="971" spans="5:11" ht="15.75" customHeight="1" x14ac:dyDescent="0.2">
      <c r="E971" s="3"/>
      <c r="F971" s="24"/>
      <c r="G971" s="7"/>
      <c r="H971" s="7"/>
      <c r="I971" s="3"/>
      <c r="J971" s="3"/>
      <c r="K971" s="3"/>
    </row>
    <row r="972" spans="5:11" ht="15.75" customHeight="1" x14ac:dyDescent="0.2">
      <c r="E972" s="3"/>
      <c r="F972" s="24"/>
      <c r="G972" s="7"/>
      <c r="H972" s="7"/>
      <c r="I972" s="3"/>
      <c r="J972" s="3"/>
      <c r="K972" s="3"/>
    </row>
    <row r="973" spans="5:11" ht="15.75" customHeight="1" x14ac:dyDescent="0.2">
      <c r="E973" s="3"/>
      <c r="F973" s="24"/>
      <c r="G973" s="7"/>
      <c r="H973" s="7"/>
      <c r="I973" s="3"/>
      <c r="J973" s="3"/>
      <c r="K973" s="3"/>
    </row>
    <row r="974" spans="5:11" ht="15.75" customHeight="1" x14ac:dyDescent="0.2">
      <c r="E974" s="3"/>
      <c r="F974" s="24"/>
      <c r="G974" s="7"/>
      <c r="H974" s="7"/>
      <c r="I974" s="3"/>
      <c r="J974" s="3"/>
      <c r="K974" s="3"/>
    </row>
    <row r="975" spans="5:11" ht="15.75" customHeight="1" x14ac:dyDescent="0.2">
      <c r="E975" s="3"/>
      <c r="F975" s="24"/>
      <c r="G975" s="7"/>
      <c r="H975" s="7"/>
      <c r="I975" s="3"/>
      <c r="J975" s="3"/>
      <c r="K975" s="3"/>
    </row>
    <row r="976" spans="5:11" ht="15.75" customHeight="1" x14ac:dyDescent="0.2">
      <c r="E976" s="3"/>
      <c r="F976" s="24"/>
      <c r="G976" s="7"/>
      <c r="H976" s="7"/>
      <c r="I976" s="3"/>
      <c r="J976" s="3"/>
      <c r="K976" s="3"/>
    </row>
    <row r="977" spans="5:11" ht="15.75" customHeight="1" x14ac:dyDescent="0.2">
      <c r="E977" s="3"/>
      <c r="F977" s="24"/>
      <c r="G977" s="7"/>
      <c r="H977" s="7"/>
      <c r="I977" s="3"/>
      <c r="J977" s="3"/>
      <c r="K977" s="3"/>
    </row>
    <row r="978" spans="5:11" ht="15.75" customHeight="1" x14ac:dyDescent="0.2">
      <c r="E978" s="3"/>
      <c r="F978" s="24"/>
      <c r="G978" s="7"/>
      <c r="H978" s="7"/>
      <c r="I978" s="3"/>
      <c r="J978" s="3"/>
      <c r="K978" s="3"/>
    </row>
    <row r="979" spans="5:11" ht="15.75" customHeight="1" x14ac:dyDescent="0.2">
      <c r="E979" s="3"/>
      <c r="F979" s="24"/>
      <c r="G979" s="7"/>
      <c r="H979" s="7"/>
      <c r="I979" s="3"/>
      <c r="J979" s="3"/>
      <c r="K979" s="3"/>
    </row>
    <row r="980" spans="5:11" ht="15.75" customHeight="1" x14ac:dyDescent="0.2">
      <c r="E980" s="3"/>
      <c r="F980" s="24"/>
      <c r="G980" s="7"/>
      <c r="H980" s="7"/>
      <c r="I980" s="3"/>
      <c r="J980" s="3"/>
      <c r="K980" s="3"/>
    </row>
    <row r="981" spans="5:11" ht="15.75" customHeight="1" x14ac:dyDescent="0.2">
      <c r="E981" s="3"/>
      <c r="F981" s="24"/>
      <c r="G981" s="7"/>
      <c r="H981" s="7"/>
      <c r="I981" s="3"/>
      <c r="J981" s="3"/>
      <c r="K981" s="3"/>
    </row>
    <row r="982" spans="5:11" ht="15.75" customHeight="1" x14ac:dyDescent="0.2">
      <c r="E982" s="3"/>
      <c r="F982" s="24"/>
      <c r="G982" s="7"/>
      <c r="H982" s="7"/>
      <c r="I982" s="3"/>
      <c r="J982" s="3"/>
      <c r="K982" s="3"/>
    </row>
    <row r="983" spans="5:11" ht="15.75" customHeight="1" x14ac:dyDescent="0.2">
      <c r="E983" s="3"/>
      <c r="F983" s="24"/>
      <c r="G983" s="7"/>
      <c r="H983" s="7"/>
      <c r="I983" s="3"/>
      <c r="J983" s="3"/>
      <c r="K983" s="3"/>
    </row>
    <row r="984" spans="5:11" ht="15.75" customHeight="1" x14ac:dyDescent="0.2">
      <c r="E984" s="3"/>
      <c r="F984" s="24"/>
      <c r="G984" s="7"/>
      <c r="H984" s="7"/>
      <c r="I984" s="3"/>
      <c r="J984" s="3"/>
      <c r="K984" s="3"/>
    </row>
    <row r="985" spans="5:11" ht="15.75" customHeight="1" x14ac:dyDescent="0.2">
      <c r="E985" s="3"/>
      <c r="F985" s="24"/>
      <c r="G985" s="7"/>
      <c r="H985" s="7"/>
      <c r="I985" s="3"/>
      <c r="J985" s="3"/>
      <c r="K985" s="3"/>
    </row>
    <row r="986" spans="5:11" ht="15.75" customHeight="1" x14ac:dyDescent="0.2">
      <c r="E986" s="3"/>
      <c r="F986" s="24"/>
      <c r="G986" s="7"/>
      <c r="H986" s="7"/>
      <c r="I986" s="3"/>
      <c r="J986" s="3"/>
      <c r="K986" s="3"/>
    </row>
    <row r="987" spans="5:11" ht="15.75" customHeight="1" x14ac:dyDescent="0.2">
      <c r="E987" s="3"/>
      <c r="F987" s="24"/>
      <c r="G987" s="7"/>
      <c r="H987" s="7"/>
      <c r="I987" s="3"/>
      <c r="J987" s="3"/>
      <c r="K987" s="3"/>
    </row>
    <row r="988" spans="5:11" ht="15.75" customHeight="1" x14ac:dyDescent="0.2">
      <c r="E988" s="3"/>
      <c r="F988" s="24"/>
      <c r="G988" s="7"/>
      <c r="H988" s="7"/>
      <c r="I988" s="3"/>
      <c r="J988" s="3"/>
      <c r="K988" s="3"/>
    </row>
    <row r="989" spans="5:11" ht="15.75" customHeight="1" x14ac:dyDescent="0.2">
      <c r="E989" s="3"/>
      <c r="F989" s="24"/>
      <c r="G989" s="7"/>
      <c r="H989" s="7"/>
      <c r="I989" s="3"/>
      <c r="J989" s="3"/>
      <c r="K989" s="3"/>
    </row>
    <row r="990" spans="5:11" ht="15.75" customHeight="1" x14ac:dyDescent="0.2">
      <c r="E990" s="3"/>
      <c r="F990" s="24"/>
      <c r="G990" s="7"/>
      <c r="H990" s="7"/>
      <c r="I990" s="3"/>
      <c r="J990" s="3"/>
      <c r="K990" s="3"/>
    </row>
    <row r="991" spans="5:11" ht="15.75" customHeight="1" x14ac:dyDescent="0.2">
      <c r="E991" s="3"/>
      <c r="F991" s="24"/>
      <c r="G991" s="7"/>
      <c r="H991" s="7"/>
      <c r="I991" s="3"/>
      <c r="J991" s="3"/>
      <c r="K991" s="3"/>
    </row>
    <row r="992" spans="5:11" ht="15.75" customHeight="1" x14ac:dyDescent="0.2">
      <c r="E992" s="3"/>
      <c r="F992" s="24"/>
      <c r="G992" s="7"/>
      <c r="H992" s="7"/>
      <c r="I992" s="3"/>
      <c r="J992" s="3"/>
      <c r="K992" s="3"/>
    </row>
    <row r="993" spans="5:11" ht="15.75" customHeight="1" x14ac:dyDescent="0.2">
      <c r="E993" s="3"/>
      <c r="F993" s="24"/>
      <c r="G993" s="7"/>
      <c r="H993" s="7"/>
      <c r="I993" s="3"/>
      <c r="J993" s="3"/>
      <c r="K993" s="3"/>
    </row>
    <row r="994" spans="5:11" ht="15.75" customHeight="1" x14ac:dyDescent="0.2">
      <c r="E994" s="3"/>
      <c r="F994" s="24"/>
      <c r="G994" s="7"/>
      <c r="H994" s="7"/>
      <c r="I994" s="3"/>
      <c r="J994" s="3"/>
      <c r="K994" s="3"/>
    </row>
    <row r="995" spans="5:11" ht="15.75" customHeight="1" x14ac:dyDescent="0.2">
      <c r="E995" s="3"/>
      <c r="F995" s="24"/>
      <c r="G995" s="7"/>
      <c r="H995" s="7"/>
      <c r="I995" s="3"/>
      <c r="J995" s="3"/>
      <c r="K995" s="3"/>
    </row>
    <row r="996" spans="5:11" ht="15.75" customHeight="1" x14ac:dyDescent="0.2">
      <c r="E996" s="3"/>
      <c r="F996" s="24"/>
      <c r="G996" s="7"/>
      <c r="H996" s="7"/>
      <c r="I996" s="3"/>
      <c r="J996" s="3"/>
      <c r="K996" s="3"/>
    </row>
    <row r="997" spans="5:11" ht="15.75" customHeight="1" x14ac:dyDescent="0.2">
      <c r="E997" s="3"/>
      <c r="F997" s="24"/>
      <c r="G997" s="7"/>
      <c r="H997" s="7"/>
      <c r="I997" s="3"/>
      <c r="J997" s="3"/>
      <c r="K997" s="3"/>
    </row>
    <row r="998" spans="5:11" ht="15.75" customHeight="1" x14ac:dyDescent="0.2">
      <c r="E998" s="3"/>
      <c r="F998" s="24"/>
      <c r="G998" s="7"/>
      <c r="H998" s="7"/>
      <c r="I998" s="3"/>
      <c r="J998" s="3"/>
      <c r="K998" s="3"/>
    </row>
    <row r="999" spans="5:11" ht="15.75" customHeight="1" x14ac:dyDescent="0.2">
      <c r="E999" s="3"/>
      <c r="F999" s="24"/>
      <c r="G999" s="7"/>
      <c r="H999" s="7"/>
      <c r="I999" s="3"/>
      <c r="J999" s="3"/>
      <c r="K999" s="3"/>
    </row>
    <row r="1000" spans="5:11" ht="15.75" customHeight="1" x14ac:dyDescent="0.2">
      <c r="E1000" s="3"/>
      <c r="F1000" s="24"/>
      <c r="G1000" s="7"/>
      <c r="H1000" s="7"/>
      <c r="I1000" s="3"/>
      <c r="J1000" s="3"/>
      <c r="K1000" s="3"/>
    </row>
    <row r="1001" spans="5:11" ht="15.75" customHeight="1" x14ac:dyDescent="0.2">
      <c r="E1001" s="3"/>
      <c r="F1001" s="24"/>
      <c r="G1001" s="7"/>
      <c r="H1001" s="7"/>
      <c r="I1001" s="3"/>
      <c r="J1001" s="3"/>
      <c r="K1001" s="3"/>
    </row>
    <row r="1002" spans="5:11" ht="15.75" customHeight="1" x14ac:dyDescent="0.2">
      <c r="E1002" s="3"/>
      <c r="F1002" s="24"/>
      <c r="G1002" s="7"/>
      <c r="H1002" s="7"/>
      <c r="I1002" s="3"/>
      <c r="J1002" s="3"/>
      <c r="K1002" s="3"/>
    </row>
    <row r="1003" spans="5:11" ht="15.75" customHeight="1" x14ac:dyDescent="0.2">
      <c r="E1003" s="3"/>
      <c r="F1003" s="24"/>
      <c r="G1003" s="7"/>
      <c r="H1003" s="7"/>
      <c r="I1003" s="3"/>
      <c r="J1003" s="3"/>
      <c r="K1003" s="3"/>
    </row>
    <row r="1004" spans="5:11" ht="15.75" customHeight="1" x14ac:dyDescent="0.2">
      <c r="E1004" s="3"/>
      <c r="F1004" s="24"/>
      <c r="G1004" s="7"/>
      <c r="H1004" s="7"/>
      <c r="I1004" s="3"/>
      <c r="J1004" s="3"/>
      <c r="K1004" s="3"/>
    </row>
    <row r="1005" spans="5:11" ht="15.75" customHeight="1" x14ac:dyDescent="0.2">
      <c r="E1005" s="3"/>
      <c r="F1005" s="24"/>
      <c r="G1005" s="7"/>
      <c r="H1005" s="7"/>
      <c r="I1005" s="3"/>
      <c r="J1005" s="3"/>
      <c r="K1005" s="3"/>
    </row>
    <row r="1006" spans="5:11" ht="15.75" customHeight="1" x14ac:dyDescent="0.2">
      <c r="E1006" s="3"/>
      <c r="F1006" s="24"/>
      <c r="G1006" s="7"/>
      <c r="H1006" s="7"/>
      <c r="I1006" s="3"/>
      <c r="J1006" s="3"/>
      <c r="K1006" s="3"/>
    </row>
    <row r="1007" spans="5:11" ht="15.75" customHeight="1" x14ac:dyDescent="0.2">
      <c r="E1007" s="3"/>
      <c r="F1007" s="24"/>
      <c r="G1007" s="7"/>
      <c r="H1007" s="7"/>
      <c r="I1007" s="3"/>
      <c r="J1007" s="3"/>
      <c r="K1007" s="3"/>
    </row>
    <row r="1008" spans="5:11" ht="15.75" customHeight="1" x14ac:dyDescent="0.2">
      <c r="E1008" s="3"/>
      <c r="F1008" s="24"/>
      <c r="G1008" s="7"/>
      <c r="H1008" s="7"/>
      <c r="I1008" s="3"/>
      <c r="J1008" s="3"/>
      <c r="K1008" s="3"/>
    </row>
    <row r="1009" spans="5:11" ht="15.75" customHeight="1" x14ac:dyDescent="0.2">
      <c r="E1009" s="3"/>
      <c r="F1009" s="24"/>
      <c r="G1009" s="7"/>
      <c r="H1009" s="7"/>
      <c r="I1009" s="3"/>
      <c r="J1009" s="3"/>
      <c r="K1009" s="3"/>
    </row>
    <row r="1010" spans="5:11" ht="15.75" customHeight="1" x14ac:dyDescent="0.2">
      <c r="E1010" s="3"/>
      <c r="F1010" s="24"/>
      <c r="G1010" s="7"/>
      <c r="H1010" s="7"/>
      <c r="I1010" s="3"/>
      <c r="J1010" s="3"/>
      <c r="K1010" s="3"/>
    </row>
    <row r="1011" spans="5:11" ht="15.75" customHeight="1" x14ac:dyDescent="0.2">
      <c r="E1011" s="3"/>
      <c r="F1011" s="24"/>
      <c r="G1011" s="7"/>
      <c r="H1011" s="7"/>
      <c r="I1011" s="3"/>
      <c r="J1011" s="3"/>
      <c r="K1011" s="3"/>
    </row>
    <row r="1012" spans="5:11" ht="15.75" customHeight="1" x14ac:dyDescent="0.2">
      <c r="E1012" s="3"/>
      <c r="F1012" s="24"/>
      <c r="G1012" s="7"/>
      <c r="H1012" s="7"/>
      <c r="I1012" s="3"/>
      <c r="J1012" s="3"/>
      <c r="K1012" s="3"/>
    </row>
    <row r="1013" spans="5:11" ht="15.75" customHeight="1" x14ac:dyDescent="0.2">
      <c r="E1013" s="3"/>
      <c r="F1013" s="24"/>
      <c r="G1013" s="7"/>
      <c r="H1013" s="7"/>
      <c r="I1013" s="3"/>
      <c r="J1013" s="3"/>
      <c r="K1013" s="3"/>
    </row>
    <row r="1014" spans="5:11" ht="15.75" customHeight="1" x14ac:dyDescent="0.2">
      <c r="E1014" s="3"/>
      <c r="F1014" s="24"/>
      <c r="G1014" s="7"/>
      <c r="H1014" s="7"/>
      <c r="I1014" s="3"/>
      <c r="J1014" s="3"/>
      <c r="K1014" s="3"/>
    </row>
    <row r="1015" spans="5:11" ht="15.75" customHeight="1" x14ac:dyDescent="0.2">
      <c r="E1015" s="3"/>
      <c r="F1015" s="24"/>
      <c r="G1015" s="7"/>
      <c r="H1015" s="7"/>
      <c r="I1015" s="3"/>
      <c r="J1015" s="3"/>
      <c r="K1015" s="3"/>
    </row>
    <row r="1016" spans="5:11" ht="15.75" customHeight="1" x14ac:dyDescent="0.2">
      <c r="E1016" s="3"/>
      <c r="F1016" s="24"/>
      <c r="G1016" s="7"/>
      <c r="H1016" s="7"/>
      <c r="I1016" s="3"/>
      <c r="J1016" s="3"/>
      <c r="K1016" s="3"/>
    </row>
    <row r="1017" spans="5:11" ht="15.75" customHeight="1" x14ac:dyDescent="0.2">
      <c r="E1017" s="3"/>
      <c r="F1017" s="24"/>
      <c r="G1017" s="7"/>
      <c r="H1017" s="7"/>
      <c r="I1017" s="3"/>
      <c r="J1017" s="3"/>
      <c r="K1017" s="3"/>
    </row>
    <row r="1018" spans="5:11" ht="15.75" customHeight="1" x14ac:dyDescent="0.2">
      <c r="E1018" s="3"/>
      <c r="F1018" s="24"/>
      <c r="G1018" s="7"/>
      <c r="H1018" s="7"/>
      <c r="I1018" s="3"/>
      <c r="J1018" s="3"/>
      <c r="K1018" s="3"/>
    </row>
    <row r="1019" spans="5:11" ht="15.75" customHeight="1" x14ac:dyDescent="0.2">
      <c r="E1019" s="3"/>
      <c r="F1019" s="24"/>
      <c r="G1019" s="7"/>
      <c r="H1019" s="7"/>
      <c r="I1019" s="3"/>
      <c r="J1019" s="3"/>
      <c r="K1019" s="3"/>
    </row>
    <row r="1020" spans="5:11" ht="15.75" customHeight="1" x14ac:dyDescent="0.2">
      <c r="E1020" s="3"/>
      <c r="F1020" s="24"/>
      <c r="G1020" s="7"/>
      <c r="H1020" s="7"/>
      <c r="I1020" s="3"/>
      <c r="J1020" s="3"/>
      <c r="K1020" s="3"/>
    </row>
    <row r="1021" spans="5:11" ht="15.75" customHeight="1" x14ac:dyDescent="0.2">
      <c r="E1021" s="3"/>
      <c r="F1021" s="24"/>
      <c r="G1021" s="7"/>
      <c r="H1021" s="7"/>
      <c r="I1021" s="3"/>
      <c r="J1021" s="3"/>
      <c r="K1021" s="3"/>
    </row>
    <row r="1022" spans="5:11" ht="15.75" customHeight="1" x14ac:dyDescent="0.2">
      <c r="E1022" s="3"/>
      <c r="F1022" s="24"/>
      <c r="G1022" s="7"/>
      <c r="H1022" s="7"/>
      <c r="I1022" s="3"/>
      <c r="J1022" s="3"/>
      <c r="K1022" s="3"/>
    </row>
    <row r="1023" spans="5:11" ht="15.75" customHeight="1" x14ac:dyDescent="0.2">
      <c r="E1023" s="3"/>
      <c r="F1023" s="24"/>
      <c r="G1023" s="7"/>
      <c r="H1023" s="7"/>
      <c r="I1023" s="3"/>
      <c r="J1023" s="3"/>
      <c r="K1023" s="3"/>
    </row>
    <row r="1024" spans="5:11" ht="15.75" customHeight="1" x14ac:dyDescent="0.2">
      <c r="E1024" s="3"/>
      <c r="F1024" s="24"/>
      <c r="G1024" s="7"/>
      <c r="H1024" s="7"/>
      <c r="I1024" s="3"/>
      <c r="J1024" s="3"/>
      <c r="K1024" s="3"/>
    </row>
    <row r="1025" spans="5:11" ht="15.75" customHeight="1" x14ac:dyDescent="0.2">
      <c r="E1025" s="3"/>
      <c r="F1025" s="24"/>
      <c r="G1025" s="7"/>
      <c r="H1025" s="7"/>
      <c r="I1025" s="3"/>
      <c r="J1025" s="3"/>
      <c r="K1025" s="3"/>
    </row>
    <row r="1026" spans="5:11" ht="15.75" customHeight="1" x14ac:dyDescent="0.2">
      <c r="E1026" s="3"/>
      <c r="F1026" s="24"/>
      <c r="G1026" s="7"/>
      <c r="H1026" s="7"/>
      <c r="I1026" s="3"/>
      <c r="J1026" s="3"/>
      <c r="K1026" s="3"/>
    </row>
    <row r="1027" spans="5:11" ht="15.75" customHeight="1" x14ac:dyDescent="0.2">
      <c r="E1027" s="3"/>
      <c r="F1027" s="24"/>
      <c r="G1027" s="7"/>
      <c r="H1027" s="7"/>
      <c r="I1027" s="3"/>
      <c r="J1027" s="3"/>
      <c r="K1027" s="3"/>
    </row>
    <row r="1028" spans="5:11" ht="15.75" customHeight="1" x14ac:dyDescent="0.2">
      <c r="E1028" s="3"/>
      <c r="F1028" s="24"/>
      <c r="G1028" s="7"/>
      <c r="H1028" s="7"/>
      <c r="I1028" s="3"/>
      <c r="J1028" s="3"/>
      <c r="K1028" s="3"/>
    </row>
    <row r="1029" spans="5:11" ht="15.75" customHeight="1" x14ac:dyDescent="0.2">
      <c r="E1029" s="3"/>
      <c r="F1029" s="24"/>
      <c r="G1029" s="7"/>
      <c r="H1029" s="7"/>
      <c r="I1029" s="3"/>
      <c r="J1029" s="3"/>
      <c r="K1029" s="3"/>
    </row>
    <row r="1030" spans="5:11" ht="15.75" customHeight="1" x14ac:dyDescent="0.2">
      <c r="E1030" s="3"/>
      <c r="F1030" s="24"/>
      <c r="G1030" s="7"/>
      <c r="H1030" s="7"/>
      <c r="I1030" s="3"/>
      <c r="J1030" s="3"/>
      <c r="K1030" s="3"/>
    </row>
    <row r="1031" spans="5:11" ht="15.75" customHeight="1" x14ac:dyDescent="0.2">
      <c r="E1031" s="3"/>
      <c r="F1031" s="24"/>
      <c r="G1031" s="7"/>
      <c r="H1031" s="7"/>
      <c r="I1031" s="3"/>
      <c r="J1031" s="3"/>
      <c r="K1031" s="3"/>
    </row>
    <row r="1032" spans="5:11" ht="15.75" customHeight="1" x14ac:dyDescent="0.2">
      <c r="E1032" s="3"/>
      <c r="F1032" s="24"/>
      <c r="G1032" s="7"/>
      <c r="H1032" s="7"/>
      <c r="I1032" s="3"/>
      <c r="J1032" s="3"/>
      <c r="K1032" s="3"/>
    </row>
    <row r="1033" spans="5:11" ht="15.75" customHeight="1" x14ac:dyDescent="0.2">
      <c r="E1033" s="3"/>
      <c r="F1033" s="24"/>
      <c r="G1033" s="7"/>
      <c r="H1033" s="7"/>
      <c r="I1033" s="3"/>
      <c r="J1033" s="3"/>
      <c r="K1033" s="3"/>
    </row>
    <row r="1034" spans="5:11" ht="15.75" customHeight="1" x14ac:dyDescent="0.2">
      <c r="E1034" s="3"/>
      <c r="F1034" s="24"/>
      <c r="G1034" s="7"/>
      <c r="H1034" s="7"/>
      <c r="I1034" s="3"/>
      <c r="J1034" s="3"/>
      <c r="K1034" s="3"/>
    </row>
    <row r="1035" spans="5:11" ht="15.75" customHeight="1" x14ac:dyDescent="0.2">
      <c r="E1035" s="3"/>
      <c r="F1035" s="24"/>
      <c r="G1035" s="7"/>
      <c r="H1035" s="7"/>
      <c r="I1035" s="3"/>
      <c r="J1035" s="3"/>
      <c r="K1035" s="3"/>
    </row>
    <row r="1036" spans="5:11" ht="15.75" customHeight="1" x14ac:dyDescent="0.2">
      <c r="E1036" s="3"/>
      <c r="F1036" s="24"/>
      <c r="G1036" s="7"/>
      <c r="H1036" s="7"/>
      <c r="I1036" s="3"/>
      <c r="J1036" s="3"/>
      <c r="K1036" s="3"/>
    </row>
    <row r="1037" spans="5:11" ht="15.75" customHeight="1" x14ac:dyDescent="0.2">
      <c r="E1037" s="3"/>
      <c r="F1037" s="24"/>
      <c r="G1037" s="7"/>
      <c r="H1037" s="7"/>
      <c r="I1037" s="3"/>
      <c r="J1037" s="3"/>
      <c r="K1037" s="3"/>
    </row>
    <row r="1038" spans="5:11" ht="15.75" customHeight="1" x14ac:dyDescent="0.2">
      <c r="E1038" s="3"/>
      <c r="F1038" s="24"/>
      <c r="G1038" s="7"/>
      <c r="H1038" s="7"/>
      <c r="I1038" s="3"/>
      <c r="J1038" s="3"/>
      <c r="K1038" s="3"/>
    </row>
    <row r="1039" spans="5:11" ht="15.75" customHeight="1" x14ac:dyDescent="0.2">
      <c r="E1039" s="3"/>
      <c r="F1039" s="24"/>
      <c r="G1039" s="7"/>
      <c r="H1039" s="7"/>
      <c r="I1039" s="3"/>
      <c r="J1039" s="3"/>
      <c r="K1039" s="3"/>
    </row>
    <row r="1040" spans="5:11" ht="15.75" customHeight="1" x14ac:dyDescent="0.2">
      <c r="E1040" s="3"/>
      <c r="F1040" s="24"/>
      <c r="G1040" s="7"/>
      <c r="H1040" s="7"/>
      <c r="I1040" s="3"/>
      <c r="J1040" s="3"/>
      <c r="K1040" s="3"/>
    </row>
    <row r="1041" spans="5:11" ht="15.75" customHeight="1" x14ac:dyDescent="0.2">
      <c r="E1041" s="3"/>
      <c r="F1041" s="24"/>
      <c r="G1041" s="7"/>
      <c r="H1041" s="7"/>
      <c r="I1041" s="3"/>
      <c r="J1041" s="3"/>
      <c r="K1041" s="3"/>
    </row>
    <row r="1042" spans="5:11" ht="15.75" customHeight="1" x14ac:dyDescent="0.2">
      <c r="E1042" s="3"/>
      <c r="F1042" s="24"/>
      <c r="G1042" s="7"/>
      <c r="H1042" s="7"/>
      <c r="I1042" s="3"/>
      <c r="J1042" s="3"/>
      <c r="K1042" s="3"/>
    </row>
    <row r="1043" spans="5:11" ht="15.75" customHeight="1" x14ac:dyDescent="0.2">
      <c r="E1043" s="3"/>
      <c r="F1043" s="24"/>
      <c r="G1043" s="7"/>
      <c r="H1043" s="7"/>
      <c r="I1043" s="3"/>
      <c r="J1043" s="3"/>
      <c r="K1043" s="3"/>
    </row>
    <row r="1044" spans="5:11" ht="15.75" customHeight="1" x14ac:dyDescent="0.2">
      <c r="E1044" s="3"/>
      <c r="F1044" s="24"/>
      <c r="G1044" s="7"/>
      <c r="H1044" s="7"/>
      <c r="I1044" s="3"/>
      <c r="J1044" s="3"/>
      <c r="K1044" s="3"/>
    </row>
    <row r="1045" spans="5:11" ht="15.75" customHeight="1" x14ac:dyDescent="0.2">
      <c r="E1045" s="3"/>
      <c r="F1045" s="24"/>
      <c r="G1045" s="7"/>
      <c r="H1045" s="7"/>
      <c r="I1045" s="3"/>
      <c r="J1045" s="3"/>
      <c r="K1045" s="3"/>
    </row>
    <row r="1046" spans="5:11" ht="15.75" customHeight="1" x14ac:dyDescent="0.2">
      <c r="E1046" s="3"/>
      <c r="F1046" s="24"/>
      <c r="G1046" s="7"/>
      <c r="H1046" s="7"/>
      <c r="I1046" s="3"/>
      <c r="J1046" s="3"/>
      <c r="K1046" s="3"/>
    </row>
    <row r="1047" spans="5:11" ht="15.75" customHeight="1" x14ac:dyDescent="0.2">
      <c r="E1047" s="3"/>
      <c r="F1047" s="24"/>
      <c r="G1047" s="7"/>
      <c r="H1047" s="7"/>
      <c r="I1047" s="3"/>
      <c r="J1047" s="3"/>
      <c r="K1047" s="3"/>
    </row>
    <row r="1048" spans="5:11" ht="15.75" customHeight="1" x14ac:dyDescent="0.2">
      <c r="E1048" s="3"/>
      <c r="F1048" s="24"/>
      <c r="G1048" s="7"/>
      <c r="H1048" s="7"/>
      <c r="I1048" s="3"/>
      <c r="J1048" s="3"/>
      <c r="K1048" s="3"/>
    </row>
    <row r="1049" spans="5:11" ht="15.75" customHeight="1" x14ac:dyDescent="0.2">
      <c r="E1049" s="3"/>
      <c r="F1049" s="24"/>
      <c r="G1049" s="7"/>
      <c r="H1049" s="7"/>
      <c r="I1049" s="3"/>
      <c r="J1049" s="3"/>
      <c r="K1049" s="3"/>
    </row>
    <row r="1050" spans="5:11" ht="15.75" customHeight="1" x14ac:dyDescent="0.2">
      <c r="E1050" s="3"/>
      <c r="F1050" s="24"/>
      <c r="G1050" s="7"/>
      <c r="H1050" s="7"/>
      <c r="I1050" s="3"/>
      <c r="J1050" s="3"/>
      <c r="K1050" s="3"/>
    </row>
    <row r="1051" spans="5:11" ht="15.75" customHeight="1" x14ac:dyDescent="0.2">
      <c r="E1051" s="3"/>
      <c r="F1051" s="24"/>
      <c r="G1051" s="7"/>
      <c r="H1051" s="7"/>
      <c r="I1051" s="3"/>
      <c r="J1051" s="3"/>
      <c r="K1051" s="3"/>
    </row>
    <row r="1052" spans="5:11" ht="15.75" customHeight="1" x14ac:dyDescent="0.2">
      <c r="E1052" s="3"/>
      <c r="F1052" s="24"/>
      <c r="G1052" s="7"/>
      <c r="H1052" s="7"/>
      <c r="I1052" s="3"/>
      <c r="J1052" s="3"/>
      <c r="K1052" s="3"/>
    </row>
    <row r="1053" spans="5:11" ht="15.75" customHeight="1" x14ac:dyDescent="0.2">
      <c r="E1053" s="3"/>
      <c r="F1053" s="24"/>
      <c r="G1053" s="7"/>
      <c r="H1053" s="7"/>
      <c r="I1053" s="3"/>
      <c r="J1053" s="3"/>
      <c r="K1053" s="3"/>
    </row>
    <row r="1054" spans="5:11" ht="15.75" customHeight="1" x14ac:dyDescent="0.2">
      <c r="E1054" s="3"/>
      <c r="F1054" s="24"/>
      <c r="G1054" s="7"/>
      <c r="H1054" s="7"/>
      <c r="I1054" s="3"/>
      <c r="J1054" s="3"/>
      <c r="K1054" s="3"/>
    </row>
    <row r="1055" spans="5:11" ht="15.75" customHeight="1" x14ac:dyDescent="0.2">
      <c r="E1055" s="3"/>
      <c r="F1055" s="24"/>
      <c r="G1055" s="7"/>
      <c r="H1055" s="7"/>
      <c r="I1055" s="3"/>
      <c r="J1055" s="3"/>
      <c r="K1055" s="3"/>
    </row>
    <row r="1056" spans="5:11" ht="15.75" customHeight="1" x14ac:dyDescent="0.2">
      <c r="E1056" s="3"/>
      <c r="F1056" s="24"/>
      <c r="G1056" s="7"/>
      <c r="H1056" s="7"/>
      <c r="I1056" s="3"/>
      <c r="J1056" s="3"/>
      <c r="K1056" s="3"/>
    </row>
    <row r="1057" spans="5:11" ht="15.75" customHeight="1" x14ac:dyDescent="0.2">
      <c r="E1057" s="3"/>
      <c r="F1057" s="24"/>
      <c r="G1057" s="7"/>
      <c r="H1057" s="7"/>
      <c r="I1057" s="3"/>
      <c r="J1057" s="3"/>
      <c r="K1057" s="3"/>
    </row>
    <row r="1058" spans="5:11" ht="15.75" customHeight="1" x14ac:dyDescent="0.2">
      <c r="E1058" s="3"/>
      <c r="F1058" s="24"/>
      <c r="G1058" s="7"/>
      <c r="H1058" s="7"/>
      <c r="I1058" s="3"/>
      <c r="J1058" s="3"/>
      <c r="K1058" s="3"/>
    </row>
    <row r="1059" spans="5:11" ht="15.75" customHeight="1" x14ac:dyDescent="0.2">
      <c r="E1059" s="3"/>
      <c r="F1059" s="24"/>
      <c r="G1059" s="7"/>
      <c r="H1059" s="7"/>
      <c r="I1059" s="3"/>
      <c r="J1059" s="3"/>
      <c r="K1059" s="3"/>
    </row>
    <row r="1060" spans="5:11" ht="15.75" customHeight="1" x14ac:dyDescent="0.2">
      <c r="E1060" s="3"/>
      <c r="F1060" s="24"/>
      <c r="G1060" s="7"/>
      <c r="H1060" s="7"/>
      <c r="I1060" s="3"/>
      <c r="J1060" s="3"/>
      <c r="K1060" s="3"/>
    </row>
    <row r="1061" spans="5:11" ht="15.75" customHeight="1" x14ac:dyDescent="0.2">
      <c r="E1061" s="3"/>
      <c r="F1061" s="24"/>
      <c r="G1061" s="7"/>
      <c r="H1061" s="7"/>
      <c r="I1061" s="3"/>
      <c r="J1061" s="3"/>
      <c r="K1061" s="3"/>
    </row>
    <row r="1062" spans="5:11" ht="15.75" customHeight="1" x14ac:dyDescent="0.2">
      <c r="E1062" s="3"/>
      <c r="F1062" s="24"/>
      <c r="G1062" s="7"/>
      <c r="H1062" s="7"/>
      <c r="I1062" s="3"/>
      <c r="J1062" s="3"/>
      <c r="K1062" s="3"/>
    </row>
    <row r="1063" spans="5:11" ht="15.75" customHeight="1" x14ac:dyDescent="0.2">
      <c r="E1063" s="3"/>
      <c r="F1063" s="24"/>
      <c r="G1063" s="7"/>
      <c r="H1063" s="7"/>
      <c r="I1063" s="3"/>
      <c r="J1063" s="3"/>
      <c r="K1063" s="3"/>
    </row>
    <row r="1064" spans="5:11" ht="15.75" customHeight="1" x14ac:dyDescent="0.2">
      <c r="E1064" s="3"/>
      <c r="F1064" s="24"/>
      <c r="G1064" s="7"/>
      <c r="H1064" s="7"/>
      <c r="I1064" s="3"/>
      <c r="J1064" s="3"/>
      <c r="K1064" s="3"/>
    </row>
    <row r="1065" spans="5:11" ht="15.75" customHeight="1" x14ac:dyDescent="0.2">
      <c r="E1065" s="3"/>
      <c r="F1065" s="24"/>
      <c r="G1065" s="7"/>
      <c r="H1065" s="7"/>
      <c r="I1065" s="3"/>
      <c r="J1065" s="3"/>
      <c r="K1065" s="3"/>
    </row>
    <row r="1066" spans="5:11" ht="15.75" customHeight="1" x14ac:dyDescent="0.2">
      <c r="E1066" s="3"/>
      <c r="F1066" s="24"/>
      <c r="G1066" s="7"/>
      <c r="H1066" s="7"/>
      <c r="I1066" s="3"/>
      <c r="J1066" s="3"/>
      <c r="K1066" s="3"/>
    </row>
    <row r="1067" spans="5:11" ht="15.75" customHeight="1" x14ac:dyDescent="0.2">
      <c r="E1067" s="3"/>
      <c r="F1067" s="24"/>
      <c r="G1067" s="7"/>
      <c r="H1067" s="7"/>
      <c r="I1067" s="3"/>
      <c r="J1067" s="3"/>
      <c r="K1067" s="3"/>
    </row>
    <row r="1068" spans="5:11" ht="15.75" customHeight="1" x14ac:dyDescent="0.2">
      <c r="E1068" s="3"/>
      <c r="F1068" s="24"/>
      <c r="G1068" s="7"/>
      <c r="H1068" s="7"/>
      <c r="I1068" s="3"/>
      <c r="J1068" s="3"/>
      <c r="K1068" s="3"/>
    </row>
    <row r="1069" spans="5:11" ht="15.75" customHeight="1" x14ac:dyDescent="0.2">
      <c r="E1069" s="3"/>
      <c r="F1069" s="24"/>
      <c r="G1069" s="7"/>
      <c r="H1069" s="7"/>
      <c r="I1069" s="3"/>
      <c r="J1069" s="3"/>
      <c r="K1069" s="3"/>
    </row>
    <row r="1070" spans="5:11" ht="15.75" customHeight="1" x14ac:dyDescent="0.2">
      <c r="E1070" s="3"/>
      <c r="F1070" s="24"/>
      <c r="G1070" s="7"/>
      <c r="H1070" s="7"/>
      <c r="I1070" s="3"/>
      <c r="J1070" s="3"/>
      <c r="K1070" s="3"/>
    </row>
    <row r="1071" spans="5:11" ht="15.75" customHeight="1" x14ac:dyDescent="0.2">
      <c r="E1071" s="3"/>
      <c r="F1071" s="24"/>
      <c r="G1071" s="7"/>
      <c r="H1071" s="7"/>
      <c r="I1071" s="3"/>
      <c r="J1071" s="3"/>
      <c r="K1071" s="3"/>
    </row>
    <row r="1072" spans="5:11" ht="15.75" customHeight="1" x14ac:dyDescent="0.2">
      <c r="E1072" s="3"/>
      <c r="F1072" s="24"/>
      <c r="G1072" s="7"/>
      <c r="H1072" s="7"/>
      <c r="I1072" s="3"/>
      <c r="J1072" s="3"/>
      <c r="K1072" s="3"/>
    </row>
    <row r="1073" spans="5:11" ht="15.75" customHeight="1" x14ac:dyDescent="0.2">
      <c r="E1073" s="3"/>
      <c r="F1073" s="24"/>
      <c r="G1073" s="7"/>
      <c r="H1073" s="7"/>
      <c r="I1073" s="3"/>
      <c r="J1073" s="3"/>
      <c r="K1073" s="3"/>
    </row>
    <row r="1074" spans="5:11" ht="15.75" customHeight="1" x14ac:dyDescent="0.2">
      <c r="E1074" s="3"/>
      <c r="F1074" s="24"/>
      <c r="G1074" s="7"/>
      <c r="H1074" s="7"/>
      <c r="I1074" s="3"/>
      <c r="J1074" s="3"/>
      <c r="K1074" s="3"/>
    </row>
    <row r="1075" spans="5:11" ht="15.75" customHeight="1" x14ac:dyDescent="0.2">
      <c r="E1075" s="3"/>
      <c r="F1075" s="24"/>
      <c r="G1075" s="7"/>
      <c r="H1075" s="7"/>
      <c r="I1075" s="3"/>
      <c r="J1075" s="3"/>
      <c r="K1075" s="3"/>
    </row>
    <row r="1076" spans="5:11" ht="15.75" customHeight="1" x14ac:dyDescent="0.2">
      <c r="E1076" s="3"/>
      <c r="F1076" s="24"/>
      <c r="G1076" s="7"/>
      <c r="H1076" s="7"/>
      <c r="I1076" s="3"/>
      <c r="J1076" s="3"/>
      <c r="K1076" s="3"/>
    </row>
    <row r="1077" spans="5:11" ht="15.75" customHeight="1" x14ac:dyDescent="0.2">
      <c r="E1077" s="3"/>
      <c r="F1077" s="24"/>
      <c r="G1077" s="7"/>
      <c r="H1077" s="7"/>
      <c r="I1077" s="3"/>
      <c r="J1077" s="3"/>
      <c r="K1077" s="3"/>
    </row>
    <row r="1078" spans="5:11" ht="15.75" customHeight="1" x14ac:dyDescent="0.2">
      <c r="E1078" s="3"/>
      <c r="F1078" s="24"/>
      <c r="G1078" s="7"/>
      <c r="H1078" s="7"/>
      <c r="I1078" s="3"/>
      <c r="J1078" s="3"/>
      <c r="K1078" s="3"/>
    </row>
    <row r="1079" spans="5:11" ht="15.75" customHeight="1" x14ac:dyDescent="0.2">
      <c r="E1079" s="3"/>
      <c r="F1079" s="24"/>
      <c r="G1079" s="7"/>
      <c r="H1079" s="7"/>
      <c r="I1079" s="3"/>
      <c r="J1079" s="3"/>
      <c r="K1079" s="3"/>
    </row>
    <row r="1080" spans="5:11" ht="15.75" customHeight="1" x14ac:dyDescent="0.2">
      <c r="E1080" s="3"/>
      <c r="F1080" s="24"/>
      <c r="G1080" s="7"/>
      <c r="H1080" s="7"/>
      <c r="I1080" s="3"/>
      <c r="J1080" s="3"/>
      <c r="K1080" s="3"/>
    </row>
    <row r="1081" spans="5:11" ht="15.75" customHeight="1" x14ac:dyDescent="0.2">
      <c r="E1081" s="3"/>
      <c r="F1081" s="24"/>
      <c r="G1081" s="7"/>
      <c r="H1081" s="7"/>
      <c r="I1081" s="3"/>
      <c r="J1081" s="3"/>
      <c r="K1081" s="3"/>
    </row>
    <row r="1082" spans="5:11" ht="15.75" customHeight="1" x14ac:dyDescent="0.2">
      <c r="E1082" s="3"/>
      <c r="F1082" s="24"/>
      <c r="G1082" s="7"/>
      <c r="H1082" s="7"/>
      <c r="I1082" s="3"/>
      <c r="J1082" s="3"/>
      <c r="K1082" s="3"/>
    </row>
    <row r="1083" spans="5:11" ht="15.75" customHeight="1" x14ac:dyDescent="0.2">
      <c r="E1083" s="3"/>
      <c r="F1083" s="24"/>
      <c r="G1083" s="7"/>
      <c r="H1083" s="7"/>
      <c r="I1083" s="3"/>
      <c r="J1083" s="3"/>
      <c r="K1083" s="3"/>
    </row>
    <row r="1084" spans="5:11" ht="15.75" customHeight="1" x14ac:dyDescent="0.2">
      <c r="E1084" s="3"/>
      <c r="F1084" s="24"/>
      <c r="G1084" s="7"/>
      <c r="H1084" s="7"/>
      <c r="I1084" s="3"/>
      <c r="J1084" s="3"/>
      <c r="K1084" s="3"/>
    </row>
    <row r="1085" spans="5:11" ht="15.75" customHeight="1" x14ac:dyDescent="0.2">
      <c r="E1085" s="3"/>
      <c r="F1085" s="24"/>
      <c r="G1085" s="7"/>
      <c r="H1085" s="7"/>
      <c r="I1085" s="3"/>
      <c r="J1085" s="3"/>
      <c r="K1085" s="3"/>
    </row>
    <row r="1086" spans="5:11" ht="15.75" customHeight="1" x14ac:dyDescent="0.2">
      <c r="E1086" s="3"/>
      <c r="F1086" s="24"/>
      <c r="G1086" s="7"/>
      <c r="H1086" s="7"/>
      <c r="I1086" s="3"/>
      <c r="J1086" s="3"/>
      <c r="K1086" s="3"/>
    </row>
    <row r="1087" spans="5:11" ht="15.75" customHeight="1" x14ac:dyDescent="0.2">
      <c r="E1087" s="3"/>
      <c r="F1087" s="24"/>
      <c r="G1087" s="7"/>
      <c r="H1087" s="7"/>
      <c r="I1087" s="3"/>
      <c r="J1087" s="3"/>
      <c r="K1087" s="3"/>
    </row>
    <row r="1088" spans="5:11" ht="15.75" customHeight="1" x14ac:dyDescent="0.2">
      <c r="E1088" s="3"/>
      <c r="F1088" s="24"/>
      <c r="G1088" s="7"/>
      <c r="H1088" s="7"/>
      <c r="I1088" s="3"/>
      <c r="J1088" s="3"/>
      <c r="K1088" s="3"/>
    </row>
    <row r="1089" spans="5:11" ht="15.75" customHeight="1" x14ac:dyDescent="0.2">
      <c r="E1089" s="3"/>
      <c r="F1089" s="24"/>
      <c r="G1089" s="7"/>
      <c r="H1089" s="7"/>
      <c r="I1089" s="3"/>
      <c r="J1089" s="3"/>
      <c r="K1089" s="3"/>
    </row>
    <row r="1090" spans="5:11" ht="15.75" customHeight="1" x14ac:dyDescent="0.2">
      <c r="E1090" s="3"/>
      <c r="F1090" s="24"/>
      <c r="G1090" s="7"/>
      <c r="H1090" s="7"/>
      <c r="I1090" s="3"/>
      <c r="J1090" s="3"/>
      <c r="K1090" s="3"/>
    </row>
    <row r="1091" spans="5:11" ht="15.75" customHeight="1" x14ac:dyDescent="0.2">
      <c r="E1091" s="3"/>
      <c r="F1091" s="24"/>
      <c r="G1091" s="7"/>
      <c r="H1091" s="7"/>
      <c r="I1091" s="3"/>
      <c r="J1091" s="3"/>
      <c r="K1091" s="3"/>
    </row>
    <row r="1092" spans="5:11" ht="15.75" customHeight="1" x14ac:dyDescent="0.2">
      <c r="E1092" s="3"/>
      <c r="F1092" s="24"/>
      <c r="G1092" s="7"/>
      <c r="H1092" s="7"/>
      <c r="I1092" s="3"/>
      <c r="J1092" s="3"/>
      <c r="K1092" s="3"/>
    </row>
    <row r="1093" spans="5:11" ht="15.75" customHeight="1" x14ac:dyDescent="0.2">
      <c r="E1093" s="3"/>
      <c r="F1093" s="24"/>
      <c r="G1093" s="7"/>
      <c r="H1093" s="7"/>
      <c r="I1093" s="3"/>
      <c r="J1093" s="3"/>
      <c r="K1093" s="3"/>
    </row>
    <row r="1094" spans="5:11" ht="15.75" customHeight="1" x14ac:dyDescent="0.2">
      <c r="E1094" s="3"/>
      <c r="F1094" s="24"/>
      <c r="G1094" s="7"/>
      <c r="H1094" s="7"/>
      <c r="I1094" s="3"/>
      <c r="J1094" s="3"/>
      <c r="K1094" s="3"/>
    </row>
    <row r="1095" spans="5:11" ht="15.75" customHeight="1" x14ac:dyDescent="0.2">
      <c r="E1095" s="3"/>
      <c r="F1095" s="24"/>
      <c r="G1095" s="7"/>
      <c r="H1095" s="7"/>
      <c r="I1095" s="3"/>
      <c r="J1095" s="3"/>
      <c r="K1095" s="3"/>
    </row>
    <row r="1096" spans="5:11" ht="15.75" customHeight="1" x14ac:dyDescent="0.2">
      <c r="E1096" s="3"/>
      <c r="F1096" s="24"/>
      <c r="G1096" s="7"/>
      <c r="H1096" s="7"/>
      <c r="I1096" s="3"/>
      <c r="J1096" s="3"/>
      <c r="K1096" s="3"/>
    </row>
    <row r="1097" spans="5:11" ht="15.75" customHeight="1" x14ac:dyDescent="0.2">
      <c r="E1097" s="3"/>
      <c r="F1097" s="24"/>
      <c r="G1097" s="7"/>
      <c r="H1097" s="7"/>
      <c r="I1097" s="3"/>
      <c r="J1097" s="3"/>
      <c r="K1097" s="3"/>
    </row>
    <row r="1098" spans="5:11" ht="15.75" customHeight="1" x14ac:dyDescent="0.2">
      <c r="E1098" s="3"/>
      <c r="F1098" s="24"/>
      <c r="G1098" s="7"/>
      <c r="H1098" s="7"/>
      <c r="I1098" s="3"/>
      <c r="J1098" s="3"/>
      <c r="K1098" s="3"/>
    </row>
    <row r="1099" spans="5:11" ht="15.75" customHeight="1" x14ac:dyDescent="0.2">
      <c r="E1099" s="3"/>
      <c r="F1099" s="24"/>
      <c r="G1099" s="7"/>
      <c r="H1099" s="7"/>
      <c r="I1099" s="3"/>
      <c r="J1099" s="3"/>
      <c r="K1099" s="3"/>
    </row>
    <row r="1100" spans="5:11" ht="15.75" customHeight="1" x14ac:dyDescent="0.2">
      <c r="E1100" s="3"/>
      <c r="F1100" s="24"/>
      <c r="G1100" s="7"/>
      <c r="H1100" s="7"/>
      <c r="I1100" s="3"/>
      <c r="J1100" s="3"/>
      <c r="K1100" s="3"/>
    </row>
    <row r="1101" spans="5:11" ht="15.75" customHeight="1" x14ac:dyDescent="0.2">
      <c r="E1101" s="3"/>
      <c r="F1101" s="24"/>
      <c r="G1101" s="7"/>
      <c r="H1101" s="7"/>
      <c r="I1101" s="3"/>
      <c r="J1101" s="3"/>
      <c r="K1101" s="3"/>
    </row>
    <row r="1102" spans="5:11" ht="15.75" customHeight="1" x14ac:dyDescent="0.2">
      <c r="E1102" s="3"/>
      <c r="F1102" s="24"/>
      <c r="G1102" s="7"/>
      <c r="H1102" s="7"/>
      <c r="I1102" s="3"/>
      <c r="J1102" s="3"/>
      <c r="K1102" s="3"/>
    </row>
    <row r="1103" spans="5:11" ht="15.75" customHeight="1" x14ac:dyDescent="0.2">
      <c r="E1103" s="3"/>
      <c r="F1103" s="24"/>
      <c r="G1103" s="7"/>
      <c r="H1103" s="7"/>
      <c r="I1103" s="3"/>
      <c r="J1103" s="3"/>
      <c r="K1103" s="3"/>
    </row>
    <row r="1104" spans="5:11" ht="15.75" customHeight="1" x14ac:dyDescent="0.2">
      <c r="E1104" s="3"/>
      <c r="F1104" s="24"/>
      <c r="G1104" s="7"/>
      <c r="H1104" s="7"/>
      <c r="I1104" s="3"/>
      <c r="J1104" s="3"/>
      <c r="K1104" s="3"/>
    </row>
    <row r="1105" spans="5:11" ht="15.75" customHeight="1" x14ac:dyDescent="0.2">
      <c r="E1105" s="3"/>
      <c r="F1105" s="24"/>
      <c r="G1105" s="7"/>
      <c r="H1105" s="7"/>
      <c r="I1105" s="3"/>
      <c r="J1105" s="3"/>
      <c r="K1105" s="3"/>
    </row>
    <row r="1106" spans="5:11" ht="15.75" customHeight="1" x14ac:dyDescent="0.2">
      <c r="E1106" s="3"/>
      <c r="F1106" s="24"/>
      <c r="G1106" s="7"/>
      <c r="H1106" s="7"/>
      <c r="I1106" s="3"/>
      <c r="J1106" s="3"/>
      <c r="K1106" s="3"/>
    </row>
    <row r="1107" spans="5:11" ht="15.75" customHeight="1" x14ac:dyDescent="0.2">
      <c r="E1107" s="3"/>
      <c r="F1107" s="24"/>
      <c r="G1107" s="7"/>
      <c r="H1107" s="7"/>
      <c r="I1107" s="3"/>
      <c r="J1107" s="3"/>
      <c r="K1107" s="3"/>
    </row>
    <row r="1108" spans="5:11" ht="15.75" customHeight="1" x14ac:dyDescent="0.2">
      <c r="E1108" s="3"/>
      <c r="F1108" s="24"/>
      <c r="G1108" s="7"/>
      <c r="H1108" s="7"/>
      <c r="I1108" s="3"/>
      <c r="J1108" s="3"/>
      <c r="K1108" s="3"/>
    </row>
    <row r="1109" spans="5:11" ht="15.75" customHeight="1" x14ac:dyDescent="0.2">
      <c r="E1109" s="3"/>
      <c r="F1109" s="24"/>
      <c r="G1109" s="7"/>
      <c r="H1109" s="7"/>
      <c r="I1109" s="3"/>
      <c r="J1109" s="3"/>
      <c r="K1109" s="3"/>
    </row>
    <row r="1110" spans="5:11" ht="15.75" customHeight="1" x14ac:dyDescent="0.2">
      <c r="E1110" s="3"/>
      <c r="F1110" s="24"/>
      <c r="G1110" s="7"/>
      <c r="H1110" s="7"/>
      <c r="I1110" s="3"/>
      <c r="J1110" s="3"/>
      <c r="K1110" s="3"/>
    </row>
    <row r="1111" spans="5:11" ht="15.75" customHeight="1" x14ac:dyDescent="0.2">
      <c r="E1111" s="3"/>
      <c r="F1111" s="24"/>
      <c r="G1111" s="7"/>
      <c r="H1111" s="7"/>
      <c r="I1111" s="3"/>
      <c r="J1111" s="3"/>
      <c r="K1111" s="3"/>
    </row>
    <row r="1112" spans="5:11" ht="15.75" customHeight="1" x14ac:dyDescent="0.2">
      <c r="E1112" s="3"/>
      <c r="F1112" s="24"/>
      <c r="G1112" s="7"/>
      <c r="H1112" s="7"/>
      <c r="I1112" s="3"/>
      <c r="J1112" s="3"/>
      <c r="K1112" s="3"/>
    </row>
    <row r="1113" spans="5:11" ht="15.75" customHeight="1" x14ac:dyDescent="0.2">
      <c r="E1113" s="3"/>
      <c r="F1113" s="24"/>
      <c r="G1113" s="7"/>
      <c r="H1113" s="7"/>
      <c r="I1113" s="3"/>
      <c r="J1113" s="3"/>
      <c r="K1113" s="3"/>
    </row>
    <row r="1114" spans="5:11" ht="15.75" customHeight="1" x14ac:dyDescent="0.2">
      <c r="E1114" s="3"/>
      <c r="F1114" s="24"/>
      <c r="G1114" s="7"/>
      <c r="H1114" s="7"/>
      <c r="I1114" s="3"/>
      <c r="J1114" s="3"/>
      <c r="K1114" s="3"/>
    </row>
    <row r="1115" spans="5:11" ht="15.75" customHeight="1" x14ac:dyDescent="0.2">
      <c r="E1115" s="3"/>
      <c r="F1115" s="24"/>
      <c r="G1115" s="7"/>
      <c r="H1115" s="7"/>
      <c r="I1115" s="3"/>
      <c r="J1115" s="3"/>
      <c r="K1115" s="3"/>
    </row>
    <row r="1116" spans="5:11" ht="15.75" customHeight="1" x14ac:dyDescent="0.2">
      <c r="E1116" s="3"/>
      <c r="F1116" s="24"/>
      <c r="G1116" s="7"/>
      <c r="H1116" s="7"/>
      <c r="I1116" s="3"/>
      <c r="J1116" s="3"/>
      <c r="K1116" s="3"/>
    </row>
    <row r="1117" spans="5:11" ht="15.75" customHeight="1" x14ac:dyDescent="0.2">
      <c r="E1117" s="3"/>
      <c r="F1117" s="24"/>
      <c r="G1117" s="7"/>
      <c r="H1117" s="7"/>
      <c r="I1117" s="3"/>
      <c r="J1117" s="3"/>
      <c r="K1117" s="3"/>
    </row>
    <row r="1118" spans="5:11" ht="15.75" customHeight="1" x14ac:dyDescent="0.2">
      <c r="E1118" s="3"/>
      <c r="F1118" s="24"/>
      <c r="G1118" s="7"/>
      <c r="H1118" s="7"/>
      <c r="I1118" s="3"/>
      <c r="J1118" s="3"/>
      <c r="K1118" s="3"/>
    </row>
    <row r="1119" spans="5:11" ht="15.75" customHeight="1" x14ac:dyDescent="0.2">
      <c r="E1119" s="3"/>
      <c r="F1119" s="24"/>
      <c r="G1119" s="7"/>
      <c r="H1119" s="7"/>
      <c r="I1119" s="3"/>
      <c r="J1119" s="3"/>
      <c r="K1119" s="3"/>
    </row>
    <row r="1120" spans="5:11" ht="15.75" customHeight="1" x14ac:dyDescent="0.2">
      <c r="E1120" s="3"/>
      <c r="F1120" s="24"/>
      <c r="G1120" s="7"/>
      <c r="H1120" s="7"/>
      <c r="I1120" s="3"/>
      <c r="J1120" s="3"/>
      <c r="K1120" s="3"/>
    </row>
    <row r="1121" spans="5:11" ht="15.75" customHeight="1" x14ac:dyDescent="0.2">
      <c r="E1121" s="3"/>
      <c r="F1121" s="24"/>
      <c r="G1121" s="7"/>
      <c r="H1121" s="7"/>
      <c r="I1121" s="3"/>
      <c r="J1121" s="3"/>
      <c r="K1121" s="3"/>
    </row>
    <row r="1122" spans="5:11" ht="15.75" customHeight="1" x14ac:dyDescent="0.2">
      <c r="E1122" s="3"/>
      <c r="F1122" s="24"/>
      <c r="G1122" s="7"/>
      <c r="H1122" s="7"/>
      <c r="I1122" s="3"/>
      <c r="J1122" s="3"/>
      <c r="K1122" s="3"/>
    </row>
    <row r="1123" spans="5:11" ht="15.75" customHeight="1" x14ac:dyDescent="0.2">
      <c r="E1123" s="3"/>
      <c r="F1123" s="24"/>
      <c r="G1123" s="7"/>
      <c r="H1123" s="7"/>
      <c r="I1123" s="3"/>
      <c r="J1123" s="3"/>
      <c r="K1123" s="3"/>
    </row>
    <row r="1124" spans="5:11" ht="15.75" customHeight="1" x14ac:dyDescent="0.2">
      <c r="E1124" s="3"/>
      <c r="F1124" s="24"/>
      <c r="G1124" s="7"/>
      <c r="H1124" s="7"/>
      <c r="I1124" s="3"/>
      <c r="J1124" s="3"/>
      <c r="K1124" s="3"/>
    </row>
    <row r="1125" spans="5:11" ht="15.75" customHeight="1" x14ac:dyDescent="0.2">
      <c r="E1125" s="3"/>
      <c r="F1125" s="24"/>
      <c r="G1125" s="7"/>
      <c r="H1125" s="7"/>
      <c r="I1125" s="3"/>
      <c r="J1125" s="3"/>
      <c r="K1125" s="3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66"/>
  <sheetViews>
    <sheetView workbookViewId="0">
      <pane ySplit="1" topLeftCell="A188" activePane="bottomLeft" state="frozen"/>
      <selection pane="bottomLeft" activeCell="C202" sqref="C202"/>
    </sheetView>
  </sheetViews>
  <sheetFormatPr baseColWidth="10" defaultColWidth="11.1640625" defaultRowHeight="15" customHeight="1" x14ac:dyDescent="0.2"/>
  <cols>
    <col min="1" max="26" width="10.5" customWidth="1"/>
  </cols>
  <sheetData>
    <row r="1" spans="1:26" ht="33.75" customHeight="1" x14ac:dyDescent="0.2">
      <c r="A1" s="3"/>
      <c r="B1" s="3" t="s">
        <v>49</v>
      </c>
      <c r="C1" s="3" t="s">
        <v>50</v>
      </c>
      <c r="D1" s="3" t="s">
        <v>51</v>
      </c>
      <c r="E1" s="3" t="s">
        <v>52</v>
      </c>
      <c r="F1" s="2" t="s">
        <v>53</v>
      </c>
      <c r="G1" s="3" t="s">
        <v>54</v>
      </c>
      <c r="H1" s="2" t="s">
        <v>55</v>
      </c>
      <c r="I1" s="2" t="s">
        <v>56</v>
      </c>
      <c r="J1" s="2" t="s">
        <v>57</v>
      </c>
      <c r="K1" s="2" t="s">
        <v>58</v>
      </c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/>
      <c r="B2" s="4" t="s">
        <v>21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6" ht="15.75" customHeight="1" x14ac:dyDescent="0.2">
      <c r="A3" s="4"/>
      <c r="B3" s="4" t="s">
        <v>59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26" ht="15.75" customHeight="1" x14ac:dyDescent="0.2">
      <c r="A4" s="4" t="s">
        <v>60</v>
      </c>
      <c r="B4" s="4" t="s">
        <v>76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26" ht="15.75" customHeight="1" x14ac:dyDescent="0.2">
      <c r="A5" s="4"/>
      <c r="B5" s="5" t="s">
        <v>62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26" ht="15.7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26" ht="15.75" customHeight="1" x14ac:dyDescent="0.2">
      <c r="A7" s="4"/>
      <c r="B7" s="4"/>
      <c r="C7" s="6">
        <v>45097</v>
      </c>
      <c r="D7" s="8">
        <v>0.51388888888888895</v>
      </c>
      <c r="E7" s="4"/>
      <c r="F7" s="4"/>
      <c r="G7" s="4"/>
      <c r="H7" s="4"/>
      <c r="I7" s="4"/>
      <c r="J7" s="4">
        <v>8.6999999999999993</v>
      </c>
      <c r="K7" s="4">
        <v>8.6999999999999993</v>
      </c>
      <c r="L7" s="4"/>
      <c r="M7" s="4"/>
    </row>
    <row r="8" spans="1:26" ht="15.75" customHeight="1" x14ac:dyDescent="0.2">
      <c r="A8" s="4"/>
      <c r="B8" s="4"/>
      <c r="C8" s="6">
        <v>45097</v>
      </c>
      <c r="D8" s="8">
        <v>0.52083333333333337</v>
      </c>
      <c r="E8" s="1">
        <v>0.1</v>
      </c>
      <c r="F8" s="4">
        <v>10.62</v>
      </c>
      <c r="G8" s="4">
        <v>106.2</v>
      </c>
      <c r="H8" s="4">
        <v>15.4</v>
      </c>
      <c r="I8" s="4"/>
      <c r="J8" s="4"/>
      <c r="K8" s="4"/>
      <c r="L8" s="4"/>
      <c r="M8" s="4"/>
    </row>
    <row r="9" spans="1:26" ht="15.75" customHeight="1" x14ac:dyDescent="0.2">
      <c r="A9" s="4"/>
      <c r="B9" s="4"/>
      <c r="C9" s="6">
        <v>45097</v>
      </c>
      <c r="D9" s="8">
        <v>0.52083333333333337</v>
      </c>
      <c r="E9" s="1">
        <v>1</v>
      </c>
      <c r="F9" s="4">
        <v>10.65</v>
      </c>
      <c r="G9" s="4">
        <v>106.3</v>
      </c>
      <c r="H9" s="4">
        <v>15.3</v>
      </c>
      <c r="I9" s="4"/>
      <c r="J9" s="4"/>
      <c r="K9" s="4"/>
      <c r="L9" s="4"/>
      <c r="M9" s="4"/>
    </row>
    <row r="10" spans="1:26" ht="15.75" customHeight="1" x14ac:dyDescent="0.2">
      <c r="A10" s="4"/>
      <c r="B10" s="4"/>
      <c r="C10" s="6">
        <v>45097</v>
      </c>
      <c r="D10" s="8">
        <v>0.52083333333333337</v>
      </c>
      <c r="E10" s="1">
        <v>2</v>
      </c>
      <c r="F10" s="4">
        <v>10.66</v>
      </c>
      <c r="G10" s="4">
        <v>106.2</v>
      </c>
      <c r="H10" s="4">
        <v>15.2</v>
      </c>
      <c r="I10" s="4"/>
      <c r="J10" s="4"/>
      <c r="K10" s="4"/>
      <c r="L10" s="4"/>
      <c r="M10" s="4"/>
    </row>
    <row r="11" spans="1:26" ht="15.75" customHeight="1" x14ac:dyDescent="0.2">
      <c r="A11" s="4"/>
      <c r="B11" s="4"/>
      <c r="C11" s="6">
        <v>45097</v>
      </c>
      <c r="D11" s="8">
        <v>0.52083333333333337</v>
      </c>
      <c r="E11" s="1">
        <v>3</v>
      </c>
      <c r="F11" s="4">
        <v>10.66</v>
      </c>
      <c r="G11" s="4">
        <v>106.2</v>
      </c>
      <c r="H11" s="4">
        <v>15.2</v>
      </c>
      <c r="I11" s="4"/>
      <c r="J11" s="4"/>
      <c r="K11" s="4"/>
      <c r="L11" s="4"/>
      <c r="M11" s="4"/>
    </row>
    <row r="12" spans="1:26" ht="15.75" customHeight="1" x14ac:dyDescent="0.2">
      <c r="A12" s="4"/>
      <c r="B12" s="4"/>
      <c r="C12" s="6">
        <v>45097</v>
      </c>
      <c r="D12" s="8">
        <v>0.52083333333333337</v>
      </c>
      <c r="E12" s="1">
        <v>4</v>
      </c>
      <c r="F12" s="4">
        <v>10.67</v>
      </c>
      <c r="G12" s="4">
        <v>106.1</v>
      </c>
      <c r="H12" s="4">
        <v>15.1</v>
      </c>
      <c r="I12" s="4"/>
      <c r="J12" s="4"/>
      <c r="K12" s="4"/>
      <c r="L12" s="4"/>
      <c r="M12" s="4"/>
    </row>
    <row r="13" spans="1:26" ht="15.75" customHeight="1" x14ac:dyDescent="0.2">
      <c r="A13" s="4"/>
      <c r="B13" s="4"/>
      <c r="C13" s="6">
        <v>45097</v>
      </c>
      <c r="D13" s="8">
        <v>0.52083333333333337</v>
      </c>
      <c r="E13" s="1">
        <v>5</v>
      </c>
      <c r="F13" s="4">
        <v>11.12</v>
      </c>
      <c r="G13" s="4">
        <v>107</v>
      </c>
      <c r="H13" s="4">
        <v>13.9</v>
      </c>
      <c r="I13" s="4"/>
      <c r="J13" s="4"/>
      <c r="K13" s="4"/>
      <c r="L13" s="4"/>
      <c r="M13" s="4"/>
    </row>
    <row r="14" spans="1:26" ht="15.75" customHeight="1" x14ac:dyDescent="0.2">
      <c r="A14" s="4"/>
      <c r="B14" s="4"/>
      <c r="C14" s="6">
        <v>45097</v>
      </c>
      <c r="D14" s="8">
        <v>0.52083333333333337</v>
      </c>
      <c r="E14" s="1">
        <v>6</v>
      </c>
      <c r="F14" s="4">
        <v>11.59</v>
      </c>
      <c r="G14" s="4">
        <v>108.9</v>
      </c>
      <c r="H14" s="4">
        <v>12.8</v>
      </c>
      <c r="I14" s="4"/>
      <c r="J14" s="4"/>
      <c r="K14" s="4"/>
      <c r="L14" s="4"/>
      <c r="M14" s="4"/>
    </row>
    <row r="15" spans="1:26" ht="15.75" customHeight="1" x14ac:dyDescent="0.2">
      <c r="A15" s="4"/>
      <c r="B15" s="4"/>
      <c r="C15" s="6">
        <v>45097</v>
      </c>
      <c r="D15" s="8">
        <v>0.52083333333333337</v>
      </c>
      <c r="E15" s="1">
        <v>7</v>
      </c>
      <c r="F15" s="4">
        <v>12.38</v>
      </c>
      <c r="G15" s="4">
        <v>110.1</v>
      </c>
      <c r="H15" s="4">
        <v>10.5</v>
      </c>
      <c r="I15" s="4"/>
      <c r="J15" s="4"/>
      <c r="K15" s="4"/>
      <c r="L15" s="4"/>
      <c r="M15" s="4"/>
    </row>
    <row r="16" spans="1:26" ht="15.75" customHeight="1" x14ac:dyDescent="0.2">
      <c r="A16" s="4"/>
      <c r="B16" s="4"/>
      <c r="C16" s="6">
        <v>45097</v>
      </c>
      <c r="D16" s="8">
        <v>0.52083333333333337</v>
      </c>
      <c r="E16" s="1">
        <v>8</v>
      </c>
      <c r="F16" s="4">
        <v>12.27</v>
      </c>
      <c r="G16" s="4">
        <v>109.3</v>
      </c>
      <c r="H16" s="4">
        <v>10.199999999999999</v>
      </c>
      <c r="I16" s="4"/>
      <c r="J16" s="4"/>
      <c r="K16" s="4"/>
      <c r="L16" s="4"/>
      <c r="M16" s="4"/>
    </row>
    <row r="17" spans="1:13" ht="15.75" customHeight="1" x14ac:dyDescent="0.2">
      <c r="A17" s="4"/>
      <c r="B17" s="4"/>
      <c r="C17" s="6"/>
      <c r="D17" s="8"/>
      <c r="E17" s="1"/>
      <c r="F17" s="4"/>
      <c r="G17" s="4"/>
      <c r="H17" s="4"/>
      <c r="I17" s="4"/>
      <c r="J17" s="4"/>
      <c r="K17" s="4"/>
      <c r="L17" s="4"/>
      <c r="M17" s="4"/>
    </row>
    <row r="18" spans="1:13" ht="15.75" customHeight="1" x14ac:dyDescent="0.2">
      <c r="A18" s="4"/>
      <c r="B18" s="4"/>
      <c r="C18" s="6">
        <v>45134</v>
      </c>
      <c r="D18" s="8">
        <v>0.45347222222222222</v>
      </c>
      <c r="E18" s="1"/>
      <c r="F18" s="4"/>
      <c r="G18" s="4"/>
      <c r="H18" s="4"/>
      <c r="I18" s="4"/>
      <c r="J18" s="4">
        <v>8</v>
      </c>
      <c r="K18" s="4">
        <v>8</v>
      </c>
      <c r="L18" s="4"/>
      <c r="M18" s="4"/>
    </row>
    <row r="19" spans="1:13" ht="15.75" customHeight="1" x14ac:dyDescent="0.2">
      <c r="A19" s="4"/>
      <c r="B19" s="4"/>
      <c r="C19" s="6">
        <v>45134</v>
      </c>
      <c r="D19" s="8">
        <v>0.45347222222222222</v>
      </c>
      <c r="E19">
        <v>0.1</v>
      </c>
      <c r="F19" s="4">
        <v>9.08</v>
      </c>
      <c r="G19" s="4">
        <v>103.5</v>
      </c>
      <c r="H19" s="4">
        <v>22</v>
      </c>
      <c r="I19" s="4"/>
      <c r="J19" s="4"/>
      <c r="K19" s="4"/>
      <c r="L19" s="4"/>
      <c r="M19" s="4"/>
    </row>
    <row r="20" spans="1:13" ht="15.75" customHeight="1" x14ac:dyDescent="0.2">
      <c r="A20" s="4"/>
      <c r="B20" s="4"/>
      <c r="C20" s="6">
        <v>45134</v>
      </c>
      <c r="D20" s="8">
        <v>0.45347222222222222</v>
      </c>
      <c r="E20">
        <v>1</v>
      </c>
      <c r="F20" s="4">
        <v>9.1999999999999993</v>
      </c>
      <c r="G20" s="4">
        <v>104.2</v>
      </c>
      <c r="H20" s="4">
        <v>21.6</v>
      </c>
      <c r="I20" s="4"/>
      <c r="J20" s="4"/>
      <c r="K20" s="4"/>
      <c r="L20" s="4"/>
      <c r="M20" s="4"/>
    </row>
    <row r="21" spans="1:13" ht="15.75" customHeight="1" x14ac:dyDescent="0.2">
      <c r="A21" s="4"/>
      <c r="B21" s="4"/>
      <c r="C21" s="6">
        <v>45134</v>
      </c>
      <c r="D21" s="8">
        <v>0.45347222222222222</v>
      </c>
      <c r="E21">
        <v>2</v>
      </c>
      <c r="F21" s="4">
        <v>9.23</v>
      </c>
      <c r="G21" s="4">
        <v>104.1</v>
      </c>
      <c r="H21" s="4">
        <v>21.4</v>
      </c>
      <c r="I21" s="4"/>
      <c r="J21" s="4"/>
      <c r="K21" s="4"/>
      <c r="L21" s="4"/>
      <c r="M21" s="4"/>
    </row>
    <row r="22" spans="1:13" ht="15.75" customHeight="1" x14ac:dyDescent="0.2">
      <c r="A22" s="4"/>
      <c r="B22" s="4"/>
      <c r="C22" s="6">
        <v>45134</v>
      </c>
      <c r="D22" s="8">
        <v>0.45347222222222222</v>
      </c>
      <c r="E22">
        <v>3</v>
      </c>
      <c r="F22" s="4">
        <v>9.3000000000000007</v>
      </c>
      <c r="G22" s="4">
        <v>104.5</v>
      </c>
      <c r="H22" s="4">
        <v>21.2</v>
      </c>
      <c r="I22" s="4"/>
      <c r="J22" s="4"/>
      <c r="K22" s="4"/>
      <c r="L22" s="4"/>
      <c r="M22" s="4"/>
    </row>
    <row r="23" spans="1:13" ht="15.75" customHeight="1" x14ac:dyDescent="0.2">
      <c r="A23" s="4"/>
      <c r="B23" s="4"/>
      <c r="C23" s="6">
        <v>45134</v>
      </c>
      <c r="D23" s="8">
        <v>0.45347222222222222</v>
      </c>
      <c r="E23">
        <v>4</v>
      </c>
      <c r="F23" s="4">
        <v>9.23</v>
      </c>
      <c r="G23" s="4">
        <v>103.7</v>
      </c>
      <c r="H23" s="4">
        <v>21</v>
      </c>
      <c r="I23" s="4"/>
      <c r="J23" s="4"/>
      <c r="K23" s="4"/>
      <c r="L23" s="4"/>
      <c r="M23" s="4"/>
    </row>
    <row r="24" spans="1:13" ht="15.75" customHeight="1" x14ac:dyDescent="0.2">
      <c r="A24" s="4"/>
      <c r="B24" s="4"/>
      <c r="C24" s="6">
        <v>45134</v>
      </c>
      <c r="D24" s="8">
        <v>0.45347222222222222</v>
      </c>
      <c r="E24">
        <v>5</v>
      </c>
      <c r="F24" s="4">
        <v>9.25</v>
      </c>
      <c r="G24" s="4">
        <v>103.7</v>
      </c>
      <c r="H24" s="4">
        <v>21</v>
      </c>
      <c r="I24" s="4"/>
      <c r="J24" s="4"/>
      <c r="K24" s="4"/>
      <c r="L24" s="4"/>
      <c r="M24" s="4"/>
    </row>
    <row r="25" spans="1:13" ht="15.75" customHeight="1" x14ac:dyDescent="0.2">
      <c r="A25" s="4"/>
      <c r="B25" s="4"/>
      <c r="C25" s="6">
        <v>45134</v>
      </c>
      <c r="D25" s="8">
        <v>0.45347222222222222</v>
      </c>
      <c r="E25">
        <v>6</v>
      </c>
      <c r="F25" s="4">
        <v>9.2799999999999994</v>
      </c>
      <c r="G25" s="4">
        <v>103.9</v>
      </c>
      <c r="H25" s="4">
        <v>20.9</v>
      </c>
      <c r="I25" s="4"/>
      <c r="J25" s="4"/>
      <c r="K25" s="4"/>
      <c r="L25" s="4"/>
      <c r="M25" s="4"/>
    </row>
    <row r="26" spans="1:13" ht="15.75" customHeight="1" x14ac:dyDescent="0.2">
      <c r="A26" s="4"/>
      <c r="B26" s="4"/>
      <c r="C26" s="6">
        <v>45134</v>
      </c>
      <c r="D26" s="8">
        <v>0.45347222222222222</v>
      </c>
      <c r="E26">
        <v>7</v>
      </c>
      <c r="F26" s="4">
        <v>9.52</v>
      </c>
      <c r="G26" s="4">
        <v>105.4</v>
      </c>
      <c r="H26" s="4">
        <v>20.7</v>
      </c>
      <c r="I26" s="4"/>
      <c r="J26" s="4"/>
      <c r="K26" s="4"/>
      <c r="L26" s="4"/>
      <c r="M26" s="4"/>
    </row>
    <row r="27" spans="1:13" ht="15.75" customHeight="1" x14ac:dyDescent="0.2">
      <c r="A27" s="4"/>
      <c r="B27" s="4"/>
      <c r="C27" s="6"/>
      <c r="D27" s="8"/>
      <c r="E27" s="1"/>
      <c r="F27" s="4"/>
      <c r="G27" s="4"/>
      <c r="H27" s="4"/>
      <c r="I27" s="4"/>
      <c r="J27" s="4"/>
      <c r="K27" s="4"/>
      <c r="L27" s="4"/>
      <c r="M27" s="4"/>
    </row>
    <row r="28" spans="1:13" ht="15.75" customHeight="1" x14ac:dyDescent="0.2">
      <c r="A28" s="4"/>
      <c r="B28" s="4"/>
      <c r="C28" s="6">
        <v>45161</v>
      </c>
      <c r="D28" s="8">
        <v>0.44791666666666669</v>
      </c>
      <c r="E28" s="1"/>
      <c r="F28" s="4"/>
      <c r="G28" s="4"/>
      <c r="H28" s="4"/>
      <c r="I28" s="4"/>
      <c r="J28" s="4">
        <v>8</v>
      </c>
      <c r="K28" s="4">
        <v>8.5</v>
      </c>
      <c r="L28" s="4"/>
      <c r="M28" s="4"/>
    </row>
    <row r="29" spans="1:13" ht="15.75" customHeight="1" x14ac:dyDescent="0.2">
      <c r="A29" s="4"/>
      <c r="B29" s="4"/>
      <c r="C29" s="6">
        <v>45161</v>
      </c>
      <c r="D29" s="8">
        <v>0.44791666666666669</v>
      </c>
      <c r="E29">
        <v>0.1</v>
      </c>
      <c r="F29" s="4">
        <v>9.17</v>
      </c>
      <c r="G29" s="4">
        <v>103</v>
      </c>
      <c r="H29" s="4">
        <v>21.1</v>
      </c>
      <c r="I29" s="4"/>
      <c r="J29" s="4"/>
      <c r="K29" s="4"/>
      <c r="L29" s="4"/>
      <c r="M29" s="4"/>
    </row>
    <row r="30" spans="1:13" ht="15.75" customHeight="1" x14ac:dyDescent="0.2">
      <c r="A30" s="4"/>
      <c r="B30" s="4"/>
      <c r="C30" s="6">
        <v>45161</v>
      </c>
      <c r="D30" s="8">
        <v>0.44791666666666669</v>
      </c>
      <c r="E30">
        <v>1</v>
      </c>
      <c r="F30" s="4">
        <v>9.14</v>
      </c>
      <c r="G30" s="4">
        <v>102.8</v>
      </c>
      <c r="H30" s="4">
        <v>21.1</v>
      </c>
      <c r="I30" s="4"/>
      <c r="J30" s="4"/>
      <c r="K30" s="4"/>
      <c r="L30" s="4"/>
      <c r="M30" s="4"/>
    </row>
    <row r="31" spans="1:13" ht="15.75" customHeight="1" x14ac:dyDescent="0.2">
      <c r="A31" s="4"/>
      <c r="B31" s="4"/>
      <c r="C31" s="6">
        <v>45161</v>
      </c>
      <c r="D31" s="8">
        <v>0.44791666666666669</v>
      </c>
      <c r="E31">
        <v>2</v>
      </c>
      <c r="F31" s="4">
        <v>9.1300000000000008</v>
      </c>
      <c r="G31" s="4">
        <v>102.5</v>
      </c>
      <c r="H31" s="4">
        <v>21.1</v>
      </c>
      <c r="I31" s="4"/>
      <c r="J31" s="4"/>
      <c r="K31" s="4"/>
      <c r="L31" s="4"/>
      <c r="M31" s="4"/>
    </row>
    <row r="32" spans="1:13" ht="15.75" customHeight="1" x14ac:dyDescent="0.2">
      <c r="A32" s="4"/>
      <c r="B32" s="4"/>
      <c r="C32" s="6">
        <v>45161</v>
      </c>
      <c r="D32" s="8">
        <v>0.44791666666666669</v>
      </c>
      <c r="E32">
        <v>3</v>
      </c>
      <c r="F32" s="4">
        <v>9.11</v>
      </c>
      <c r="G32" s="4">
        <v>102.4</v>
      </c>
      <c r="H32" s="4">
        <v>21.1</v>
      </c>
      <c r="I32" s="4"/>
      <c r="J32" s="4"/>
      <c r="K32" s="4"/>
      <c r="L32" s="4"/>
      <c r="M32" s="4"/>
    </row>
    <row r="33" spans="1:13" ht="15.75" customHeight="1" x14ac:dyDescent="0.2">
      <c r="A33" s="4"/>
      <c r="B33" s="4"/>
      <c r="C33" s="6">
        <v>45161</v>
      </c>
      <c r="D33" s="8">
        <v>0.44791666666666669</v>
      </c>
      <c r="E33">
        <v>4</v>
      </c>
      <c r="F33" s="4">
        <v>9.09</v>
      </c>
      <c r="G33" s="4">
        <v>102.2</v>
      </c>
      <c r="H33" s="4">
        <v>21.1</v>
      </c>
      <c r="I33" s="4"/>
      <c r="J33" s="4"/>
      <c r="K33" s="4"/>
      <c r="L33" s="4"/>
      <c r="M33" s="4"/>
    </row>
    <row r="34" spans="1:13" ht="15.75" customHeight="1" x14ac:dyDescent="0.2">
      <c r="A34" s="4"/>
      <c r="B34" s="4"/>
      <c r="C34" s="6">
        <v>45161</v>
      </c>
      <c r="D34" s="8">
        <v>0.44791666666666669</v>
      </c>
      <c r="E34">
        <v>5</v>
      </c>
      <c r="F34" s="4">
        <v>9.09</v>
      </c>
      <c r="G34" s="4">
        <v>102</v>
      </c>
      <c r="H34" s="4">
        <v>21</v>
      </c>
      <c r="I34" s="4"/>
      <c r="J34" s="4"/>
      <c r="K34" s="4"/>
      <c r="L34" s="4"/>
      <c r="M34" s="4"/>
    </row>
    <row r="35" spans="1:13" ht="15.75" customHeight="1" x14ac:dyDescent="0.2">
      <c r="A35" s="4"/>
      <c r="B35" s="4"/>
      <c r="C35" s="6">
        <v>45161</v>
      </c>
      <c r="D35" s="8">
        <v>0.44791666666666669</v>
      </c>
      <c r="E35">
        <v>6</v>
      </c>
      <c r="F35" s="4">
        <v>9.08</v>
      </c>
      <c r="G35" s="4">
        <v>101.8</v>
      </c>
      <c r="H35" s="4">
        <v>21</v>
      </c>
      <c r="I35" s="4"/>
      <c r="J35" s="4"/>
      <c r="K35" s="4"/>
      <c r="L35" s="4"/>
      <c r="M35" s="4"/>
    </row>
    <row r="36" spans="1:13" ht="15.75" customHeight="1" x14ac:dyDescent="0.2">
      <c r="A36" s="4"/>
      <c r="B36" s="4"/>
      <c r="C36" s="6">
        <v>45161</v>
      </c>
      <c r="D36" s="8">
        <v>0.44791666666666669</v>
      </c>
      <c r="E36">
        <v>7</v>
      </c>
      <c r="F36" s="4">
        <v>9.06</v>
      </c>
      <c r="G36" s="4">
        <v>101.6</v>
      </c>
      <c r="H36" s="4">
        <v>21</v>
      </c>
      <c r="I36" s="4"/>
      <c r="J36" s="4"/>
      <c r="K36" s="4"/>
      <c r="L36" s="4"/>
      <c r="M36" s="4"/>
    </row>
    <row r="37" spans="1:13" ht="15.75" customHeight="1" x14ac:dyDescent="0.2">
      <c r="A37" s="4"/>
      <c r="B37" s="4"/>
      <c r="C37" s="6">
        <v>45161</v>
      </c>
      <c r="D37" s="8">
        <v>0.44791666666666669</v>
      </c>
      <c r="E37">
        <v>7.5</v>
      </c>
      <c r="F37" s="4">
        <v>9.0399999999999991</v>
      </c>
      <c r="G37" s="4">
        <v>101.4</v>
      </c>
      <c r="H37" s="4">
        <v>20.7</v>
      </c>
      <c r="I37" s="4"/>
      <c r="J37" s="4"/>
      <c r="K37" s="4"/>
      <c r="L37" s="4"/>
      <c r="M37" s="4"/>
    </row>
    <row r="38" spans="1:13" ht="15.75" customHeight="1" x14ac:dyDescent="0.2">
      <c r="A38" s="4"/>
      <c r="B38" s="4"/>
      <c r="C38" s="6"/>
      <c r="D38" s="8"/>
      <c r="E38" s="1"/>
      <c r="F38" s="4"/>
      <c r="G38" s="4"/>
      <c r="H38" s="4"/>
      <c r="I38" s="4"/>
      <c r="J38" s="4"/>
      <c r="K38" s="4"/>
      <c r="L38" s="4"/>
      <c r="M38" s="4"/>
    </row>
    <row r="39" spans="1:13" ht="15.75" customHeight="1" x14ac:dyDescent="0.2">
      <c r="A39" s="4"/>
      <c r="B39" s="4"/>
      <c r="C39" s="6">
        <v>45188</v>
      </c>
      <c r="D39" s="8">
        <v>0.41319444444444442</v>
      </c>
      <c r="E39" s="1"/>
      <c r="F39" s="4"/>
      <c r="G39" s="4"/>
      <c r="H39" s="4"/>
      <c r="I39" s="4"/>
      <c r="J39" s="4">
        <v>8</v>
      </c>
      <c r="K39" s="4"/>
      <c r="L39" s="4"/>
      <c r="M39" s="4"/>
    </row>
    <row r="40" spans="1:13" ht="15.75" customHeight="1" x14ac:dyDescent="0.2">
      <c r="A40" s="4"/>
      <c r="B40" s="4"/>
      <c r="C40" s="6">
        <v>45188</v>
      </c>
      <c r="D40" s="8">
        <v>0.4201388888888889</v>
      </c>
      <c r="E40">
        <v>0.1</v>
      </c>
      <c r="F40" s="4">
        <v>9.6300000000000008</v>
      </c>
      <c r="G40" s="4">
        <v>103.1</v>
      </c>
      <c r="H40" s="4">
        <v>18.600000000000001</v>
      </c>
      <c r="I40" s="4"/>
      <c r="J40" s="4"/>
      <c r="K40" s="4"/>
      <c r="L40" s="4"/>
      <c r="M40" s="4"/>
    </row>
    <row r="41" spans="1:13" ht="15.75" customHeight="1" x14ac:dyDescent="0.2">
      <c r="A41" s="4"/>
      <c r="B41" s="4"/>
      <c r="C41" s="6">
        <v>45188</v>
      </c>
      <c r="D41" s="8">
        <v>0.4201388888888889</v>
      </c>
      <c r="E41">
        <v>1</v>
      </c>
      <c r="F41" s="4">
        <v>9.58</v>
      </c>
      <c r="G41" s="4">
        <v>102.8</v>
      </c>
      <c r="H41" s="4">
        <v>18.8</v>
      </c>
      <c r="I41" s="4"/>
      <c r="J41" s="4"/>
      <c r="K41" s="4"/>
      <c r="L41" s="4"/>
      <c r="M41" s="4"/>
    </row>
    <row r="42" spans="1:13" ht="15.75" customHeight="1" x14ac:dyDescent="0.2">
      <c r="A42" s="4"/>
      <c r="B42" s="4"/>
      <c r="C42" s="6">
        <v>45188</v>
      </c>
      <c r="D42" s="8">
        <v>0.4201388888888889</v>
      </c>
      <c r="E42">
        <v>2</v>
      </c>
      <c r="F42" s="4">
        <v>9.56</v>
      </c>
      <c r="G42" s="4">
        <v>102.6</v>
      </c>
      <c r="H42" s="4">
        <v>18.8</v>
      </c>
      <c r="I42" s="4"/>
      <c r="J42" s="4"/>
      <c r="K42" s="4"/>
      <c r="L42" s="4"/>
      <c r="M42" s="4"/>
    </row>
    <row r="43" spans="1:13" ht="15.75" customHeight="1" x14ac:dyDescent="0.2">
      <c r="A43" s="4"/>
      <c r="B43" s="4"/>
      <c r="C43" s="6">
        <v>45188</v>
      </c>
      <c r="D43" s="8">
        <v>0.4201388888888889</v>
      </c>
      <c r="E43">
        <v>3</v>
      </c>
      <c r="F43" s="4">
        <v>9.5299999999999994</v>
      </c>
      <c r="G43" s="4">
        <v>102.3</v>
      </c>
      <c r="H43" s="4">
        <v>18.8</v>
      </c>
      <c r="I43" s="4"/>
      <c r="J43" s="4"/>
      <c r="K43" s="4"/>
      <c r="L43" s="4"/>
      <c r="M43" s="4"/>
    </row>
    <row r="44" spans="1:13" ht="15.75" customHeight="1" x14ac:dyDescent="0.2">
      <c r="A44" s="4"/>
      <c r="B44" s="4"/>
      <c r="C44" s="6">
        <v>45188</v>
      </c>
      <c r="D44" s="8">
        <v>0.4201388888888889</v>
      </c>
      <c r="E44">
        <v>4</v>
      </c>
      <c r="F44" s="4">
        <v>9.51</v>
      </c>
      <c r="G44" s="4">
        <v>102.1</v>
      </c>
      <c r="H44" s="4">
        <v>18.8</v>
      </c>
      <c r="I44" s="4"/>
      <c r="J44" s="4"/>
      <c r="K44" s="4"/>
      <c r="L44" s="4"/>
      <c r="M44" s="4"/>
    </row>
    <row r="45" spans="1:13" ht="15.75" customHeight="1" x14ac:dyDescent="0.2">
      <c r="A45" s="4"/>
      <c r="B45" s="4"/>
      <c r="C45" s="6">
        <v>45188</v>
      </c>
      <c r="D45" s="8">
        <v>0.4201388888888889</v>
      </c>
      <c r="E45">
        <v>5</v>
      </c>
      <c r="F45" s="4">
        <v>9.49</v>
      </c>
      <c r="G45" s="4">
        <v>101.9</v>
      </c>
      <c r="H45" s="4">
        <v>18.8</v>
      </c>
      <c r="I45" s="4"/>
      <c r="J45" s="4"/>
      <c r="K45" s="4"/>
      <c r="L45" s="4"/>
      <c r="M45" s="4"/>
    </row>
    <row r="46" spans="1:13" ht="15.75" customHeight="1" x14ac:dyDescent="0.2">
      <c r="A46" s="4"/>
      <c r="B46" s="4"/>
      <c r="C46" s="6">
        <v>45188</v>
      </c>
      <c r="D46" s="8">
        <v>0.4201388888888889</v>
      </c>
      <c r="E46">
        <v>6</v>
      </c>
      <c r="F46" s="4">
        <v>9.4499999999999993</v>
      </c>
      <c r="G46" s="4">
        <v>101.7</v>
      </c>
      <c r="H46" s="4">
        <v>18.899999999999999</v>
      </c>
      <c r="I46" s="4"/>
      <c r="J46" s="4"/>
      <c r="K46" s="4"/>
      <c r="L46" s="4"/>
      <c r="M46" s="4"/>
    </row>
    <row r="47" spans="1:13" ht="15.75" customHeight="1" x14ac:dyDescent="0.2">
      <c r="A47" s="4"/>
      <c r="B47" s="4"/>
      <c r="C47" s="6">
        <v>45188</v>
      </c>
      <c r="D47" s="8">
        <v>0.4201388888888889</v>
      </c>
      <c r="E47">
        <v>7</v>
      </c>
      <c r="F47" s="4">
        <v>9.4</v>
      </c>
      <c r="G47" s="4">
        <v>101.1</v>
      </c>
      <c r="H47" s="4">
        <v>18.899999999999999</v>
      </c>
      <c r="I47" s="4"/>
      <c r="J47" s="4"/>
      <c r="K47" s="4"/>
      <c r="L47" s="4"/>
      <c r="M47" s="4"/>
    </row>
    <row r="48" spans="1:13" ht="15.75" customHeight="1" x14ac:dyDescent="0.2">
      <c r="A48" s="4"/>
      <c r="B48" s="4"/>
      <c r="C48" s="6"/>
      <c r="D48" s="8"/>
      <c r="E48" s="1"/>
      <c r="F48" s="4"/>
      <c r="G48" s="4"/>
      <c r="H48" s="4"/>
      <c r="I48" s="4"/>
      <c r="J48" s="4"/>
      <c r="K48" s="4"/>
      <c r="L48" s="4"/>
      <c r="M48" s="4"/>
    </row>
    <row r="49" spans="1:13" ht="15.75" customHeight="1" x14ac:dyDescent="0.2">
      <c r="A49" s="4"/>
      <c r="B49" s="4"/>
      <c r="C49" s="6"/>
      <c r="D49" s="8"/>
      <c r="E49" s="1"/>
      <c r="F49" s="4"/>
      <c r="G49" s="4"/>
      <c r="H49" s="4"/>
      <c r="I49" s="4"/>
      <c r="J49" s="4"/>
      <c r="K49" s="4"/>
      <c r="L49" s="4"/>
      <c r="M49" s="4"/>
    </row>
    <row r="50" spans="1:13" ht="15.75" customHeight="1" x14ac:dyDescent="0.2">
      <c r="A50" s="4"/>
      <c r="B50" s="4"/>
      <c r="C50" s="6">
        <v>44741</v>
      </c>
      <c r="D50" s="8">
        <v>0.72916666666666663</v>
      </c>
      <c r="E50" s="1"/>
      <c r="F50" s="4"/>
      <c r="G50" s="4"/>
      <c r="H50" s="4"/>
      <c r="I50" s="4"/>
      <c r="J50" s="4">
        <v>5.5</v>
      </c>
      <c r="K50" s="4">
        <v>6.5</v>
      </c>
      <c r="L50" s="4"/>
      <c r="M50" s="4"/>
    </row>
    <row r="51" spans="1:13" ht="15.75" customHeight="1" x14ac:dyDescent="0.2">
      <c r="A51" s="4"/>
      <c r="B51" s="4"/>
      <c r="C51" s="6">
        <v>44741</v>
      </c>
      <c r="D51" s="8">
        <v>0.73125000000000007</v>
      </c>
      <c r="E51">
        <v>0.1</v>
      </c>
      <c r="F51" s="4">
        <v>9.61</v>
      </c>
      <c r="G51" s="4">
        <v>84.8</v>
      </c>
      <c r="H51" s="4">
        <v>10.1</v>
      </c>
      <c r="I51" s="4"/>
      <c r="J51" s="4"/>
      <c r="K51" s="4"/>
      <c r="L51" s="4"/>
      <c r="M51" s="4"/>
    </row>
    <row r="52" spans="1:13" ht="15.75" customHeight="1" x14ac:dyDescent="0.2">
      <c r="A52" s="4"/>
      <c r="B52" s="4"/>
      <c r="C52" s="6">
        <v>44741</v>
      </c>
      <c r="D52" s="8">
        <v>0.73125000000000007</v>
      </c>
      <c r="E52">
        <v>1</v>
      </c>
      <c r="F52" s="4">
        <v>9.61</v>
      </c>
      <c r="G52" s="4">
        <v>85.2</v>
      </c>
      <c r="H52" s="4">
        <v>10</v>
      </c>
      <c r="I52" s="4"/>
      <c r="J52" s="4"/>
      <c r="K52" s="4"/>
      <c r="L52" s="4"/>
      <c r="M52" s="4"/>
    </row>
    <row r="53" spans="1:13" ht="15.75" customHeight="1" x14ac:dyDescent="0.2">
      <c r="A53" s="4"/>
      <c r="B53" s="4"/>
      <c r="C53" s="6">
        <v>44741</v>
      </c>
      <c r="D53" s="8">
        <v>0.73125000000000007</v>
      </c>
      <c r="E53">
        <v>2</v>
      </c>
      <c r="F53" s="4">
        <v>9.6300000000000008</v>
      </c>
      <c r="G53" s="4">
        <v>84.5</v>
      </c>
      <c r="H53" s="4">
        <v>9.6999999999999993</v>
      </c>
      <c r="I53" s="4"/>
      <c r="J53" s="4"/>
      <c r="K53" s="4"/>
      <c r="L53" s="4"/>
      <c r="M53" s="4"/>
    </row>
    <row r="54" spans="1:13" ht="15.75" customHeight="1" x14ac:dyDescent="0.2">
      <c r="A54" s="4"/>
      <c r="B54" s="4"/>
      <c r="C54" s="6">
        <v>44741</v>
      </c>
      <c r="D54" s="8">
        <v>0.73125000000000007</v>
      </c>
      <c r="E54">
        <v>3</v>
      </c>
      <c r="F54" s="4">
        <v>9.57</v>
      </c>
      <c r="G54" s="4">
        <v>83.2</v>
      </c>
      <c r="H54" s="4">
        <v>9.1999999999999993</v>
      </c>
      <c r="I54" s="4"/>
      <c r="J54" s="4"/>
      <c r="K54" s="4"/>
      <c r="L54" s="4"/>
      <c r="M54" s="4"/>
    </row>
    <row r="55" spans="1:13" ht="15.75" customHeight="1" x14ac:dyDescent="0.2">
      <c r="A55" s="4"/>
      <c r="B55" s="4"/>
      <c r="C55" s="6">
        <v>44741</v>
      </c>
      <c r="D55" s="8">
        <v>0.73125000000000007</v>
      </c>
      <c r="E55">
        <v>4</v>
      </c>
      <c r="F55" s="4">
        <v>9.69</v>
      </c>
      <c r="G55" s="4">
        <v>82.6</v>
      </c>
      <c r="H55" s="4">
        <v>8.4</v>
      </c>
      <c r="I55" s="4"/>
      <c r="J55" s="4"/>
      <c r="K55" s="4"/>
      <c r="L55" s="4"/>
      <c r="M55" s="4"/>
    </row>
    <row r="56" spans="1:13" ht="15.75" customHeight="1" x14ac:dyDescent="0.2">
      <c r="A56" s="4"/>
      <c r="B56" s="4"/>
      <c r="C56" s="6">
        <v>44741</v>
      </c>
      <c r="D56" s="8">
        <v>0.73125000000000007</v>
      </c>
      <c r="E56">
        <v>5</v>
      </c>
      <c r="F56" s="4">
        <v>9.7799999999999994</v>
      </c>
      <c r="G56" s="4">
        <v>81.7</v>
      </c>
      <c r="H56" s="4">
        <v>7.7</v>
      </c>
      <c r="I56" s="4"/>
      <c r="J56" s="4"/>
      <c r="K56" s="4"/>
      <c r="L56" s="4"/>
      <c r="M56" s="4"/>
    </row>
    <row r="57" spans="1:13" ht="15.75" customHeight="1" x14ac:dyDescent="0.2">
      <c r="A57" s="4"/>
      <c r="B57" s="4"/>
      <c r="C57" s="6">
        <v>44741</v>
      </c>
      <c r="D57" s="8">
        <v>0.73125000000000007</v>
      </c>
      <c r="E57">
        <v>6</v>
      </c>
      <c r="F57" s="4">
        <v>9.7200000000000006</v>
      </c>
      <c r="G57" s="4">
        <v>81.099999999999994</v>
      </c>
      <c r="H57" s="4">
        <v>7.5</v>
      </c>
      <c r="I57" s="4"/>
      <c r="J57" s="4"/>
      <c r="K57" s="4"/>
      <c r="L57" s="4"/>
      <c r="M57" s="4"/>
    </row>
    <row r="58" spans="1:13" ht="15.75" customHeight="1" x14ac:dyDescent="0.2">
      <c r="A58" s="4"/>
      <c r="B58" s="4"/>
      <c r="C58" s="6">
        <v>44741</v>
      </c>
      <c r="D58" s="8">
        <v>0.73125000000000007</v>
      </c>
      <c r="E58">
        <v>7</v>
      </c>
      <c r="F58" s="4">
        <v>9.69</v>
      </c>
      <c r="G58" s="4">
        <v>80.8</v>
      </c>
      <c r="H58" s="4">
        <v>7.5</v>
      </c>
      <c r="I58" s="4"/>
      <c r="J58" s="4"/>
      <c r="K58" s="4"/>
      <c r="L58" s="4"/>
      <c r="M58" s="4"/>
    </row>
    <row r="59" spans="1:13" ht="15.75" customHeight="1" x14ac:dyDescent="0.2">
      <c r="A59" s="4"/>
      <c r="B59" s="4"/>
      <c r="C59" s="6">
        <v>44741</v>
      </c>
      <c r="D59" s="8">
        <v>0.73125000000000007</v>
      </c>
      <c r="E59">
        <v>8</v>
      </c>
      <c r="F59" s="4">
        <v>9.44</v>
      </c>
      <c r="G59" s="4">
        <v>78</v>
      </c>
      <c r="H59" s="4">
        <v>7.5</v>
      </c>
      <c r="I59" s="4"/>
      <c r="J59" s="4"/>
      <c r="K59" s="4"/>
      <c r="L59" s="4"/>
      <c r="M59" s="4"/>
    </row>
    <row r="60" spans="1:13" ht="15.75" customHeight="1" x14ac:dyDescent="0.2">
      <c r="A60" s="4"/>
      <c r="B60" s="4"/>
      <c r="C60" s="6"/>
      <c r="D60" s="8"/>
      <c r="E60" s="1"/>
      <c r="F60" s="4"/>
      <c r="G60" s="4"/>
      <c r="H60" s="4"/>
      <c r="I60" s="4"/>
      <c r="J60" s="4"/>
      <c r="K60" s="4"/>
      <c r="L60" s="4"/>
      <c r="M60" s="4"/>
    </row>
    <row r="61" spans="1:13" ht="15.75" customHeight="1" x14ac:dyDescent="0.2">
      <c r="A61" s="4"/>
      <c r="B61" s="4"/>
      <c r="C61" s="6">
        <v>44769</v>
      </c>
      <c r="D61" s="8">
        <v>0.41319444444444442</v>
      </c>
      <c r="E61" s="1"/>
      <c r="F61" s="4"/>
      <c r="G61" s="4"/>
      <c r="H61" s="4"/>
      <c r="I61" s="4"/>
      <c r="J61" s="4">
        <v>8.5</v>
      </c>
      <c r="K61" s="4">
        <v>8.5</v>
      </c>
      <c r="L61" s="4"/>
      <c r="M61" s="4"/>
    </row>
    <row r="62" spans="1:13" ht="15.75" customHeight="1" x14ac:dyDescent="0.2">
      <c r="A62" s="4"/>
      <c r="B62" s="4"/>
      <c r="C62" s="6"/>
      <c r="D62" s="8"/>
      <c r="E62" s="1"/>
      <c r="F62" s="4"/>
      <c r="G62" s="4"/>
      <c r="H62" s="4"/>
      <c r="I62" s="4"/>
      <c r="J62" s="4"/>
      <c r="K62" s="4"/>
      <c r="L62" s="4"/>
      <c r="M62" s="4"/>
    </row>
    <row r="63" spans="1:13" ht="15.75" customHeight="1" x14ac:dyDescent="0.2">
      <c r="A63" s="4"/>
      <c r="B63" s="4"/>
      <c r="C63" s="6">
        <v>44796</v>
      </c>
      <c r="D63" s="8">
        <v>0.37916666666666665</v>
      </c>
      <c r="E63" s="1"/>
      <c r="F63" s="4"/>
      <c r="G63" s="4"/>
      <c r="H63" s="4"/>
      <c r="I63" s="4"/>
      <c r="J63" s="4">
        <v>8.5</v>
      </c>
      <c r="K63" s="4">
        <v>8.5</v>
      </c>
      <c r="L63" s="4"/>
      <c r="M63" s="4"/>
    </row>
    <row r="64" spans="1:13" ht="15.75" customHeight="1" x14ac:dyDescent="0.2">
      <c r="A64" s="4"/>
      <c r="B64" s="4"/>
      <c r="C64" s="6">
        <v>44796</v>
      </c>
      <c r="D64" s="8">
        <v>0.38611111111111113</v>
      </c>
      <c r="E64" s="1">
        <v>0.1</v>
      </c>
      <c r="F64" s="4">
        <v>7.18</v>
      </c>
      <c r="G64" s="4">
        <v>85.3</v>
      </c>
      <c r="H64" s="4">
        <v>24</v>
      </c>
      <c r="I64" s="4"/>
      <c r="J64" s="4"/>
      <c r="K64" s="4"/>
      <c r="L64" s="4"/>
      <c r="M64" s="4"/>
    </row>
    <row r="65" spans="1:13" ht="15.75" customHeight="1" x14ac:dyDescent="0.2">
      <c r="A65" s="4"/>
      <c r="B65" s="4"/>
      <c r="C65" s="6">
        <v>44796</v>
      </c>
      <c r="D65" s="8">
        <v>0.38611111111111113</v>
      </c>
      <c r="E65" s="1">
        <v>1</v>
      </c>
      <c r="F65" s="4">
        <v>7.24</v>
      </c>
      <c r="G65" s="4">
        <v>85.7</v>
      </c>
      <c r="H65" s="4">
        <v>23.8</v>
      </c>
      <c r="I65" s="4"/>
      <c r="J65" s="4"/>
      <c r="K65" s="4"/>
      <c r="L65" s="4"/>
      <c r="M65" s="4"/>
    </row>
    <row r="66" spans="1:13" ht="15.75" customHeight="1" x14ac:dyDescent="0.2">
      <c r="A66" s="4"/>
      <c r="B66" s="4"/>
      <c r="C66" s="6">
        <v>44796</v>
      </c>
      <c r="D66" s="8">
        <v>0.38611111111111113</v>
      </c>
      <c r="E66" s="1">
        <v>2</v>
      </c>
      <c r="F66" s="4">
        <v>7.26</v>
      </c>
      <c r="G66" s="4">
        <v>85.8</v>
      </c>
      <c r="H66" s="4">
        <v>23.7</v>
      </c>
      <c r="I66" s="4"/>
      <c r="J66" s="4"/>
      <c r="K66" s="4"/>
      <c r="L66" s="4"/>
      <c r="M66" s="4"/>
    </row>
    <row r="67" spans="1:13" ht="15.75" customHeight="1" x14ac:dyDescent="0.2">
      <c r="A67" s="4"/>
      <c r="B67" s="4"/>
      <c r="C67" s="6">
        <v>44796</v>
      </c>
      <c r="D67" s="8">
        <v>0.38611111111111113</v>
      </c>
      <c r="E67" s="1">
        <v>3</v>
      </c>
      <c r="F67" s="4">
        <v>7.27</v>
      </c>
      <c r="G67" s="4">
        <v>85.7</v>
      </c>
      <c r="H67" s="4">
        <v>23.6</v>
      </c>
      <c r="I67" s="4"/>
      <c r="J67" s="4"/>
      <c r="K67" s="4"/>
      <c r="L67" s="4"/>
      <c r="M67" s="4"/>
    </row>
    <row r="68" spans="1:13" ht="15.75" customHeight="1" x14ac:dyDescent="0.2">
      <c r="A68" s="4"/>
      <c r="B68" s="4"/>
      <c r="C68" s="6">
        <v>44796</v>
      </c>
      <c r="D68" s="8">
        <v>0.38611111111111113</v>
      </c>
      <c r="E68" s="1">
        <v>4</v>
      </c>
      <c r="F68" s="4">
        <v>7.29</v>
      </c>
      <c r="G68" s="4">
        <v>85.7</v>
      </c>
      <c r="H68" s="4">
        <v>23.5</v>
      </c>
      <c r="I68" s="4"/>
      <c r="J68" s="4"/>
      <c r="K68" s="4"/>
      <c r="L68" s="4"/>
      <c r="M68" s="4"/>
    </row>
    <row r="69" spans="1:13" ht="15.75" customHeight="1" x14ac:dyDescent="0.2">
      <c r="A69" s="4"/>
      <c r="B69" s="4"/>
      <c r="C69" s="6">
        <v>44796</v>
      </c>
      <c r="D69" s="8">
        <v>0.38611111111111113</v>
      </c>
      <c r="E69" s="1">
        <v>5</v>
      </c>
      <c r="F69" s="4">
        <v>7.35</v>
      </c>
      <c r="G69" s="4">
        <v>86.4</v>
      </c>
      <c r="H69" s="4">
        <v>23.4</v>
      </c>
      <c r="I69" s="4"/>
      <c r="J69" s="4"/>
      <c r="K69" s="4"/>
      <c r="L69" s="4"/>
      <c r="M69" s="4"/>
    </row>
    <row r="70" spans="1:13" ht="15.75" customHeight="1" x14ac:dyDescent="0.2">
      <c r="A70" s="4"/>
      <c r="B70" s="4"/>
      <c r="C70" s="6">
        <v>44796</v>
      </c>
      <c r="D70" s="8">
        <v>0.38611111111111113</v>
      </c>
      <c r="E70" s="1">
        <v>6</v>
      </c>
      <c r="F70" s="4">
        <v>7.32</v>
      </c>
      <c r="G70" s="4">
        <v>85.5</v>
      </c>
      <c r="H70" s="4">
        <v>23.2</v>
      </c>
      <c r="I70" s="4"/>
      <c r="J70" s="4"/>
      <c r="K70" s="4"/>
      <c r="L70" s="4"/>
      <c r="M70" s="4"/>
    </row>
    <row r="71" spans="1:13" ht="15.75" customHeight="1" x14ac:dyDescent="0.2">
      <c r="A71" s="4"/>
      <c r="B71" s="4"/>
      <c r="C71" s="6">
        <v>44796</v>
      </c>
      <c r="D71" s="8">
        <v>0.38611111111111113</v>
      </c>
      <c r="E71" s="1">
        <v>7</v>
      </c>
      <c r="F71" s="4">
        <v>7.27</v>
      </c>
      <c r="G71" s="4">
        <v>84.9</v>
      </c>
      <c r="H71" s="4">
        <v>23.1</v>
      </c>
      <c r="I71" s="4"/>
      <c r="J71" s="4"/>
      <c r="K71" s="4"/>
      <c r="L71" s="4"/>
      <c r="M71" s="4"/>
    </row>
    <row r="72" spans="1:13" ht="15.75" customHeight="1" x14ac:dyDescent="0.2">
      <c r="A72" s="4"/>
      <c r="B72" s="4"/>
      <c r="C72" s="6"/>
      <c r="D72" s="8"/>
      <c r="E72" s="1"/>
      <c r="F72" s="4"/>
      <c r="G72" s="4"/>
      <c r="H72" s="4"/>
      <c r="I72" s="4"/>
      <c r="J72" s="4"/>
      <c r="K72" s="4"/>
      <c r="L72" s="4"/>
      <c r="M72" s="4"/>
    </row>
    <row r="73" spans="1:13" ht="15.75" customHeight="1" x14ac:dyDescent="0.2">
      <c r="A73" s="4"/>
      <c r="B73" s="4"/>
      <c r="C73" s="6">
        <v>44823</v>
      </c>
      <c r="D73" s="8">
        <v>0.57638888888888895</v>
      </c>
      <c r="E73" s="1"/>
      <c r="F73" s="4"/>
      <c r="G73" s="4"/>
      <c r="H73" s="4"/>
      <c r="I73" s="4"/>
      <c r="J73" s="4">
        <v>9</v>
      </c>
      <c r="K73" s="4">
        <v>9</v>
      </c>
      <c r="L73" s="4"/>
      <c r="M73" s="4"/>
    </row>
    <row r="74" spans="1:13" ht="15.75" customHeight="1" x14ac:dyDescent="0.2">
      <c r="A74" s="4"/>
      <c r="B74" s="4"/>
      <c r="C74" s="6">
        <v>44823</v>
      </c>
      <c r="D74" s="8">
        <v>0.57986111111111105</v>
      </c>
      <c r="E74">
        <v>0.1</v>
      </c>
      <c r="F74" s="4">
        <v>7.66</v>
      </c>
      <c r="G74" s="4">
        <v>83.4</v>
      </c>
      <c r="H74" s="4">
        <v>19.600000000000001</v>
      </c>
      <c r="I74" s="4"/>
      <c r="J74" s="4"/>
      <c r="K74" s="4"/>
      <c r="L74" s="4"/>
      <c r="M74" s="4"/>
    </row>
    <row r="75" spans="1:13" ht="15.75" customHeight="1" x14ac:dyDescent="0.2">
      <c r="A75" s="4"/>
      <c r="B75" s="4"/>
      <c r="C75" s="6">
        <v>44823</v>
      </c>
      <c r="D75" s="8">
        <v>0.57986111111111105</v>
      </c>
      <c r="E75">
        <v>1</v>
      </c>
      <c r="F75" s="4">
        <v>7.68</v>
      </c>
      <c r="G75" s="4">
        <v>83.5</v>
      </c>
      <c r="H75" s="4">
        <v>19.399999999999999</v>
      </c>
      <c r="I75" s="4"/>
      <c r="J75" s="4"/>
      <c r="K75" s="4"/>
      <c r="L75" s="4"/>
      <c r="M75" s="4"/>
    </row>
    <row r="76" spans="1:13" ht="15.75" customHeight="1" x14ac:dyDescent="0.2">
      <c r="A76" s="4"/>
      <c r="B76" s="4"/>
      <c r="C76" s="6">
        <v>44823</v>
      </c>
      <c r="D76" s="8">
        <v>0.57986111111111105</v>
      </c>
      <c r="E76">
        <v>2</v>
      </c>
      <c r="F76" s="4">
        <v>7.67</v>
      </c>
      <c r="G76" s="4">
        <v>83.4</v>
      </c>
      <c r="H76" s="4">
        <v>19.399999999999999</v>
      </c>
      <c r="I76" s="4"/>
      <c r="J76" s="4"/>
      <c r="K76" s="4"/>
      <c r="L76" s="4"/>
      <c r="M76" s="4"/>
    </row>
    <row r="77" spans="1:13" ht="15.75" customHeight="1" x14ac:dyDescent="0.2">
      <c r="A77" s="4"/>
      <c r="B77" s="4"/>
      <c r="C77" s="6">
        <v>44823</v>
      </c>
      <c r="D77" s="8">
        <v>0.57986111111111105</v>
      </c>
      <c r="E77">
        <v>3</v>
      </c>
      <c r="F77" s="4">
        <v>7.66</v>
      </c>
      <c r="G77" s="4">
        <v>83.2</v>
      </c>
      <c r="H77" s="4">
        <v>19.3</v>
      </c>
      <c r="I77" s="4"/>
      <c r="J77" s="4"/>
      <c r="K77" s="4"/>
      <c r="L77" s="4"/>
      <c r="M77" s="4"/>
    </row>
    <row r="78" spans="1:13" ht="15.75" customHeight="1" x14ac:dyDescent="0.2">
      <c r="A78" s="4"/>
      <c r="B78" s="4"/>
      <c r="C78" s="6">
        <v>44823</v>
      </c>
      <c r="D78" s="8">
        <v>0.57986111111111105</v>
      </c>
      <c r="E78">
        <v>4</v>
      </c>
      <c r="F78" s="4">
        <v>7.67</v>
      </c>
      <c r="G78" s="4">
        <v>83</v>
      </c>
      <c r="H78" s="4">
        <v>19.2</v>
      </c>
      <c r="I78" s="4"/>
      <c r="J78" s="4"/>
      <c r="K78" s="4"/>
      <c r="L78" s="4"/>
      <c r="M78" s="4"/>
    </row>
    <row r="79" spans="1:13" ht="15.75" customHeight="1" x14ac:dyDescent="0.2">
      <c r="A79" s="4"/>
      <c r="B79" s="4"/>
      <c r="C79" s="6">
        <v>44823</v>
      </c>
      <c r="D79" s="8">
        <v>0.57986111111111105</v>
      </c>
      <c r="E79">
        <v>5</v>
      </c>
      <c r="F79" s="4">
        <v>7.7</v>
      </c>
      <c r="G79" s="4">
        <v>83.1</v>
      </c>
      <c r="H79" s="4">
        <v>19.100000000000001</v>
      </c>
      <c r="I79" s="4"/>
      <c r="J79" s="4"/>
      <c r="K79" s="4"/>
      <c r="L79" s="4"/>
      <c r="M79" s="4"/>
    </row>
    <row r="80" spans="1:13" ht="15.75" customHeight="1" x14ac:dyDescent="0.2">
      <c r="A80" s="4"/>
      <c r="B80" s="4"/>
      <c r="C80" s="6">
        <v>44823</v>
      </c>
      <c r="D80" s="8">
        <v>0.57986111111111105</v>
      </c>
      <c r="E80">
        <v>6</v>
      </c>
      <c r="F80" s="4">
        <v>7.72</v>
      </c>
      <c r="G80" s="4">
        <v>83.4</v>
      </c>
      <c r="H80" s="4">
        <v>19.100000000000001</v>
      </c>
      <c r="I80" s="4"/>
      <c r="J80" s="4"/>
      <c r="K80" s="4"/>
      <c r="L80" s="4"/>
      <c r="M80" s="4"/>
    </row>
    <row r="81" spans="1:13" ht="15.75" customHeight="1" x14ac:dyDescent="0.2">
      <c r="A81" s="4"/>
      <c r="B81" s="4"/>
      <c r="C81" s="6">
        <v>44823</v>
      </c>
      <c r="D81" s="8">
        <v>0.57986111111111105</v>
      </c>
      <c r="E81">
        <v>7</v>
      </c>
      <c r="F81" s="4">
        <v>7.72</v>
      </c>
      <c r="G81" s="4">
        <v>83.5</v>
      </c>
      <c r="H81" s="4">
        <v>19.100000000000001</v>
      </c>
      <c r="I81" s="4"/>
      <c r="J81" s="4"/>
      <c r="K81" s="4"/>
      <c r="L81" s="4"/>
      <c r="M81" s="4"/>
    </row>
    <row r="82" spans="1:13" ht="15.75" customHeight="1" x14ac:dyDescent="0.2">
      <c r="A82" s="4"/>
      <c r="B82" s="4"/>
      <c r="C82" s="6"/>
      <c r="D82" s="8"/>
      <c r="E82" s="1"/>
      <c r="F82" s="4"/>
      <c r="G82" s="4"/>
      <c r="H82" s="4"/>
      <c r="I82" s="4"/>
      <c r="J82" s="4"/>
      <c r="K82" s="4"/>
      <c r="L82" s="4"/>
      <c r="M82" s="4"/>
    </row>
    <row r="83" spans="1:13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1:13" ht="15.75" customHeight="1" x14ac:dyDescent="0.2">
      <c r="A84" s="4"/>
      <c r="B84" s="4"/>
      <c r="C84" s="6">
        <v>44007</v>
      </c>
      <c r="D84" s="4"/>
      <c r="E84" s="4"/>
      <c r="F84" s="4"/>
      <c r="G84" s="4"/>
      <c r="H84" s="4"/>
      <c r="I84" s="4">
        <f>+K84*2</f>
        <v>12</v>
      </c>
      <c r="J84" s="4">
        <v>5.5</v>
      </c>
      <c r="K84" s="4">
        <v>6</v>
      </c>
      <c r="L84" s="4"/>
      <c r="M84" s="4"/>
    </row>
    <row r="85" spans="1:13" ht="15.75" customHeight="1" x14ac:dyDescent="0.2">
      <c r="A85" s="4"/>
      <c r="B85" s="4"/>
      <c r="C85" s="6">
        <v>44007</v>
      </c>
      <c r="D85" s="8">
        <v>0.67361111111111116</v>
      </c>
      <c r="E85" s="1">
        <v>0.1</v>
      </c>
      <c r="F85" s="4">
        <v>8.0299999999999994</v>
      </c>
      <c r="G85" s="4">
        <v>85.3</v>
      </c>
      <c r="H85" s="4">
        <v>18</v>
      </c>
      <c r="I85" s="4"/>
      <c r="J85" s="4"/>
      <c r="K85" s="4"/>
      <c r="L85" s="4"/>
      <c r="M85" s="4"/>
    </row>
    <row r="86" spans="1:13" ht="15" customHeight="1" x14ac:dyDescent="0.2">
      <c r="A86" s="4"/>
      <c r="B86" s="4"/>
      <c r="C86" s="6">
        <v>44007</v>
      </c>
      <c r="D86" s="8">
        <v>0.67361111111111116</v>
      </c>
      <c r="E86" s="1">
        <v>1</v>
      </c>
      <c r="F86" s="4">
        <v>8.2899999999999991</v>
      </c>
      <c r="G86" s="4">
        <v>86.4</v>
      </c>
      <c r="H86" s="4">
        <v>17.3</v>
      </c>
      <c r="I86" s="4"/>
      <c r="J86" s="4"/>
      <c r="K86" s="4"/>
      <c r="L86" s="4"/>
      <c r="M86" s="4"/>
    </row>
    <row r="87" spans="1:13" ht="15.75" customHeight="1" x14ac:dyDescent="0.2">
      <c r="A87" s="4"/>
      <c r="B87" s="4"/>
      <c r="C87" s="6">
        <v>44007</v>
      </c>
      <c r="D87" s="8">
        <v>0.67361111111111116</v>
      </c>
      <c r="E87" s="1">
        <v>2</v>
      </c>
      <c r="F87" s="4">
        <v>8.44</v>
      </c>
      <c r="G87" s="4">
        <v>85.5</v>
      </c>
      <c r="H87" s="4">
        <v>16</v>
      </c>
      <c r="I87" s="4"/>
      <c r="J87" s="4"/>
      <c r="K87" s="4"/>
      <c r="L87" s="4"/>
      <c r="M87" s="4"/>
    </row>
    <row r="88" spans="1:13" ht="15.75" customHeight="1" x14ac:dyDescent="0.2">
      <c r="A88" s="4"/>
      <c r="B88" s="4"/>
      <c r="C88" s="6">
        <v>44007</v>
      </c>
      <c r="D88" s="8">
        <v>0.67361111111111116</v>
      </c>
      <c r="E88" s="1">
        <v>3</v>
      </c>
      <c r="F88" s="4">
        <v>8.8800000000000008</v>
      </c>
      <c r="G88" s="4">
        <v>85.7</v>
      </c>
      <c r="H88" s="4">
        <v>13.9</v>
      </c>
      <c r="I88" s="4"/>
      <c r="J88" s="4"/>
      <c r="K88" s="4"/>
      <c r="L88" s="4"/>
      <c r="M88" s="4"/>
    </row>
    <row r="89" spans="1:13" ht="15.75" customHeight="1" x14ac:dyDescent="0.2">
      <c r="A89" s="4"/>
      <c r="B89" s="4"/>
      <c r="C89" s="6">
        <v>44007</v>
      </c>
      <c r="D89" s="8">
        <v>0.67361111111111116</v>
      </c>
      <c r="E89" s="1">
        <v>4</v>
      </c>
      <c r="F89" s="4">
        <v>8.98</v>
      </c>
      <c r="G89" s="4"/>
      <c r="H89" s="4">
        <v>13.5</v>
      </c>
      <c r="I89" s="4"/>
      <c r="J89" s="4"/>
      <c r="K89" s="4"/>
      <c r="L89" s="4"/>
      <c r="M89" s="4"/>
    </row>
    <row r="90" spans="1:13" ht="15.75" customHeight="1" x14ac:dyDescent="0.2">
      <c r="A90" s="4"/>
      <c r="B90" s="4"/>
      <c r="C90" s="6">
        <v>44007</v>
      </c>
      <c r="D90" s="8">
        <v>0.67361111111111116</v>
      </c>
      <c r="E90" s="1">
        <v>5</v>
      </c>
      <c r="F90" s="4">
        <v>9.02</v>
      </c>
      <c r="G90" s="4"/>
      <c r="H90" s="4">
        <v>13.3</v>
      </c>
      <c r="I90" s="4"/>
      <c r="J90" s="4"/>
      <c r="K90" s="4"/>
      <c r="L90" s="4"/>
      <c r="M90" s="4"/>
    </row>
    <row r="91" spans="1:13" ht="15.75" customHeight="1" x14ac:dyDescent="0.2">
      <c r="A91" s="4"/>
      <c r="B91" s="4"/>
      <c r="C91" s="6">
        <v>44007</v>
      </c>
      <c r="D91" s="8">
        <v>0.67361111111111116</v>
      </c>
      <c r="E91" s="1">
        <v>6</v>
      </c>
      <c r="F91" s="4">
        <v>9.08</v>
      </c>
      <c r="G91" s="4"/>
      <c r="H91" s="4">
        <v>13.1</v>
      </c>
      <c r="I91" s="4"/>
      <c r="J91" s="4"/>
      <c r="K91" s="4"/>
      <c r="L91" s="4"/>
      <c r="M91" s="4"/>
    </row>
    <row r="92" spans="1:13" ht="15.75" customHeight="1" x14ac:dyDescent="0.2">
      <c r="A92" s="4"/>
      <c r="B92" s="4"/>
      <c r="C92" s="6">
        <v>44007</v>
      </c>
      <c r="D92" s="8">
        <v>0.67361111111111116</v>
      </c>
      <c r="E92" s="1">
        <v>7</v>
      </c>
      <c r="F92" s="4">
        <v>9.02</v>
      </c>
      <c r="G92" s="4"/>
      <c r="H92" s="4">
        <v>12.8</v>
      </c>
      <c r="I92" s="4"/>
      <c r="J92" s="4"/>
      <c r="K92" s="4"/>
      <c r="L92" s="4"/>
      <c r="M92" s="4"/>
    </row>
    <row r="93" spans="1:13" ht="15.75" customHeight="1" x14ac:dyDescent="0.2">
      <c r="A93" s="4"/>
      <c r="B93" s="4"/>
      <c r="C93" s="6">
        <v>44007</v>
      </c>
      <c r="D93" s="8">
        <v>0.67361111111111116</v>
      </c>
      <c r="E93" s="1">
        <v>8</v>
      </c>
      <c r="F93" s="4">
        <v>9.0399999999999991</v>
      </c>
      <c r="G93" s="4">
        <v>83.4</v>
      </c>
      <c r="H93" s="4">
        <v>11.8</v>
      </c>
      <c r="I93" s="4"/>
      <c r="J93" s="4"/>
      <c r="K93" s="4"/>
      <c r="L93" s="4"/>
      <c r="M93" s="4"/>
    </row>
    <row r="94" spans="1:13" ht="15.75" customHeight="1" x14ac:dyDescent="0.2">
      <c r="A94" s="4"/>
      <c r="B94" s="4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3" ht="15.75" customHeight="1" x14ac:dyDescent="0.2">
      <c r="A95" s="4"/>
      <c r="B95" s="4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1:13" ht="15.75" customHeight="1" x14ac:dyDescent="0.2">
      <c r="A96" s="4"/>
      <c r="B96" s="4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1:13" ht="15.75" customHeight="1" x14ac:dyDescent="0.2">
      <c r="A97" s="4"/>
      <c r="B97" s="4"/>
      <c r="C97" s="6">
        <v>44039</v>
      </c>
      <c r="D97" s="4"/>
      <c r="E97" s="4"/>
      <c r="F97" s="4"/>
      <c r="G97" s="4"/>
      <c r="H97" s="4"/>
      <c r="I97" s="4">
        <f>+K97*2</f>
        <v>17</v>
      </c>
      <c r="J97" s="4">
        <v>8</v>
      </c>
      <c r="K97" s="4">
        <v>8.5</v>
      </c>
      <c r="L97" s="4"/>
      <c r="M97" s="4"/>
    </row>
    <row r="98" spans="1:13" ht="15.75" customHeight="1" x14ac:dyDescent="0.2">
      <c r="A98" s="4"/>
      <c r="B98" s="4"/>
      <c r="C98" s="6">
        <v>44039</v>
      </c>
      <c r="D98" s="8">
        <v>0.66666666666666663</v>
      </c>
      <c r="E98" s="1">
        <v>0.1</v>
      </c>
      <c r="F98" s="4">
        <v>7.18</v>
      </c>
      <c r="G98" s="4">
        <v>85.8</v>
      </c>
      <c r="H98" s="4">
        <v>24.2</v>
      </c>
      <c r="I98" s="4"/>
      <c r="J98" s="4"/>
      <c r="K98" s="4"/>
      <c r="L98" s="4"/>
      <c r="M98" s="4"/>
    </row>
    <row r="99" spans="1:13" ht="15.75" customHeight="1" x14ac:dyDescent="0.2">
      <c r="A99" s="4"/>
      <c r="B99" s="4"/>
      <c r="C99" s="6">
        <v>44039</v>
      </c>
      <c r="D99" s="8">
        <v>0.66666666666666663</v>
      </c>
      <c r="E99" s="1">
        <v>1</v>
      </c>
      <c r="F99" s="4">
        <v>7.42</v>
      </c>
      <c r="G99" s="4"/>
      <c r="H99" s="4">
        <v>22.9</v>
      </c>
      <c r="I99" s="4"/>
      <c r="J99" s="4"/>
      <c r="K99" s="4"/>
      <c r="L99" s="4"/>
      <c r="M99" s="4"/>
    </row>
    <row r="100" spans="1:13" ht="15.75" customHeight="1" x14ac:dyDescent="0.2">
      <c r="A100" s="4"/>
      <c r="B100" s="4"/>
      <c r="C100" s="6">
        <v>44039</v>
      </c>
      <c r="D100" s="8">
        <v>0.66666666666666663</v>
      </c>
      <c r="E100" s="1">
        <v>2</v>
      </c>
      <c r="F100" s="4">
        <v>7.28</v>
      </c>
      <c r="G100" s="4"/>
      <c r="H100" s="4">
        <v>22.2</v>
      </c>
      <c r="I100" s="4"/>
      <c r="J100" s="4"/>
      <c r="K100" s="4"/>
      <c r="L100" s="4"/>
      <c r="M100" s="4"/>
    </row>
    <row r="101" spans="1:13" ht="15.75" customHeight="1" x14ac:dyDescent="0.2">
      <c r="A101" s="4"/>
      <c r="B101" s="4"/>
      <c r="C101" s="6">
        <v>44039</v>
      </c>
      <c r="D101" s="8">
        <v>0.66666666666666663</v>
      </c>
      <c r="E101" s="1">
        <v>3</v>
      </c>
      <c r="F101" s="4">
        <v>7.53</v>
      </c>
      <c r="G101" s="4"/>
      <c r="H101" s="4">
        <v>21.7</v>
      </c>
      <c r="I101" s="4"/>
      <c r="J101" s="4"/>
      <c r="K101" s="4"/>
      <c r="L101" s="4"/>
      <c r="M101" s="4"/>
    </row>
    <row r="102" spans="1:13" ht="15.75" customHeight="1" x14ac:dyDescent="0.2">
      <c r="A102" s="4"/>
      <c r="B102" s="4"/>
      <c r="C102" s="6">
        <v>44039</v>
      </c>
      <c r="D102" s="8">
        <v>0.66666666666666663</v>
      </c>
      <c r="E102" s="1">
        <v>4</v>
      </c>
      <c r="F102" s="4">
        <v>7.5</v>
      </c>
      <c r="G102" s="4"/>
      <c r="H102" s="4">
        <v>21.4</v>
      </c>
      <c r="I102" s="4"/>
      <c r="J102" s="4"/>
      <c r="K102" s="4"/>
      <c r="L102" s="4"/>
      <c r="M102" s="4"/>
    </row>
    <row r="103" spans="1:13" ht="15.75" customHeight="1" x14ac:dyDescent="0.2">
      <c r="A103" s="4"/>
      <c r="B103" s="4"/>
      <c r="C103" s="6">
        <v>44039</v>
      </c>
      <c r="D103" s="8">
        <v>0.66666666666666663</v>
      </c>
      <c r="E103" s="1">
        <v>5</v>
      </c>
      <c r="F103" s="4">
        <v>7.54</v>
      </c>
      <c r="G103" s="4"/>
      <c r="H103" s="4">
        <v>21.2</v>
      </c>
      <c r="I103" s="4"/>
      <c r="J103" s="4"/>
      <c r="K103" s="4"/>
      <c r="L103" s="4"/>
      <c r="M103" s="4"/>
    </row>
    <row r="104" spans="1:13" ht="15.75" customHeight="1" x14ac:dyDescent="0.2">
      <c r="A104" s="4"/>
      <c r="B104" s="4"/>
      <c r="C104" s="6">
        <v>44039</v>
      </c>
      <c r="D104" s="8">
        <v>0.66666666666666663</v>
      </c>
      <c r="E104" s="1">
        <v>6</v>
      </c>
      <c r="F104" s="4">
        <v>7.59</v>
      </c>
      <c r="G104" s="4">
        <v>85.2</v>
      </c>
      <c r="H104" s="4">
        <v>21</v>
      </c>
      <c r="I104" s="4"/>
      <c r="J104" s="4"/>
      <c r="K104" s="4"/>
      <c r="L104" s="4"/>
      <c r="M104" s="4"/>
    </row>
    <row r="105" spans="1:13" ht="15.75" customHeight="1" x14ac:dyDescent="0.2">
      <c r="A105" s="4"/>
      <c r="B105" s="4"/>
      <c r="C105" s="6">
        <v>44039</v>
      </c>
      <c r="D105" s="8">
        <v>0.66666666666666663</v>
      </c>
      <c r="E105" s="1">
        <v>7</v>
      </c>
      <c r="F105" s="4">
        <v>7.66</v>
      </c>
      <c r="G105" s="4">
        <v>84.7</v>
      </c>
      <c r="H105" s="4">
        <v>20.5</v>
      </c>
      <c r="I105" s="4"/>
      <c r="J105" s="4"/>
      <c r="K105" s="4"/>
      <c r="L105" s="4"/>
      <c r="M105" s="4"/>
    </row>
    <row r="106" spans="1:13" ht="15.75" customHeight="1" x14ac:dyDescent="0.2">
      <c r="A106" s="4"/>
      <c r="B106" s="4"/>
      <c r="C106" s="6">
        <v>44039</v>
      </c>
      <c r="D106" s="8">
        <v>0.66666666666666663</v>
      </c>
      <c r="E106" s="1">
        <v>8</v>
      </c>
      <c r="F106" s="4">
        <v>8.43</v>
      </c>
      <c r="G106" s="4">
        <v>90</v>
      </c>
      <c r="H106" s="4">
        <v>18.3</v>
      </c>
      <c r="I106" s="4"/>
      <c r="J106" s="4"/>
      <c r="K106" s="4"/>
      <c r="L106" s="4"/>
      <c r="M106" s="4"/>
    </row>
    <row r="107" spans="1:13" ht="15.75" customHeight="1" x14ac:dyDescent="0.2">
      <c r="A107" s="4"/>
      <c r="B107" s="4"/>
      <c r="C107" s="6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1:13" ht="15.75" customHeight="1" x14ac:dyDescent="0.2">
      <c r="A108" s="4"/>
      <c r="B108" s="4"/>
      <c r="C108" s="6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1:13" ht="15.75" customHeight="1" x14ac:dyDescent="0.2">
      <c r="A109" s="4"/>
      <c r="B109" s="4"/>
      <c r="C109" s="6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1:13" ht="15.75" customHeight="1" x14ac:dyDescent="0.2">
      <c r="A110" s="4"/>
      <c r="B110" s="4"/>
      <c r="C110" s="6">
        <v>44068</v>
      </c>
      <c r="D110" s="4"/>
      <c r="E110" s="4"/>
      <c r="F110" s="4" t="s">
        <v>71</v>
      </c>
      <c r="G110" s="4"/>
      <c r="H110" s="4"/>
      <c r="I110" s="4">
        <f>+K110*2</f>
        <v>17</v>
      </c>
      <c r="J110" s="4">
        <v>8.5</v>
      </c>
      <c r="K110" s="4">
        <v>8.5</v>
      </c>
      <c r="L110" s="4"/>
      <c r="M110" s="4"/>
    </row>
    <row r="111" spans="1:13" ht="15.75" customHeight="1" x14ac:dyDescent="0.2">
      <c r="A111" s="4"/>
      <c r="B111" s="4"/>
      <c r="C111" s="6">
        <v>44068</v>
      </c>
      <c r="D111" s="8">
        <v>0.64930555555555558</v>
      </c>
      <c r="E111" s="1">
        <v>0.1</v>
      </c>
      <c r="F111" s="4">
        <v>7.41</v>
      </c>
      <c r="G111" s="4">
        <v>84.4</v>
      </c>
      <c r="H111" s="4">
        <v>21.8</v>
      </c>
      <c r="I111" s="4"/>
      <c r="J111" s="4"/>
      <c r="K111" s="4"/>
      <c r="L111" s="4"/>
      <c r="M111" s="4"/>
    </row>
    <row r="112" spans="1:13" ht="15.75" customHeight="1" x14ac:dyDescent="0.2">
      <c r="A112" s="4"/>
      <c r="B112" s="4"/>
      <c r="C112" s="6">
        <v>44068</v>
      </c>
      <c r="D112" s="8">
        <v>0.64930555555555558</v>
      </c>
      <c r="E112" s="1">
        <v>1</v>
      </c>
      <c r="F112" s="4">
        <v>7.45</v>
      </c>
      <c r="G112" s="4"/>
      <c r="H112" s="4">
        <v>21.6</v>
      </c>
      <c r="I112" s="4"/>
      <c r="J112" s="4"/>
      <c r="K112" s="4"/>
      <c r="L112" s="4"/>
      <c r="M112" s="4"/>
    </row>
    <row r="113" spans="2:13" ht="15.75" customHeight="1" x14ac:dyDescent="0.2">
      <c r="B113" s="4"/>
      <c r="C113" s="6">
        <v>44068</v>
      </c>
      <c r="D113" s="8">
        <v>0.64930555555555558</v>
      </c>
      <c r="E113" s="1">
        <v>2</v>
      </c>
      <c r="F113" s="4">
        <v>7.46</v>
      </c>
      <c r="G113" s="4"/>
      <c r="H113" s="4">
        <v>21.5</v>
      </c>
      <c r="I113" s="4"/>
      <c r="J113" s="4"/>
      <c r="K113" s="4"/>
      <c r="L113" s="4"/>
      <c r="M113" s="4"/>
    </row>
    <row r="114" spans="2:13" ht="15.75" customHeight="1" x14ac:dyDescent="0.2">
      <c r="B114" s="4"/>
      <c r="C114" s="6">
        <v>44068</v>
      </c>
      <c r="D114" s="8">
        <v>0.64930555555555558</v>
      </c>
      <c r="E114" s="1">
        <v>3</v>
      </c>
      <c r="F114" s="4">
        <v>7.46</v>
      </c>
      <c r="G114" s="4"/>
      <c r="H114" s="4">
        <v>21.4</v>
      </c>
      <c r="I114" s="4"/>
      <c r="J114" s="4"/>
      <c r="K114" s="4"/>
      <c r="L114" s="4"/>
      <c r="M114" s="4"/>
    </row>
    <row r="115" spans="2:13" ht="15.75" customHeight="1" x14ac:dyDescent="0.2">
      <c r="B115" s="4"/>
      <c r="C115" s="6">
        <v>44068</v>
      </c>
      <c r="D115" s="8">
        <v>0.64930555555555558</v>
      </c>
      <c r="E115" s="1">
        <v>4</v>
      </c>
      <c r="F115" s="4">
        <v>7.5</v>
      </c>
      <c r="G115" s="4"/>
      <c r="H115" s="4">
        <v>21</v>
      </c>
      <c r="I115" s="4"/>
      <c r="J115" s="4"/>
      <c r="K115" s="4"/>
      <c r="L115" s="4"/>
      <c r="M115" s="4"/>
    </row>
    <row r="116" spans="2:13" ht="15.75" customHeight="1" x14ac:dyDescent="0.2">
      <c r="B116" s="4"/>
      <c r="C116" s="6">
        <v>44068</v>
      </c>
      <c r="D116" s="8">
        <v>0.64930555555555558</v>
      </c>
      <c r="E116" s="1">
        <v>5</v>
      </c>
      <c r="F116" s="4">
        <v>7.52</v>
      </c>
      <c r="G116" s="4"/>
      <c r="H116" s="4">
        <v>20.8</v>
      </c>
      <c r="I116" s="4"/>
      <c r="J116" s="4"/>
      <c r="K116" s="4"/>
      <c r="L116" s="4"/>
      <c r="M116" s="4"/>
    </row>
    <row r="117" spans="2:13" ht="15.75" customHeight="1" x14ac:dyDescent="0.2">
      <c r="B117" s="4"/>
      <c r="C117" s="6">
        <v>44068</v>
      </c>
      <c r="D117" s="8">
        <v>0.64930555555555558</v>
      </c>
      <c r="E117" s="1">
        <v>6</v>
      </c>
      <c r="F117" s="4">
        <v>7.68</v>
      </c>
      <c r="G117" s="4">
        <v>86</v>
      </c>
      <c r="H117" s="4">
        <v>20.7</v>
      </c>
      <c r="I117" s="4"/>
      <c r="J117" s="4"/>
      <c r="K117" s="4"/>
      <c r="L117" s="4"/>
      <c r="M117" s="4"/>
    </row>
    <row r="118" spans="2:13" ht="15.75" customHeight="1" x14ac:dyDescent="0.2">
      <c r="B118" s="4"/>
      <c r="C118" s="6">
        <v>44068</v>
      </c>
      <c r="D118" s="8">
        <v>0.64930555555555558</v>
      </c>
      <c r="E118" s="1">
        <v>7</v>
      </c>
      <c r="F118" s="4">
        <v>7.87</v>
      </c>
      <c r="G118" s="4">
        <v>87.4</v>
      </c>
      <c r="H118" s="4">
        <v>20.5</v>
      </c>
      <c r="I118" s="4"/>
      <c r="J118" s="4"/>
      <c r="K118" s="4"/>
      <c r="L118" s="4"/>
      <c r="M118" s="4"/>
    </row>
    <row r="119" spans="2:13" ht="15.75" customHeight="1" x14ac:dyDescent="0.2">
      <c r="B119" s="4"/>
      <c r="C119" s="6">
        <v>44068</v>
      </c>
      <c r="D119" s="8">
        <v>0.64930555555555558</v>
      </c>
      <c r="E119" s="1">
        <v>8</v>
      </c>
      <c r="F119" s="4">
        <v>8.3000000000000007</v>
      </c>
      <c r="G119" s="4">
        <v>90.4</v>
      </c>
      <c r="H119" s="4">
        <v>19.2</v>
      </c>
      <c r="I119" s="4"/>
      <c r="J119" s="4"/>
      <c r="K119" s="4"/>
      <c r="L119" s="4"/>
      <c r="M119" s="4"/>
    </row>
    <row r="120" spans="2:13" ht="15.75" customHeight="1" x14ac:dyDescent="0.2">
      <c r="B120" s="4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2:13" ht="15.75" customHeight="1" x14ac:dyDescent="0.2">
      <c r="B121" s="4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2:13" ht="15.75" customHeight="1" x14ac:dyDescent="0.2">
      <c r="B122" s="4"/>
      <c r="C122" s="6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2:13" ht="15.75" customHeight="1" x14ac:dyDescent="0.2">
      <c r="B123" s="4"/>
      <c r="C123" s="6">
        <v>44102</v>
      </c>
      <c r="D123" s="4"/>
      <c r="E123" s="4"/>
      <c r="F123" s="4" t="s">
        <v>71</v>
      </c>
      <c r="G123" s="4"/>
      <c r="H123" s="4"/>
      <c r="I123" s="4">
        <f>+K123*2</f>
        <v>17.5</v>
      </c>
      <c r="J123" s="4">
        <v>8.75</v>
      </c>
      <c r="K123" s="4">
        <v>8.75</v>
      </c>
      <c r="L123" s="4"/>
      <c r="M123" s="4"/>
    </row>
    <row r="124" spans="2:13" ht="15.75" customHeight="1" x14ac:dyDescent="0.2">
      <c r="C124" s="16">
        <v>44102</v>
      </c>
      <c r="D124" s="12">
        <v>0.64652777777777781</v>
      </c>
      <c r="E124" s="1">
        <v>0.1</v>
      </c>
      <c r="F124" s="1">
        <v>8.02</v>
      </c>
      <c r="G124" s="1">
        <v>83.7</v>
      </c>
      <c r="H124" s="1">
        <v>17.399999999999999</v>
      </c>
    </row>
    <row r="125" spans="2:13" ht="15.75" customHeight="1" x14ac:dyDescent="0.2">
      <c r="C125" s="16">
        <v>44102</v>
      </c>
      <c r="D125" s="12">
        <v>0.64652777777777781</v>
      </c>
      <c r="E125" s="1">
        <v>1</v>
      </c>
      <c r="F125" s="1">
        <v>8.0399999999999991</v>
      </c>
      <c r="H125" s="1">
        <v>16.8</v>
      </c>
    </row>
    <row r="126" spans="2:13" ht="15.75" customHeight="1" x14ac:dyDescent="0.2">
      <c r="C126" s="16">
        <v>44102</v>
      </c>
      <c r="D126" s="12">
        <v>0.64652777777777781</v>
      </c>
      <c r="E126" s="1">
        <v>2</v>
      </c>
      <c r="F126" s="1">
        <v>8.0299999999999994</v>
      </c>
      <c r="H126" s="1">
        <v>16.7</v>
      </c>
    </row>
    <row r="127" spans="2:13" ht="15.75" customHeight="1" x14ac:dyDescent="0.2">
      <c r="C127" s="16">
        <v>44102</v>
      </c>
      <c r="D127" s="12">
        <v>0.64652777777777781</v>
      </c>
      <c r="E127" s="1">
        <v>3</v>
      </c>
      <c r="F127" s="1">
        <v>8.0500000000000007</v>
      </c>
      <c r="H127" s="1">
        <v>16.600000000000001</v>
      </c>
    </row>
    <row r="128" spans="2:13" ht="15.75" customHeight="1" x14ac:dyDescent="0.2">
      <c r="C128" s="16">
        <v>44102</v>
      </c>
      <c r="D128" s="12">
        <v>0.64652777777777781</v>
      </c>
      <c r="E128" s="1">
        <v>4</v>
      </c>
      <c r="F128" s="1">
        <v>8.0299999999999994</v>
      </c>
      <c r="H128" s="1">
        <v>16.5</v>
      </c>
    </row>
    <row r="129" spans="3:12" ht="15.75" customHeight="1" x14ac:dyDescent="0.2">
      <c r="C129" s="16">
        <v>44102</v>
      </c>
      <c r="D129" s="12">
        <v>0.64652777777777781</v>
      </c>
      <c r="E129" s="1">
        <v>5</v>
      </c>
      <c r="F129" s="1">
        <v>8.0299999999999994</v>
      </c>
      <c r="H129" s="1">
        <v>16.5</v>
      </c>
    </row>
    <row r="130" spans="3:12" ht="15.75" customHeight="1" x14ac:dyDescent="0.2">
      <c r="C130" s="16">
        <v>44102</v>
      </c>
      <c r="D130" s="12">
        <v>0.64652777777777781</v>
      </c>
      <c r="E130" s="1">
        <v>6</v>
      </c>
      <c r="F130" s="1">
        <v>8.0299999999999994</v>
      </c>
      <c r="H130" s="1">
        <v>16.3</v>
      </c>
    </row>
    <row r="131" spans="3:12" ht="15.75" customHeight="1" x14ac:dyDescent="0.2">
      <c r="C131" s="16">
        <v>44102</v>
      </c>
      <c r="D131" s="12">
        <v>0.64652777777777781</v>
      </c>
      <c r="E131" s="1">
        <v>7</v>
      </c>
      <c r="F131" s="1">
        <v>8.09</v>
      </c>
      <c r="H131" s="1">
        <v>16.2</v>
      </c>
    </row>
    <row r="132" spans="3:12" ht="15.75" customHeight="1" x14ac:dyDescent="0.2">
      <c r="C132" s="16">
        <v>44102</v>
      </c>
      <c r="D132" s="12">
        <v>0.64652777777777781</v>
      </c>
      <c r="E132" s="1">
        <v>8</v>
      </c>
      <c r="F132" s="1">
        <v>7.45</v>
      </c>
      <c r="G132" s="1">
        <v>74.3</v>
      </c>
      <c r="H132" s="1">
        <v>16.2</v>
      </c>
    </row>
    <row r="133" spans="3:12" ht="15.75" customHeight="1" x14ac:dyDescent="0.2"/>
    <row r="134" spans="3:12" ht="15.75" customHeight="1" x14ac:dyDescent="0.2">
      <c r="C134" s="1" t="s">
        <v>63</v>
      </c>
      <c r="J134" s="1">
        <v>5</v>
      </c>
      <c r="K134" s="1">
        <v>7.5</v>
      </c>
      <c r="L134" s="13"/>
    </row>
    <row r="135" spans="3:12" ht="15.75" customHeight="1" x14ac:dyDescent="0.2">
      <c r="C135" s="1" t="s">
        <v>64</v>
      </c>
      <c r="J135" s="1">
        <v>8</v>
      </c>
      <c r="K135" s="1">
        <v>9</v>
      </c>
      <c r="L135" s="13"/>
    </row>
    <row r="136" spans="3:12" ht="15.75" customHeight="1" x14ac:dyDescent="0.2">
      <c r="C136" s="1" t="s">
        <v>65</v>
      </c>
      <c r="J136" s="1">
        <v>9</v>
      </c>
      <c r="K136" s="1">
        <v>9</v>
      </c>
      <c r="L136" s="13"/>
    </row>
    <row r="137" spans="3:12" ht="15.75" customHeight="1" x14ac:dyDescent="0.2">
      <c r="C137" s="1" t="s">
        <v>66</v>
      </c>
      <c r="J137" s="1">
        <v>8</v>
      </c>
      <c r="K137" s="1">
        <v>8</v>
      </c>
      <c r="L137" s="13"/>
    </row>
    <row r="138" spans="3:12" ht="15.75" customHeight="1" x14ac:dyDescent="0.2"/>
    <row r="139" spans="3:12" ht="15.75" customHeight="1" x14ac:dyDescent="0.2">
      <c r="C139" s="205">
        <v>42870</v>
      </c>
      <c r="D139" s="185">
        <v>0.51388888888888895</v>
      </c>
      <c r="J139">
        <v>7.5</v>
      </c>
      <c r="K139">
        <v>7.5</v>
      </c>
    </row>
    <row r="140" spans="3:12" ht="15.75" customHeight="1" x14ac:dyDescent="0.2">
      <c r="C140" s="205">
        <v>42870</v>
      </c>
      <c r="D140" s="185">
        <v>0.52083333333333337</v>
      </c>
      <c r="E140">
        <v>0.1</v>
      </c>
      <c r="F140">
        <v>9.3699999999999992</v>
      </c>
      <c r="G140">
        <v>83.2</v>
      </c>
      <c r="H140">
        <v>11.1</v>
      </c>
    </row>
    <row r="141" spans="3:12" ht="15.75" customHeight="1" x14ac:dyDescent="0.2">
      <c r="C141" s="205">
        <v>42870</v>
      </c>
      <c r="D141" s="185">
        <v>0.52083333333333337</v>
      </c>
      <c r="E141">
        <v>1</v>
      </c>
      <c r="F141">
        <v>9.4700000000000006</v>
      </c>
      <c r="G141">
        <v>83.3</v>
      </c>
      <c r="H141">
        <v>9.8000000000000007</v>
      </c>
      <c r="J141" s="1"/>
      <c r="K141" s="1"/>
      <c r="L141" s="13"/>
    </row>
    <row r="142" spans="3:12" ht="15.75" customHeight="1" x14ac:dyDescent="0.2">
      <c r="C142" s="205">
        <v>42870</v>
      </c>
      <c r="D142" s="185">
        <v>0.52083333333333337</v>
      </c>
      <c r="E142">
        <v>2</v>
      </c>
      <c r="F142">
        <v>9.51</v>
      </c>
      <c r="G142">
        <v>82.7</v>
      </c>
      <c r="H142">
        <v>9.1999999999999993</v>
      </c>
      <c r="L142" s="13"/>
    </row>
    <row r="143" spans="3:12" ht="15.75" customHeight="1" x14ac:dyDescent="0.2">
      <c r="C143" s="205">
        <v>42870</v>
      </c>
      <c r="D143" s="185">
        <v>0.52083333333333337</v>
      </c>
      <c r="E143">
        <v>3</v>
      </c>
      <c r="F143">
        <v>9.5299999999999994</v>
      </c>
      <c r="G143">
        <v>81.900000000000006</v>
      </c>
      <c r="H143">
        <v>8.6999999999999993</v>
      </c>
      <c r="L143" s="13"/>
    </row>
    <row r="144" spans="3:12" ht="15.75" customHeight="1" x14ac:dyDescent="0.2">
      <c r="C144" s="205">
        <v>42870</v>
      </c>
      <c r="D144" s="185">
        <v>0.52083333333333337</v>
      </c>
      <c r="E144">
        <v>4</v>
      </c>
      <c r="F144">
        <v>9.66</v>
      </c>
      <c r="G144">
        <v>81.2</v>
      </c>
      <c r="H144">
        <v>7.9</v>
      </c>
      <c r="L144" s="13"/>
    </row>
    <row r="145" spans="3:12" ht="15.75" customHeight="1" x14ac:dyDescent="0.2">
      <c r="C145" s="205">
        <v>42870</v>
      </c>
      <c r="D145" s="185">
        <v>0.52083333333333337</v>
      </c>
      <c r="E145">
        <v>5</v>
      </c>
      <c r="F145">
        <v>9.67</v>
      </c>
      <c r="G145">
        <v>81.099999999999994</v>
      </c>
      <c r="H145">
        <v>7.7</v>
      </c>
      <c r="L145" s="13"/>
    </row>
    <row r="146" spans="3:12" ht="15.75" customHeight="1" x14ac:dyDescent="0.2">
      <c r="C146" s="205">
        <v>42870</v>
      </c>
      <c r="D146" s="185">
        <v>0.52083333333333337</v>
      </c>
      <c r="E146">
        <v>6</v>
      </c>
      <c r="F146">
        <v>9.69</v>
      </c>
      <c r="G146">
        <v>80.8</v>
      </c>
      <c r="H146">
        <v>7.5</v>
      </c>
      <c r="L146" s="13"/>
    </row>
    <row r="147" spans="3:12" ht="15.75" customHeight="1" x14ac:dyDescent="0.2">
      <c r="C147" s="205">
        <v>42870</v>
      </c>
      <c r="D147" s="185">
        <v>0.52083333333333337</v>
      </c>
      <c r="E147">
        <v>7</v>
      </c>
      <c r="F147">
        <v>9.69</v>
      </c>
      <c r="G147">
        <v>80.3</v>
      </c>
      <c r="H147">
        <v>7.2</v>
      </c>
    </row>
    <row r="148" spans="3:12" ht="15.75" customHeight="1" x14ac:dyDescent="0.2"/>
    <row r="149" spans="3:12" ht="15.75" customHeight="1" x14ac:dyDescent="0.2">
      <c r="C149" s="217">
        <v>42898</v>
      </c>
      <c r="D149" s="185">
        <v>0.51041666666666663</v>
      </c>
      <c r="J149">
        <v>8.5</v>
      </c>
      <c r="K149">
        <v>8.5</v>
      </c>
    </row>
    <row r="150" spans="3:12" ht="15.75" customHeight="1" x14ac:dyDescent="0.2">
      <c r="C150" s="217">
        <v>42898</v>
      </c>
      <c r="D150" s="185">
        <v>0.51736111111111105</v>
      </c>
      <c r="E150">
        <v>0.1</v>
      </c>
      <c r="F150">
        <v>8.6999999999999993</v>
      </c>
      <c r="G150">
        <v>88.8</v>
      </c>
      <c r="H150">
        <v>15.9</v>
      </c>
    </row>
    <row r="151" spans="3:12" ht="15.75" customHeight="1" x14ac:dyDescent="0.2">
      <c r="C151" s="217">
        <v>42898</v>
      </c>
      <c r="D151" s="185">
        <v>0.51736111111111105</v>
      </c>
      <c r="E151">
        <v>1</v>
      </c>
      <c r="F151">
        <v>8.83</v>
      </c>
      <c r="G151">
        <v>88</v>
      </c>
      <c r="H151">
        <v>15.3</v>
      </c>
    </row>
    <row r="152" spans="3:12" ht="15.75" customHeight="1" x14ac:dyDescent="0.2">
      <c r="C152" s="217">
        <v>42898</v>
      </c>
      <c r="D152" s="185">
        <v>0.51736111111111105</v>
      </c>
      <c r="E152">
        <v>2</v>
      </c>
      <c r="F152">
        <v>8.84</v>
      </c>
      <c r="G152">
        <v>87.7</v>
      </c>
      <c r="H152">
        <v>15</v>
      </c>
    </row>
    <row r="153" spans="3:12" ht="15.75" customHeight="1" x14ac:dyDescent="0.2">
      <c r="C153" s="217">
        <v>42898</v>
      </c>
      <c r="D153" s="185">
        <v>0.51736111111111105</v>
      </c>
      <c r="E153">
        <v>3</v>
      </c>
      <c r="F153">
        <v>8.8699999999999992</v>
      </c>
      <c r="G153">
        <v>87.6</v>
      </c>
      <c r="H153">
        <v>14.8</v>
      </c>
    </row>
    <row r="154" spans="3:12" ht="15.75" customHeight="1" x14ac:dyDescent="0.2">
      <c r="C154" s="217">
        <v>42898</v>
      </c>
      <c r="D154" s="185">
        <v>0.51736111111111105</v>
      </c>
      <c r="E154">
        <v>4</v>
      </c>
      <c r="F154">
        <v>8.8699999999999992</v>
      </c>
      <c r="G154">
        <v>87.4</v>
      </c>
      <c r="H154">
        <v>14.7</v>
      </c>
    </row>
    <row r="155" spans="3:12" ht="15.75" customHeight="1" x14ac:dyDescent="0.2">
      <c r="C155" s="217">
        <v>42898</v>
      </c>
      <c r="D155" s="185">
        <v>0.51736111111111105</v>
      </c>
      <c r="E155">
        <v>5</v>
      </c>
      <c r="F155">
        <v>8.8800000000000008</v>
      </c>
      <c r="G155">
        <v>87.3</v>
      </c>
      <c r="H155">
        <v>14.6</v>
      </c>
    </row>
    <row r="156" spans="3:12" ht="15.75" customHeight="1" x14ac:dyDescent="0.2">
      <c r="C156" s="217">
        <v>42898</v>
      </c>
      <c r="D156" s="185">
        <v>0.51736111111111105</v>
      </c>
      <c r="E156">
        <v>6</v>
      </c>
      <c r="F156">
        <v>8.8800000000000008</v>
      </c>
      <c r="G156">
        <v>87.2</v>
      </c>
      <c r="H156">
        <v>14.5</v>
      </c>
    </row>
    <row r="157" spans="3:12" ht="15.75" customHeight="1" x14ac:dyDescent="0.2">
      <c r="C157" s="217">
        <v>42898</v>
      </c>
      <c r="D157" s="185">
        <v>0.51736111111111105</v>
      </c>
      <c r="E157">
        <v>7</v>
      </c>
      <c r="F157">
        <v>8.9499999999999993</v>
      </c>
      <c r="G157">
        <v>87.9</v>
      </c>
      <c r="H157">
        <v>14.4</v>
      </c>
    </row>
    <row r="158" spans="3:12" ht="15.75" customHeight="1" x14ac:dyDescent="0.2"/>
    <row r="159" spans="3:12" ht="15.75" customHeight="1" x14ac:dyDescent="0.2">
      <c r="C159" s="205">
        <v>42928</v>
      </c>
      <c r="D159" s="185">
        <v>0.46875</v>
      </c>
      <c r="J159">
        <v>8.75</v>
      </c>
    </row>
    <row r="160" spans="3:12" ht="15.75" customHeight="1" x14ac:dyDescent="0.2">
      <c r="C160" s="205">
        <v>42928</v>
      </c>
      <c r="D160" s="185">
        <v>0.47430555555555554</v>
      </c>
      <c r="E160">
        <v>0.1</v>
      </c>
      <c r="F160">
        <v>7.53</v>
      </c>
      <c r="G160">
        <v>87.2</v>
      </c>
      <c r="H160">
        <v>22.7</v>
      </c>
    </row>
    <row r="161" spans="3:10" ht="15.75" customHeight="1" x14ac:dyDescent="0.2">
      <c r="C161" s="205">
        <v>42928</v>
      </c>
      <c r="D161" s="185">
        <v>0.47430555555555554</v>
      </c>
      <c r="E161">
        <v>1</v>
      </c>
      <c r="F161">
        <v>7.62</v>
      </c>
      <c r="G161">
        <v>86.5</v>
      </c>
      <c r="H161">
        <v>21.7</v>
      </c>
    </row>
    <row r="162" spans="3:10" ht="15.75" customHeight="1" x14ac:dyDescent="0.2">
      <c r="C162" s="205">
        <v>42928</v>
      </c>
      <c r="D162" s="185">
        <v>0.47430555555555554</v>
      </c>
      <c r="E162">
        <v>2</v>
      </c>
      <c r="F162">
        <v>7.66</v>
      </c>
      <c r="G162">
        <v>86.5</v>
      </c>
      <c r="H162">
        <v>21.4</v>
      </c>
    </row>
    <row r="163" spans="3:10" ht="15.75" customHeight="1" x14ac:dyDescent="0.2">
      <c r="C163" s="205">
        <v>42928</v>
      </c>
      <c r="D163" s="185">
        <v>0.47430555555555554</v>
      </c>
      <c r="E163">
        <v>3</v>
      </c>
      <c r="F163">
        <v>7.8</v>
      </c>
      <c r="G163">
        <v>87.1</v>
      </c>
      <c r="H163">
        <v>20.8</v>
      </c>
    </row>
    <row r="164" spans="3:10" ht="15.75" customHeight="1" x14ac:dyDescent="0.2">
      <c r="C164" s="205">
        <v>42928</v>
      </c>
      <c r="D164" s="185">
        <v>0.47430555555555554</v>
      </c>
      <c r="E164">
        <v>4</v>
      </c>
      <c r="F164">
        <v>7.86</v>
      </c>
      <c r="G164">
        <v>87.5</v>
      </c>
      <c r="H164">
        <v>20.6</v>
      </c>
    </row>
    <row r="165" spans="3:10" ht="15.75" customHeight="1" x14ac:dyDescent="0.2">
      <c r="C165" s="205">
        <v>42928</v>
      </c>
      <c r="D165" s="185">
        <v>0.47430555555555554</v>
      </c>
      <c r="E165">
        <v>5</v>
      </c>
      <c r="F165">
        <v>7.89</v>
      </c>
      <c r="G165">
        <v>87.7</v>
      </c>
      <c r="H165">
        <v>20.5</v>
      </c>
    </row>
    <row r="166" spans="3:10" ht="15.75" customHeight="1" x14ac:dyDescent="0.2">
      <c r="C166" s="205">
        <v>42928</v>
      </c>
      <c r="D166" s="185">
        <v>0.47430555555555554</v>
      </c>
      <c r="E166">
        <v>6</v>
      </c>
      <c r="F166">
        <v>7.98</v>
      </c>
      <c r="G166">
        <v>88.4</v>
      </c>
      <c r="H166">
        <v>20.3</v>
      </c>
    </row>
    <row r="167" spans="3:10" ht="15.75" customHeight="1" x14ac:dyDescent="0.2">
      <c r="C167" s="205">
        <v>42928</v>
      </c>
      <c r="D167" s="185">
        <v>0.47430555555555554</v>
      </c>
      <c r="E167">
        <v>7</v>
      </c>
      <c r="F167">
        <v>8.01</v>
      </c>
      <c r="G167">
        <v>88.4</v>
      </c>
      <c r="H167">
        <v>20.2</v>
      </c>
    </row>
    <row r="168" spans="3:10" ht="15.75" customHeight="1" x14ac:dyDescent="0.2"/>
    <row r="169" spans="3:10" ht="15.75" customHeight="1" x14ac:dyDescent="0.2">
      <c r="C169" s="205">
        <v>42954</v>
      </c>
      <c r="D169" s="185">
        <v>0.53125</v>
      </c>
      <c r="J169">
        <v>8</v>
      </c>
    </row>
    <row r="170" spans="3:10" ht="15.75" customHeight="1" x14ac:dyDescent="0.2">
      <c r="C170" s="205">
        <v>42954</v>
      </c>
      <c r="D170" s="185">
        <v>0.53819444444444442</v>
      </c>
      <c r="E170">
        <v>0.1</v>
      </c>
      <c r="F170">
        <v>7.2</v>
      </c>
      <c r="G170">
        <v>86.9</v>
      </c>
      <c r="H170">
        <v>24.8</v>
      </c>
    </row>
    <row r="171" spans="3:10" ht="15.75" customHeight="1" x14ac:dyDescent="0.2">
      <c r="C171" s="205">
        <v>42954</v>
      </c>
      <c r="D171" s="185">
        <v>0.53819444444444442</v>
      </c>
      <c r="E171">
        <v>1</v>
      </c>
      <c r="F171">
        <v>7.32</v>
      </c>
      <c r="G171">
        <v>87.5</v>
      </c>
      <c r="H171">
        <v>24.2</v>
      </c>
    </row>
    <row r="172" spans="3:10" ht="15.75" customHeight="1" x14ac:dyDescent="0.2">
      <c r="C172" s="205">
        <v>42954</v>
      </c>
      <c r="D172" s="185">
        <v>0.53819444444444442</v>
      </c>
      <c r="E172">
        <v>2</v>
      </c>
      <c r="F172">
        <v>7.37</v>
      </c>
      <c r="G172">
        <v>87.4</v>
      </c>
      <c r="H172">
        <v>24</v>
      </c>
    </row>
    <row r="173" spans="3:10" ht="15.75" customHeight="1" x14ac:dyDescent="0.2">
      <c r="C173" s="205">
        <v>42954</v>
      </c>
      <c r="D173" s="185">
        <v>0.53819444444444442</v>
      </c>
      <c r="E173">
        <v>3</v>
      </c>
      <c r="F173">
        <v>7.37</v>
      </c>
      <c r="G173">
        <v>87.2</v>
      </c>
      <c r="H173">
        <v>23.8</v>
      </c>
    </row>
    <row r="174" spans="3:10" ht="15.75" customHeight="1" x14ac:dyDescent="0.2">
      <c r="C174" s="205">
        <v>42954</v>
      </c>
      <c r="D174" s="185">
        <v>0.53819444444444442</v>
      </c>
      <c r="E174">
        <v>4</v>
      </c>
      <c r="F174">
        <v>7.37</v>
      </c>
      <c r="G174">
        <v>87</v>
      </c>
      <c r="H174">
        <v>23.7</v>
      </c>
    </row>
    <row r="175" spans="3:10" ht="15.75" customHeight="1" x14ac:dyDescent="0.2">
      <c r="C175" s="205">
        <v>42954</v>
      </c>
      <c r="D175" s="185">
        <v>0.53819444444444442</v>
      </c>
      <c r="E175">
        <v>5</v>
      </c>
      <c r="F175">
        <v>7.34</v>
      </c>
      <c r="G175">
        <v>86.7</v>
      </c>
      <c r="H175">
        <v>23.7</v>
      </c>
    </row>
    <row r="176" spans="3:10" ht="15.75" customHeight="1" x14ac:dyDescent="0.2">
      <c r="C176" s="205">
        <v>42954</v>
      </c>
      <c r="D176" s="185">
        <v>0.53819444444444442</v>
      </c>
      <c r="E176">
        <v>6</v>
      </c>
      <c r="F176">
        <v>7.43</v>
      </c>
      <c r="G176">
        <v>87.6</v>
      </c>
      <c r="H176">
        <v>23.6</v>
      </c>
    </row>
    <row r="177" spans="3:11" ht="15.75" customHeight="1" x14ac:dyDescent="0.2">
      <c r="C177" s="205">
        <v>42954</v>
      </c>
      <c r="D177" s="185">
        <v>0.53819444444444442</v>
      </c>
      <c r="E177">
        <v>7</v>
      </c>
      <c r="H177">
        <v>22.9</v>
      </c>
    </row>
    <row r="178" spans="3:11" ht="15.75" customHeight="1" x14ac:dyDescent="0.2"/>
    <row r="179" spans="3:11" ht="15.75" customHeight="1" x14ac:dyDescent="0.2">
      <c r="C179" s="205">
        <v>42989</v>
      </c>
      <c r="D179" s="185">
        <v>0.53472222222222221</v>
      </c>
      <c r="J179">
        <v>8</v>
      </c>
      <c r="K179">
        <v>8</v>
      </c>
    </row>
    <row r="180" spans="3:11" ht="15.75" customHeight="1" x14ac:dyDescent="0.2">
      <c r="C180" s="205">
        <v>42989</v>
      </c>
      <c r="D180" s="185">
        <v>0.53472222222222221</v>
      </c>
      <c r="E180">
        <v>0.1</v>
      </c>
      <c r="F180">
        <v>7.67</v>
      </c>
      <c r="G180">
        <v>85.9</v>
      </c>
      <c r="H180">
        <v>20.9</v>
      </c>
    </row>
    <row r="181" spans="3:11" ht="15.75" customHeight="1" x14ac:dyDescent="0.2">
      <c r="C181" s="205">
        <v>42989</v>
      </c>
      <c r="D181" s="185">
        <v>0.53472222222222221</v>
      </c>
      <c r="E181">
        <v>1</v>
      </c>
      <c r="F181">
        <v>7.71</v>
      </c>
      <c r="G181">
        <v>85.4</v>
      </c>
      <c r="H181">
        <v>20.399999999999999</v>
      </c>
    </row>
    <row r="182" spans="3:11" ht="15.75" customHeight="1" x14ac:dyDescent="0.2">
      <c r="C182" s="205">
        <v>42989</v>
      </c>
      <c r="D182" s="185">
        <v>0.53472222222222221</v>
      </c>
      <c r="E182">
        <v>2</v>
      </c>
      <c r="F182">
        <v>7.71</v>
      </c>
      <c r="G182">
        <v>85.3</v>
      </c>
      <c r="H182">
        <v>20.3</v>
      </c>
    </row>
    <row r="183" spans="3:11" ht="15.75" customHeight="1" x14ac:dyDescent="0.2">
      <c r="C183" s="205">
        <v>42989</v>
      </c>
      <c r="D183" s="185">
        <v>0.53472222222222221</v>
      </c>
      <c r="E183">
        <v>3</v>
      </c>
      <c r="F183">
        <v>7.69</v>
      </c>
      <c r="G183">
        <v>84.9</v>
      </c>
      <c r="H183">
        <v>20.2</v>
      </c>
    </row>
    <row r="184" spans="3:11" ht="15.75" customHeight="1" x14ac:dyDescent="0.2">
      <c r="C184" s="205">
        <v>42989</v>
      </c>
      <c r="D184" s="185">
        <v>0.53472222222222221</v>
      </c>
      <c r="E184">
        <v>4</v>
      </c>
      <c r="F184">
        <v>7.68</v>
      </c>
      <c r="G184">
        <v>84.7</v>
      </c>
      <c r="H184">
        <v>20.100000000000001</v>
      </c>
    </row>
    <row r="185" spans="3:11" ht="15.75" customHeight="1" x14ac:dyDescent="0.2">
      <c r="C185" s="205">
        <v>42989</v>
      </c>
      <c r="D185" s="185">
        <v>0.53472222222222221</v>
      </c>
      <c r="E185">
        <v>5</v>
      </c>
      <c r="F185">
        <v>7.68</v>
      </c>
      <c r="G185">
        <v>84.5</v>
      </c>
      <c r="H185">
        <v>20</v>
      </c>
    </row>
    <row r="186" spans="3:11" ht="15.75" customHeight="1" x14ac:dyDescent="0.2">
      <c r="C186" s="205">
        <v>42989</v>
      </c>
      <c r="D186" s="185">
        <v>0.53472222222222221</v>
      </c>
      <c r="E186">
        <v>6</v>
      </c>
      <c r="F186">
        <v>7.66</v>
      </c>
      <c r="G186">
        <v>84.3</v>
      </c>
      <c r="H186">
        <v>20</v>
      </c>
    </row>
    <row r="187" spans="3:11" ht="15.75" customHeight="1" x14ac:dyDescent="0.2">
      <c r="C187" s="205">
        <v>42989</v>
      </c>
      <c r="D187" s="185">
        <v>0.53472222222222221</v>
      </c>
      <c r="E187">
        <v>7</v>
      </c>
      <c r="F187">
        <v>7.76</v>
      </c>
      <c r="G187">
        <v>85</v>
      </c>
      <c r="H187">
        <v>19.8</v>
      </c>
    </row>
    <row r="188" spans="3:11" ht="15.75" customHeight="1" x14ac:dyDescent="0.2"/>
    <row r="189" spans="3:11" ht="15.75" customHeight="1" x14ac:dyDescent="0.2">
      <c r="C189" s="205">
        <v>43018</v>
      </c>
      <c r="D189" s="185">
        <v>0.52777777777777779</v>
      </c>
      <c r="J189">
        <v>8.75</v>
      </c>
    </row>
    <row r="190" spans="3:11" ht="15.75" customHeight="1" x14ac:dyDescent="0.2">
      <c r="C190" s="205">
        <v>43018</v>
      </c>
      <c r="D190" s="185">
        <v>0.53125</v>
      </c>
      <c r="E190">
        <v>0.1</v>
      </c>
      <c r="F190">
        <v>8.76</v>
      </c>
      <c r="G190">
        <v>83.8</v>
      </c>
      <c r="H190">
        <v>13.5</v>
      </c>
    </row>
    <row r="191" spans="3:11" ht="15.75" customHeight="1" x14ac:dyDescent="0.2">
      <c r="C191" s="205">
        <v>43018</v>
      </c>
      <c r="D191" s="185">
        <v>0.53125</v>
      </c>
      <c r="E191">
        <v>1</v>
      </c>
      <c r="F191">
        <v>8.66</v>
      </c>
      <c r="G191">
        <v>83.2</v>
      </c>
      <c r="H191">
        <v>13.6</v>
      </c>
    </row>
    <row r="192" spans="3:11" ht="15.75" customHeight="1" x14ac:dyDescent="0.2">
      <c r="C192" s="205">
        <v>43018</v>
      </c>
      <c r="D192" s="185">
        <v>0.53125</v>
      </c>
      <c r="E192">
        <v>2</v>
      </c>
      <c r="F192">
        <v>8.59</v>
      </c>
      <c r="G192">
        <v>82.8</v>
      </c>
      <c r="H192">
        <v>13.7</v>
      </c>
    </row>
    <row r="193" spans="3:8" ht="15.75" customHeight="1" x14ac:dyDescent="0.2">
      <c r="C193" s="205">
        <v>43018</v>
      </c>
      <c r="D193" s="185">
        <v>0.53125</v>
      </c>
      <c r="E193">
        <v>3</v>
      </c>
      <c r="F193">
        <v>8.56</v>
      </c>
      <c r="G193">
        <v>82.5</v>
      </c>
      <c r="H193">
        <v>13.7</v>
      </c>
    </row>
    <row r="194" spans="3:8" ht="15.75" customHeight="1" x14ac:dyDescent="0.2">
      <c r="C194" s="205">
        <v>43018</v>
      </c>
      <c r="D194" s="185">
        <v>0.53125</v>
      </c>
      <c r="E194">
        <v>4</v>
      </c>
      <c r="F194">
        <v>8.5299999999999994</v>
      </c>
      <c r="G194">
        <v>82.1</v>
      </c>
      <c r="H194">
        <v>13.6</v>
      </c>
    </row>
    <row r="195" spans="3:8" ht="15.75" customHeight="1" x14ac:dyDescent="0.2">
      <c r="C195" s="205">
        <v>43018</v>
      </c>
      <c r="D195" s="185">
        <v>0.53125</v>
      </c>
      <c r="E195">
        <v>5</v>
      </c>
      <c r="F195">
        <v>8.57</v>
      </c>
      <c r="G195">
        <v>81.900000000000006</v>
      </c>
      <c r="H195">
        <v>13.4</v>
      </c>
    </row>
    <row r="196" spans="3:8" ht="15.75" customHeight="1" x14ac:dyDescent="0.2">
      <c r="C196" s="205">
        <v>43018</v>
      </c>
      <c r="D196" s="185">
        <v>0.53125</v>
      </c>
      <c r="E196">
        <v>6</v>
      </c>
      <c r="F196">
        <v>8.58</v>
      </c>
      <c r="G196">
        <v>81.7</v>
      </c>
      <c r="H196">
        <v>13.1</v>
      </c>
    </row>
    <row r="197" spans="3:8" ht="15.75" customHeight="1" x14ac:dyDescent="0.2">
      <c r="C197" s="205">
        <v>43018</v>
      </c>
      <c r="D197" s="185">
        <v>0.53125</v>
      </c>
      <c r="E197">
        <v>7</v>
      </c>
      <c r="F197">
        <v>8.61</v>
      </c>
      <c r="G197">
        <v>81.8</v>
      </c>
      <c r="H197">
        <v>13</v>
      </c>
    </row>
    <row r="198" spans="3:8" ht="15.75" customHeight="1" x14ac:dyDescent="0.2">
      <c r="C198" s="205">
        <v>43018</v>
      </c>
      <c r="D198" s="185">
        <v>0.53125</v>
      </c>
      <c r="E198">
        <v>8</v>
      </c>
      <c r="F198">
        <v>8.6</v>
      </c>
      <c r="G198">
        <v>81.3</v>
      </c>
      <c r="H198">
        <v>13</v>
      </c>
    </row>
    <row r="199" spans="3:8" ht="15.75" customHeight="1" x14ac:dyDescent="0.2"/>
    <row r="200" spans="3:8" ht="15.75" customHeight="1" x14ac:dyDescent="0.2"/>
    <row r="201" spans="3:8" ht="15.75" customHeight="1" x14ac:dyDescent="0.2">
      <c r="C201" s="252" t="s">
        <v>614</v>
      </c>
    </row>
    <row r="202" spans="3:8" ht="15.75" customHeight="1" x14ac:dyDescent="0.2"/>
    <row r="203" spans="3:8" ht="15.75" customHeight="1" x14ac:dyDescent="0.2"/>
    <row r="204" spans="3:8" ht="15.75" customHeight="1" x14ac:dyDescent="0.2"/>
    <row r="205" spans="3:8" ht="15.75" customHeight="1" x14ac:dyDescent="0.2"/>
    <row r="206" spans="3:8" ht="15.75" customHeight="1" x14ac:dyDescent="0.2"/>
    <row r="207" spans="3:8" ht="15.75" customHeight="1" x14ac:dyDescent="0.2"/>
    <row r="208" spans="3: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108"/>
  <sheetViews>
    <sheetView workbookViewId="0">
      <pane ySplit="1" topLeftCell="A244" activePane="bottomLeft" state="frozen"/>
      <selection pane="bottomLeft" activeCell="A255" sqref="A255"/>
    </sheetView>
  </sheetViews>
  <sheetFormatPr baseColWidth="10" defaultColWidth="11.1640625" defaultRowHeight="15" customHeight="1" x14ac:dyDescent="0.2"/>
  <cols>
    <col min="1" max="5" width="10.5" customWidth="1"/>
    <col min="6" max="8" width="10.83203125" customWidth="1"/>
    <col min="9" max="24" width="10.5" customWidth="1"/>
  </cols>
  <sheetData>
    <row r="1" spans="1:24" ht="33.75" customHeight="1" x14ac:dyDescent="0.2">
      <c r="A1" s="3"/>
      <c r="B1" s="3" t="s">
        <v>49</v>
      </c>
      <c r="C1" s="3" t="s">
        <v>50</v>
      </c>
      <c r="D1" s="3" t="s">
        <v>51</v>
      </c>
      <c r="E1" s="3" t="s">
        <v>52</v>
      </c>
      <c r="F1" s="2" t="s">
        <v>53</v>
      </c>
      <c r="G1" s="3" t="s">
        <v>54</v>
      </c>
      <c r="H1" s="2" t="s">
        <v>55</v>
      </c>
      <c r="I1" s="2" t="s">
        <v>56</v>
      </c>
      <c r="J1" s="2" t="s">
        <v>57</v>
      </c>
      <c r="K1" s="2" t="s">
        <v>58</v>
      </c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.75" customHeight="1" x14ac:dyDescent="0.2">
      <c r="A2" s="4"/>
      <c r="B2" s="4" t="s">
        <v>23</v>
      </c>
      <c r="C2" s="4"/>
      <c r="D2" s="4"/>
      <c r="E2" s="4"/>
      <c r="F2" s="22"/>
      <c r="G2" s="23"/>
      <c r="H2" s="23"/>
      <c r="I2" s="4"/>
      <c r="J2" s="4"/>
      <c r="K2" s="4"/>
      <c r="L2" s="4"/>
      <c r="M2" s="4"/>
    </row>
    <row r="3" spans="1:24" ht="15.75" customHeight="1" x14ac:dyDescent="0.2">
      <c r="A3" s="4"/>
      <c r="B3" s="4" t="s">
        <v>59</v>
      </c>
      <c r="C3" s="4"/>
      <c r="D3" s="4"/>
      <c r="E3" s="4"/>
      <c r="F3" s="22"/>
      <c r="G3" s="23"/>
      <c r="H3" s="23"/>
      <c r="I3" s="4"/>
      <c r="J3" s="4"/>
      <c r="K3" s="4"/>
      <c r="L3" s="4"/>
      <c r="M3" s="4"/>
    </row>
    <row r="4" spans="1:24" ht="15.75" customHeight="1" x14ac:dyDescent="0.2">
      <c r="A4" s="4" t="s">
        <v>60</v>
      </c>
      <c r="B4" s="4">
        <v>10</v>
      </c>
      <c r="C4" s="4"/>
      <c r="D4" s="4"/>
      <c r="E4" s="4"/>
      <c r="F4" s="22"/>
      <c r="G4" s="23"/>
      <c r="H4" s="23"/>
      <c r="I4" s="4"/>
      <c r="J4" s="4"/>
      <c r="K4" s="4"/>
      <c r="L4" s="4"/>
      <c r="M4" s="4"/>
    </row>
    <row r="5" spans="1:24" ht="15.75" customHeight="1" x14ac:dyDescent="0.2">
      <c r="A5" s="4"/>
      <c r="B5" s="5" t="s">
        <v>62</v>
      </c>
      <c r="C5" s="4"/>
      <c r="D5" s="4"/>
      <c r="E5" s="4"/>
      <c r="F5" s="22"/>
      <c r="G5" s="23"/>
      <c r="H5" s="23"/>
      <c r="I5" s="4"/>
      <c r="J5" s="4"/>
      <c r="K5" s="4"/>
      <c r="L5" s="4"/>
      <c r="M5" s="4"/>
    </row>
    <row r="6" spans="1:24" ht="15.75" customHeight="1" x14ac:dyDescent="0.2">
      <c r="A6" s="4"/>
      <c r="B6" s="5"/>
      <c r="C6" s="6">
        <v>45463</v>
      </c>
      <c r="D6" s="8">
        <v>0.64583333333333337</v>
      </c>
      <c r="E6" s="4"/>
      <c r="F6" s="22"/>
      <c r="G6" s="23"/>
      <c r="H6" s="23"/>
      <c r="I6" s="4"/>
      <c r="J6" s="4">
        <v>8.5</v>
      </c>
      <c r="K6" s="4">
        <v>9</v>
      </c>
      <c r="L6" s="4"/>
      <c r="M6" s="4"/>
    </row>
    <row r="7" spans="1:24" ht="15.75" customHeight="1" x14ac:dyDescent="0.2">
      <c r="A7" s="4"/>
      <c r="B7" s="5"/>
      <c r="C7" s="6">
        <v>45463</v>
      </c>
      <c r="D7" s="8">
        <v>0.65277777777777779</v>
      </c>
      <c r="E7" s="4">
        <v>0.1</v>
      </c>
      <c r="F7" s="22">
        <v>10.38</v>
      </c>
      <c r="G7" s="23">
        <v>110.3</v>
      </c>
      <c r="H7" s="23">
        <v>18.2</v>
      </c>
      <c r="I7" s="4"/>
      <c r="J7" s="4"/>
      <c r="K7" s="4"/>
      <c r="L7" s="4"/>
      <c r="M7" s="4"/>
    </row>
    <row r="8" spans="1:24" ht="15.75" customHeight="1" x14ac:dyDescent="0.2">
      <c r="A8" s="4"/>
      <c r="B8" s="5"/>
      <c r="C8" s="6">
        <v>45463</v>
      </c>
      <c r="D8" s="8">
        <v>0.65277777777777779</v>
      </c>
      <c r="E8" s="4">
        <v>1</v>
      </c>
      <c r="F8" s="22">
        <v>10.5</v>
      </c>
      <c r="G8" s="23">
        <v>105.7</v>
      </c>
      <c r="H8" s="23">
        <v>15.8</v>
      </c>
      <c r="I8" s="4"/>
      <c r="J8" s="4"/>
      <c r="K8" s="4"/>
      <c r="L8" s="4"/>
      <c r="M8" s="4"/>
    </row>
    <row r="9" spans="1:24" ht="15.75" customHeight="1" x14ac:dyDescent="0.2">
      <c r="A9" s="4"/>
      <c r="B9" s="5"/>
      <c r="C9" s="6">
        <v>45463</v>
      </c>
      <c r="D9" s="8">
        <v>0.65277777777777779</v>
      </c>
      <c r="E9" s="4">
        <v>2</v>
      </c>
      <c r="F9" s="22">
        <v>10.54</v>
      </c>
      <c r="G9" s="23">
        <v>105.2</v>
      </c>
      <c r="H9" s="23">
        <v>15.3</v>
      </c>
      <c r="I9" s="4"/>
      <c r="J9" s="4"/>
      <c r="K9" s="4"/>
      <c r="L9" s="4"/>
      <c r="M9" s="4"/>
    </row>
    <row r="10" spans="1:24" ht="15.75" customHeight="1" x14ac:dyDescent="0.2">
      <c r="A10" s="4"/>
      <c r="B10" s="5"/>
      <c r="C10" s="6">
        <v>45463</v>
      </c>
      <c r="D10" s="8">
        <v>0.65277777777777779</v>
      </c>
      <c r="E10" s="4">
        <v>3</v>
      </c>
      <c r="F10" s="22">
        <v>10.61</v>
      </c>
      <c r="G10" s="23">
        <v>105.2</v>
      </c>
      <c r="H10" s="23">
        <v>15</v>
      </c>
      <c r="I10" s="4"/>
      <c r="J10" s="4"/>
      <c r="K10" s="4"/>
      <c r="L10" s="4"/>
      <c r="M10" s="4"/>
    </row>
    <row r="11" spans="1:24" ht="15.75" customHeight="1" x14ac:dyDescent="0.2">
      <c r="A11" s="4"/>
      <c r="B11" s="5"/>
      <c r="C11" s="6">
        <v>45463</v>
      </c>
      <c r="D11" s="8">
        <v>0.65277777777777779</v>
      </c>
      <c r="E11" s="4">
        <v>4</v>
      </c>
      <c r="F11" s="22">
        <v>10.61</v>
      </c>
      <c r="G11" s="23">
        <v>104.8</v>
      </c>
      <c r="H11" s="23">
        <v>14.8</v>
      </c>
      <c r="I11" s="4"/>
      <c r="J11" s="4"/>
      <c r="K11" s="4"/>
      <c r="L11" s="4"/>
      <c r="M11" s="4"/>
    </row>
    <row r="12" spans="1:24" ht="15.75" customHeight="1" x14ac:dyDescent="0.2">
      <c r="A12" s="4"/>
      <c r="B12" s="5"/>
      <c r="C12" s="6">
        <v>45463</v>
      </c>
      <c r="D12" s="8">
        <v>0.65277777777777779</v>
      </c>
      <c r="E12" s="4">
        <v>5</v>
      </c>
      <c r="F12" s="22">
        <v>10.62</v>
      </c>
      <c r="G12" s="23">
        <v>104.6</v>
      </c>
      <c r="H12" s="23">
        <v>14.7</v>
      </c>
      <c r="I12" s="4"/>
      <c r="J12" s="4"/>
      <c r="K12" s="4"/>
      <c r="L12" s="4"/>
      <c r="M12" s="4"/>
    </row>
    <row r="13" spans="1:24" ht="15.75" customHeight="1" x14ac:dyDescent="0.2">
      <c r="A13" s="4"/>
      <c r="B13" s="5"/>
      <c r="C13" s="6">
        <v>45463</v>
      </c>
      <c r="D13" s="8">
        <v>0.65277777777777779</v>
      </c>
      <c r="E13" s="4">
        <v>6</v>
      </c>
      <c r="F13" s="22">
        <v>10.62</v>
      </c>
      <c r="G13" s="23">
        <v>104.4</v>
      </c>
      <c r="H13" s="23">
        <v>14.6</v>
      </c>
      <c r="I13" s="4"/>
      <c r="J13" s="4"/>
      <c r="K13" s="4"/>
      <c r="L13" s="4"/>
      <c r="M13" s="4"/>
    </row>
    <row r="14" spans="1:24" ht="15.75" customHeight="1" x14ac:dyDescent="0.2">
      <c r="A14" s="4"/>
      <c r="B14" s="5"/>
      <c r="C14" s="6">
        <v>45463</v>
      </c>
      <c r="D14" s="8">
        <v>0.65277777777777779</v>
      </c>
      <c r="E14" s="4">
        <v>7</v>
      </c>
      <c r="F14" s="22">
        <v>10.61</v>
      </c>
      <c r="G14" s="23">
        <v>104.2</v>
      </c>
      <c r="H14" s="23">
        <v>14.5</v>
      </c>
      <c r="I14" s="4"/>
      <c r="J14" s="4"/>
      <c r="K14" s="4"/>
      <c r="L14" s="4"/>
      <c r="M14" s="4"/>
    </row>
    <row r="15" spans="1:24" ht="15.75" customHeight="1" x14ac:dyDescent="0.2">
      <c r="A15" s="4"/>
      <c r="B15" s="5"/>
      <c r="C15" s="6">
        <v>45463</v>
      </c>
      <c r="D15" s="8">
        <v>0.65277777777777779</v>
      </c>
      <c r="E15" s="4">
        <v>8</v>
      </c>
      <c r="F15" s="22">
        <v>10.61</v>
      </c>
      <c r="G15" s="23">
        <v>103.9</v>
      </c>
      <c r="H15" s="23">
        <v>14.4</v>
      </c>
      <c r="I15" s="4"/>
      <c r="J15" s="4"/>
      <c r="K15" s="4"/>
      <c r="L15" s="4"/>
      <c r="M15" s="4"/>
    </row>
    <row r="16" spans="1:24" ht="15.75" customHeight="1" x14ac:dyDescent="0.2">
      <c r="A16" s="4"/>
      <c r="B16" s="5"/>
      <c r="C16" s="6">
        <v>45463</v>
      </c>
      <c r="D16" s="8">
        <v>0.65277777777777779</v>
      </c>
      <c r="E16" s="4">
        <v>9</v>
      </c>
      <c r="F16" s="22">
        <v>10.64</v>
      </c>
      <c r="G16" s="23">
        <v>103.2</v>
      </c>
      <c r="H16" s="23">
        <v>13.9</v>
      </c>
      <c r="I16" s="4"/>
      <c r="J16" s="4"/>
      <c r="K16" s="4"/>
      <c r="L16" s="4"/>
      <c r="M16" s="4"/>
    </row>
    <row r="17" spans="1:13" ht="15.75" customHeight="1" x14ac:dyDescent="0.2">
      <c r="A17" s="4"/>
      <c r="B17" s="5"/>
      <c r="C17" s="6">
        <v>45463</v>
      </c>
      <c r="D17" s="8">
        <v>0.65277777777777779</v>
      </c>
      <c r="E17" s="4">
        <v>10</v>
      </c>
      <c r="F17" s="22">
        <v>10.76</v>
      </c>
      <c r="G17" s="23">
        <v>102.6</v>
      </c>
      <c r="H17" s="23">
        <v>13.2</v>
      </c>
      <c r="I17" s="4"/>
      <c r="J17" s="4"/>
      <c r="K17" s="4"/>
      <c r="L17" s="4"/>
      <c r="M17" s="4"/>
    </row>
    <row r="18" spans="1:13" ht="15.75" customHeight="1" x14ac:dyDescent="0.2">
      <c r="A18" s="4"/>
      <c r="B18" s="5"/>
      <c r="C18" s="6">
        <v>45463</v>
      </c>
      <c r="D18" s="8">
        <v>0.65277777777777779</v>
      </c>
      <c r="E18" s="4">
        <v>11</v>
      </c>
      <c r="F18" s="22">
        <v>10.89</v>
      </c>
      <c r="G18" s="23">
        <v>102.1</v>
      </c>
      <c r="H18" s="23">
        <v>12.8</v>
      </c>
      <c r="I18" s="4"/>
      <c r="J18" s="4"/>
      <c r="K18" s="4"/>
      <c r="L18" s="4"/>
      <c r="M18" s="4"/>
    </row>
    <row r="19" spans="1:13" ht="15.75" customHeight="1" x14ac:dyDescent="0.2">
      <c r="A19" s="4"/>
      <c r="B19" s="5"/>
      <c r="C19" s="4"/>
      <c r="D19" s="4"/>
      <c r="E19" s="4"/>
      <c r="F19" s="22"/>
      <c r="G19" s="23"/>
      <c r="H19" s="23"/>
      <c r="I19" s="4"/>
      <c r="J19" s="4"/>
      <c r="K19" s="4"/>
      <c r="L19" s="4"/>
      <c r="M19" s="4"/>
    </row>
    <row r="20" spans="1:13" ht="15.75" customHeight="1" x14ac:dyDescent="0.2">
      <c r="A20" s="4"/>
      <c r="B20" s="5"/>
      <c r="C20" s="6">
        <v>45496</v>
      </c>
      <c r="D20" s="8">
        <v>0.3611111111111111</v>
      </c>
      <c r="E20" s="4"/>
      <c r="F20" s="22"/>
      <c r="G20" s="23"/>
      <c r="H20" s="23"/>
      <c r="I20" s="4"/>
      <c r="J20" s="4">
        <v>9.5</v>
      </c>
      <c r="K20" s="4">
        <v>11</v>
      </c>
      <c r="L20" s="4"/>
      <c r="M20" s="4"/>
    </row>
    <row r="21" spans="1:13" ht="15.75" customHeight="1" x14ac:dyDescent="0.2">
      <c r="A21" s="4"/>
      <c r="B21" s="5"/>
      <c r="C21" s="6">
        <v>45496</v>
      </c>
      <c r="D21" s="8">
        <v>0.36458333333333331</v>
      </c>
      <c r="E21" s="4">
        <v>0.1</v>
      </c>
      <c r="F21" s="22">
        <v>8.6199999999999992</v>
      </c>
      <c r="G21" s="23">
        <v>104</v>
      </c>
      <c r="H21" s="23">
        <v>24.8</v>
      </c>
      <c r="I21" s="4"/>
      <c r="J21" s="4"/>
      <c r="K21" s="4"/>
      <c r="L21" s="4"/>
      <c r="M21" s="4"/>
    </row>
    <row r="22" spans="1:13" ht="15.75" customHeight="1" x14ac:dyDescent="0.2">
      <c r="A22" s="4"/>
      <c r="B22" s="5"/>
      <c r="C22" s="6">
        <v>45496</v>
      </c>
      <c r="D22" s="8">
        <v>0.36458333333333331</v>
      </c>
      <c r="E22" s="4">
        <v>1</v>
      </c>
      <c r="F22" s="22">
        <v>8.56</v>
      </c>
      <c r="G22" s="23">
        <v>103.4</v>
      </c>
      <c r="H22" s="23">
        <v>24.9</v>
      </c>
      <c r="I22" s="4"/>
      <c r="J22" s="4"/>
      <c r="K22" s="4"/>
      <c r="L22" s="4"/>
      <c r="M22" s="4"/>
    </row>
    <row r="23" spans="1:13" ht="15.75" customHeight="1" x14ac:dyDescent="0.2">
      <c r="A23" s="4"/>
      <c r="B23" s="5"/>
      <c r="C23" s="6">
        <v>45496</v>
      </c>
      <c r="D23" s="8">
        <v>0.36458333333333331</v>
      </c>
      <c r="E23" s="4">
        <v>2</v>
      </c>
      <c r="F23" s="22">
        <v>8.5399999999999991</v>
      </c>
      <c r="G23" s="23">
        <v>103.1</v>
      </c>
      <c r="H23" s="23">
        <v>24.9</v>
      </c>
      <c r="I23" s="4"/>
      <c r="J23" s="4"/>
      <c r="K23" s="4"/>
      <c r="L23" s="4"/>
      <c r="M23" s="4"/>
    </row>
    <row r="24" spans="1:13" ht="15.75" customHeight="1" x14ac:dyDescent="0.2">
      <c r="A24" s="4"/>
      <c r="B24" s="5"/>
      <c r="C24" s="6">
        <v>45496</v>
      </c>
      <c r="D24" s="8">
        <v>0.36458333333333331</v>
      </c>
      <c r="E24" s="4">
        <v>3</v>
      </c>
      <c r="F24" s="22">
        <v>8.52</v>
      </c>
      <c r="G24" s="23">
        <v>102.9</v>
      </c>
      <c r="H24" s="23">
        <v>24.9</v>
      </c>
      <c r="I24" s="4"/>
      <c r="J24" s="4"/>
      <c r="K24" s="4"/>
      <c r="L24" s="4"/>
      <c r="M24" s="4"/>
    </row>
    <row r="25" spans="1:13" ht="15.75" customHeight="1" x14ac:dyDescent="0.2">
      <c r="A25" s="4"/>
      <c r="B25" s="5"/>
      <c r="C25" s="6">
        <v>45496</v>
      </c>
      <c r="D25" s="8">
        <v>0.36458333333333331</v>
      </c>
      <c r="E25" s="4">
        <v>4</v>
      </c>
      <c r="F25" s="22">
        <v>9.75</v>
      </c>
      <c r="G25" s="23">
        <v>112.3</v>
      </c>
      <c r="H25" s="23">
        <v>22.3</v>
      </c>
      <c r="I25" s="4"/>
      <c r="J25" s="4"/>
      <c r="K25" s="4"/>
      <c r="L25" s="4"/>
      <c r="M25" s="4"/>
    </row>
    <row r="26" spans="1:13" ht="15.75" customHeight="1" x14ac:dyDescent="0.2">
      <c r="A26" s="4"/>
      <c r="B26" s="5"/>
      <c r="C26" s="6">
        <v>45496</v>
      </c>
      <c r="D26" s="8">
        <v>0.36458333333333331</v>
      </c>
      <c r="E26" s="4">
        <v>5</v>
      </c>
      <c r="F26" s="22">
        <v>10.4</v>
      </c>
      <c r="G26" s="23">
        <v>115.3</v>
      </c>
      <c r="H26" s="23">
        <v>20.5</v>
      </c>
      <c r="I26" s="4"/>
      <c r="J26" s="4"/>
      <c r="K26" s="4"/>
      <c r="L26" s="4"/>
      <c r="M26" s="4"/>
    </row>
    <row r="27" spans="1:13" ht="15.75" customHeight="1" x14ac:dyDescent="0.2">
      <c r="A27" s="4"/>
      <c r="B27" s="5"/>
      <c r="C27" s="6">
        <v>45496</v>
      </c>
      <c r="D27" s="8">
        <v>0.36458333333333331</v>
      </c>
      <c r="E27" s="4">
        <v>6</v>
      </c>
      <c r="F27" s="22">
        <v>10.66</v>
      </c>
      <c r="G27" s="23">
        <v>115.5</v>
      </c>
      <c r="H27" s="23">
        <v>19.399999999999999</v>
      </c>
      <c r="I27" s="4"/>
      <c r="J27" s="4"/>
      <c r="K27" s="4"/>
      <c r="L27" s="4"/>
      <c r="M27" s="4"/>
    </row>
    <row r="28" spans="1:13" ht="15.75" customHeight="1" x14ac:dyDescent="0.2">
      <c r="A28" s="4"/>
      <c r="B28" s="5"/>
      <c r="C28" s="6">
        <v>45496</v>
      </c>
      <c r="D28" s="8">
        <v>0.36458333333333331</v>
      </c>
      <c r="E28" s="4">
        <v>7</v>
      </c>
      <c r="F28" s="22">
        <v>10.81</v>
      </c>
      <c r="G28" s="23">
        <v>114.8</v>
      </c>
      <c r="H28" s="23">
        <v>18.3</v>
      </c>
      <c r="I28" s="4"/>
      <c r="J28" s="4"/>
      <c r="K28" s="4"/>
      <c r="L28" s="4"/>
      <c r="M28" s="4"/>
    </row>
    <row r="29" spans="1:13" ht="15.75" customHeight="1" x14ac:dyDescent="0.2">
      <c r="A29" s="4"/>
      <c r="B29" s="5"/>
      <c r="C29" s="6">
        <v>45496</v>
      </c>
      <c r="D29" s="8">
        <v>0.36458333333333331</v>
      </c>
      <c r="E29" s="4">
        <v>8</v>
      </c>
      <c r="F29" s="22">
        <v>10.84</v>
      </c>
      <c r="G29" s="23">
        <v>113.5</v>
      </c>
      <c r="H29" s="23">
        <v>17.8</v>
      </c>
      <c r="I29" s="4"/>
      <c r="J29" s="4"/>
      <c r="K29" s="4"/>
      <c r="L29" s="4"/>
      <c r="M29" s="4"/>
    </row>
    <row r="30" spans="1:13" ht="15.75" customHeight="1" x14ac:dyDescent="0.2">
      <c r="A30" s="4"/>
      <c r="B30" s="5"/>
      <c r="C30" s="6">
        <v>45496</v>
      </c>
      <c r="D30" s="8">
        <v>0.36458333333333331</v>
      </c>
      <c r="E30" s="4">
        <v>9</v>
      </c>
      <c r="F30" s="22">
        <v>10.93</v>
      </c>
      <c r="G30" s="23">
        <v>112.6</v>
      </c>
      <c r="H30" s="23">
        <v>16.8</v>
      </c>
      <c r="I30" s="4"/>
      <c r="J30" s="4"/>
      <c r="K30" s="4"/>
      <c r="L30" s="4"/>
      <c r="M30" s="4"/>
    </row>
    <row r="31" spans="1:13" ht="15.75" customHeight="1" x14ac:dyDescent="0.2">
      <c r="A31" s="4"/>
      <c r="B31" s="5"/>
      <c r="C31" s="6">
        <v>45496</v>
      </c>
      <c r="D31" s="8">
        <v>0.36458333333333331</v>
      </c>
      <c r="E31" s="4">
        <v>10</v>
      </c>
      <c r="F31" s="22">
        <v>10.9</v>
      </c>
      <c r="G31" s="23">
        <v>110.6</v>
      </c>
      <c r="H31" s="23">
        <v>16.100000000000001</v>
      </c>
      <c r="I31" s="4"/>
      <c r="J31" s="4"/>
      <c r="K31" s="4"/>
      <c r="L31" s="4"/>
      <c r="M31" s="4"/>
    </row>
    <row r="32" spans="1:13" ht="15.75" customHeight="1" x14ac:dyDescent="0.2">
      <c r="A32" s="4"/>
      <c r="B32" s="5"/>
      <c r="C32" s="4"/>
      <c r="D32" s="4"/>
      <c r="E32" s="4"/>
      <c r="F32" s="22"/>
      <c r="G32" s="23"/>
      <c r="H32" s="23"/>
      <c r="I32" s="4"/>
      <c r="J32" s="4"/>
      <c r="K32" s="4"/>
      <c r="L32" s="4"/>
      <c r="M32" s="4"/>
    </row>
    <row r="33" spans="1:13" ht="15.75" customHeight="1" x14ac:dyDescent="0.2">
      <c r="A33" s="4"/>
      <c r="B33" s="5"/>
      <c r="C33" s="6">
        <v>45524</v>
      </c>
      <c r="D33" s="8">
        <v>0.4861111111111111</v>
      </c>
      <c r="E33" s="4"/>
      <c r="F33" s="22"/>
      <c r="G33" s="23"/>
      <c r="H33" s="23"/>
      <c r="I33" s="4"/>
      <c r="J33" s="4">
        <v>9</v>
      </c>
      <c r="K33" s="4">
        <v>11</v>
      </c>
      <c r="L33" s="4"/>
      <c r="M33" s="4"/>
    </row>
    <row r="34" spans="1:13" ht="15.75" customHeight="1" x14ac:dyDescent="0.2">
      <c r="A34" s="4"/>
      <c r="B34" s="5"/>
      <c r="C34" s="6">
        <v>45524</v>
      </c>
      <c r="D34" s="8">
        <v>0.49305555555555558</v>
      </c>
      <c r="E34" s="4">
        <v>0.1</v>
      </c>
      <c r="F34" s="22">
        <v>9.06</v>
      </c>
      <c r="G34" s="23">
        <v>103.4</v>
      </c>
      <c r="H34" s="23">
        <v>21.9</v>
      </c>
      <c r="I34" s="4"/>
      <c r="J34" s="4"/>
      <c r="K34" s="4"/>
      <c r="L34" s="4"/>
      <c r="M34" s="4"/>
    </row>
    <row r="35" spans="1:13" ht="15.75" customHeight="1" x14ac:dyDescent="0.2">
      <c r="A35" s="4"/>
      <c r="B35" s="5"/>
      <c r="C35" s="6">
        <v>45524</v>
      </c>
      <c r="D35" s="8">
        <v>0.49305555555555558</v>
      </c>
      <c r="E35" s="4">
        <v>1</v>
      </c>
      <c r="F35" s="22">
        <v>9.0500000000000007</v>
      </c>
      <c r="G35" s="23">
        <v>103.3</v>
      </c>
      <c r="H35" s="23">
        <v>21.9</v>
      </c>
      <c r="I35" s="4"/>
      <c r="J35" s="4"/>
      <c r="K35" s="4"/>
      <c r="L35" s="4"/>
      <c r="M35" s="4"/>
    </row>
    <row r="36" spans="1:13" ht="15.75" customHeight="1" x14ac:dyDescent="0.2">
      <c r="A36" s="4"/>
      <c r="B36" s="5"/>
      <c r="C36" s="6">
        <v>45524</v>
      </c>
      <c r="D36" s="8">
        <v>0.49305555555555558</v>
      </c>
      <c r="E36" s="4">
        <v>2</v>
      </c>
      <c r="F36" s="22">
        <v>9.0299999999999994</v>
      </c>
      <c r="G36" s="23">
        <v>103.1</v>
      </c>
      <c r="H36" s="23">
        <v>21.9</v>
      </c>
      <c r="I36" s="4"/>
      <c r="J36" s="4"/>
      <c r="K36" s="4"/>
      <c r="L36" s="4"/>
      <c r="M36" s="4"/>
    </row>
    <row r="37" spans="1:13" ht="15.75" customHeight="1" x14ac:dyDescent="0.2">
      <c r="A37" s="4"/>
      <c r="B37" s="5"/>
      <c r="C37" s="6">
        <v>45524</v>
      </c>
      <c r="D37" s="8">
        <v>0.49305555555555558</v>
      </c>
      <c r="E37" s="4">
        <v>3</v>
      </c>
      <c r="F37" s="22">
        <v>9.02</v>
      </c>
      <c r="G37" s="23">
        <v>103</v>
      </c>
      <c r="H37" s="23">
        <v>21.9</v>
      </c>
      <c r="I37" s="4"/>
      <c r="J37" s="4"/>
      <c r="K37" s="4"/>
      <c r="L37" s="4"/>
      <c r="M37" s="4"/>
    </row>
    <row r="38" spans="1:13" ht="15.75" customHeight="1" x14ac:dyDescent="0.2">
      <c r="A38" s="4"/>
      <c r="B38" s="5"/>
      <c r="C38" s="6">
        <v>45524</v>
      </c>
      <c r="D38" s="8">
        <v>0.49305555555555558</v>
      </c>
      <c r="E38" s="4">
        <v>4</v>
      </c>
      <c r="F38" s="22">
        <v>9.02</v>
      </c>
      <c r="G38" s="23">
        <v>102</v>
      </c>
      <c r="H38" s="23">
        <v>21.8</v>
      </c>
      <c r="I38" s="4"/>
      <c r="J38" s="4"/>
      <c r="K38" s="4"/>
      <c r="L38" s="4"/>
      <c r="M38" s="4"/>
    </row>
    <row r="39" spans="1:13" ht="15.75" customHeight="1" x14ac:dyDescent="0.2">
      <c r="A39" s="4"/>
      <c r="B39" s="5"/>
      <c r="C39" s="6">
        <v>45524</v>
      </c>
      <c r="D39" s="8">
        <v>0.49305555555555558</v>
      </c>
      <c r="E39" s="4">
        <v>5</v>
      </c>
      <c r="F39" s="22">
        <v>9.01</v>
      </c>
      <c r="G39" s="23">
        <v>102.7</v>
      </c>
      <c r="H39" s="23">
        <v>21.8</v>
      </c>
      <c r="I39" s="4"/>
      <c r="J39" s="4"/>
      <c r="K39" s="4"/>
      <c r="L39" s="4"/>
      <c r="M39" s="4"/>
    </row>
    <row r="40" spans="1:13" ht="15.75" customHeight="1" x14ac:dyDescent="0.2">
      <c r="A40" s="4"/>
      <c r="B40" s="5"/>
      <c r="C40" s="6">
        <v>45524</v>
      </c>
      <c r="D40" s="8">
        <v>0.49305555555555558</v>
      </c>
      <c r="E40" s="4">
        <v>6</v>
      </c>
      <c r="F40" s="22">
        <v>9</v>
      </c>
      <c r="G40" s="23">
        <v>102.5</v>
      </c>
      <c r="H40" s="23">
        <v>21.9</v>
      </c>
      <c r="I40" s="4"/>
      <c r="J40" s="4"/>
      <c r="K40" s="4"/>
      <c r="L40" s="4"/>
      <c r="M40" s="4"/>
    </row>
    <row r="41" spans="1:13" ht="15.75" customHeight="1" x14ac:dyDescent="0.2">
      <c r="A41" s="4"/>
      <c r="B41" s="5"/>
      <c r="C41" s="6">
        <v>45524</v>
      </c>
      <c r="D41" s="8">
        <v>0.49305555555555558</v>
      </c>
      <c r="E41" s="4">
        <v>7</v>
      </c>
      <c r="F41" s="22">
        <v>8.99</v>
      </c>
      <c r="G41" s="23">
        <v>102.4</v>
      </c>
      <c r="H41" s="23">
        <v>21.8</v>
      </c>
      <c r="I41" s="4"/>
      <c r="J41" s="4"/>
      <c r="K41" s="4"/>
      <c r="L41" s="4"/>
      <c r="M41" s="4"/>
    </row>
    <row r="42" spans="1:13" ht="15.75" customHeight="1" x14ac:dyDescent="0.2">
      <c r="A42" s="4"/>
      <c r="B42" s="5"/>
      <c r="C42" s="6">
        <v>45524</v>
      </c>
      <c r="D42" s="8">
        <v>0.49305555555555558</v>
      </c>
      <c r="E42" s="4">
        <v>8</v>
      </c>
      <c r="F42" s="22">
        <v>8.99</v>
      </c>
      <c r="G42" s="23">
        <v>102.2</v>
      </c>
      <c r="H42" s="23">
        <v>21.7</v>
      </c>
      <c r="I42" s="4"/>
      <c r="J42" s="4"/>
      <c r="K42" s="4"/>
      <c r="L42" s="4"/>
      <c r="M42" s="4"/>
    </row>
    <row r="43" spans="1:13" ht="15.75" customHeight="1" x14ac:dyDescent="0.2">
      <c r="A43" s="4"/>
      <c r="B43" s="5"/>
      <c r="C43" s="6">
        <v>45524</v>
      </c>
      <c r="D43" s="8">
        <v>0.49305555555555558</v>
      </c>
      <c r="E43" s="4">
        <v>9</v>
      </c>
      <c r="F43" s="22">
        <v>8.9600000000000009</v>
      </c>
      <c r="G43" s="23">
        <v>101.8</v>
      </c>
      <c r="H43" s="23">
        <v>21.7</v>
      </c>
      <c r="I43" s="4"/>
      <c r="J43" s="4"/>
      <c r="K43" s="4"/>
      <c r="L43" s="4"/>
      <c r="M43" s="4"/>
    </row>
    <row r="44" spans="1:13" ht="15.75" customHeight="1" x14ac:dyDescent="0.2">
      <c r="A44" s="4"/>
      <c r="B44" s="5"/>
      <c r="C44" s="6">
        <v>45524</v>
      </c>
      <c r="D44" s="8">
        <v>0.49305555555555558</v>
      </c>
      <c r="E44" s="4">
        <v>10</v>
      </c>
      <c r="F44" s="22">
        <v>9.07</v>
      </c>
      <c r="G44" s="23">
        <v>110.1</v>
      </c>
      <c r="H44" s="23">
        <v>18.7</v>
      </c>
      <c r="I44" s="4"/>
      <c r="J44" s="4"/>
      <c r="K44" s="4"/>
      <c r="L44" s="4"/>
      <c r="M44" s="4"/>
    </row>
    <row r="45" spans="1:13" ht="15.75" customHeight="1" x14ac:dyDescent="0.2">
      <c r="A45" s="4"/>
      <c r="B45" s="5"/>
      <c r="C45" s="6">
        <v>45524</v>
      </c>
      <c r="D45" s="8">
        <v>0.49305555555555558</v>
      </c>
      <c r="E45" s="4">
        <v>11</v>
      </c>
      <c r="F45" s="22">
        <v>10.52</v>
      </c>
      <c r="G45" s="23">
        <v>109.9</v>
      </c>
      <c r="H45" s="23">
        <v>17.399999999999999</v>
      </c>
      <c r="I45" s="4"/>
      <c r="J45" s="4"/>
      <c r="K45" s="4"/>
      <c r="L45" s="4"/>
      <c r="M45" s="4"/>
    </row>
    <row r="46" spans="1:13" ht="15.75" customHeight="1" x14ac:dyDescent="0.2">
      <c r="A46" s="4"/>
      <c r="B46" s="5"/>
      <c r="C46" s="6"/>
      <c r="D46" s="8"/>
      <c r="E46" s="4"/>
      <c r="F46" s="22"/>
      <c r="G46" s="23"/>
      <c r="H46" s="23"/>
      <c r="I46" s="4"/>
      <c r="J46" s="4"/>
      <c r="K46" s="4"/>
      <c r="L46" s="4"/>
      <c r="M46" s="4"/>
    </row>
    <row r="47" spans="1:13" ht="15.75" customHeight="1" x14ac:dyDescent="0.2">
      <c r="A47" s="4"/>
      <c r="B47" s="5"/>
      <c r="C47" s="6">
        <v>45566</v>
      </c>
      <c r="D47" s="8">
        <v>0.59722222222222221</v>
      </c>
      <c r="E47" s="4"/>
      <c r="F47" s="22"/>
      <c r="G47" s="23"/>
      <c r="H47" s="23"/>
      <c r="I47" s="4"/>
      <c r="J47" s="4">
        <v>7.5</v>
      </c>
      <c r="K47" s="4">
        <v>10</v>
      </c>
      <c r="L47" s="4"/>
      <c r="M47" s="4"/>
    </row>
    <row r="48" spans="1:13" ht="15.75" customHeight="1" x14ac:dyDescent="0.2">
      <c r="A48" s="4"/>
      <c r="B48" s="5"/>
      <c r="C48" s="6">
        <v>45566</v>
      </c>
      <c r="D48" s="8">
        <v>0.60555555555555551</v>
      </c>
      <c r="E48" s="4">
        <v>0.1</v>
      </c>
      <c r="F48" s="22">
        <v>9.68</v>
      </c>
      <c r="G48" s="23">
        <v>100.8</v>
      </c>
      <c r="H48" s="23">
        <v>17.3</v>
      </c>
      <c r="I48" s="4"/>
      <c r="J48" s="4"/>
      <c r="K48" s="4"/>
      <c r="L48" s="4"/>
      <c r="M48" s="4"/>
    </row>
    <row r="49" spans="1:13" ht="15.75" customHeight="1" x14ac:dyDescent="0.2">
      <c r="A49" s="4"/>
      <c r="B49" s="5"/>
      <c r="C49" s="6">
        <v>45566</v>
      </c>
      <c r="D49" s="8">
        <v>0.60555555555555551</v>
      </c>
      <c r="E49" s="4">
        <v>1</v>
      </c>
      <c r="F49" s="22">
        <v>9.68</v>
      </c>
      <c r="G49" s="23">
        <v>100.8</v>
      </c>
      <c r="H49" s="23">
        <v>17.3</v>
      </c>
      <c r="I49" s="4"/>
      <c r="J49" s="4"/>
      <c r="K49" s="4"/>
      <c r="L49" s="4"/>
      <c r="M49" s="4"/>
    </row>
    <row r="50" spans="1:13" ht="15.75" customHeight="1" x14ac:dyDescent="0.2">
      <c r="A50" s="4"/>
      <c r="B50" s="5"/>
      <c r="C50" s="6">
        <v>45566</v>
      </c>
      <c r="D50" s="8">
        <v>0.60555555555555551</v>
      </c>
      <c r="E50" s="4">
        <v>2</v>
      </c>
      <c r="F50" s="22">
        <v>9.67</v>
      </c>
      <c r="G50" s="23">
        <v>100.7</v>
      </c>
      <c r="H50" s="23">
        <v>17.3</v>
      </c>
      <c r="I50" s="4"/>
      <c r="J50" s="4"/>
      <c r="K50" s="4"/>
      <c r="L50" s="4"/>
      <c r="M50" s="4"/>
    </row>
    <row r="51" spans="1:13" ht="15.75" customHeight="1" x14ac:dyDescent="0.2">
      <c r="A51" s="4"/>
      <c r="B51" s="5"/>
      <c r="C51" s="6">
        <v>45566</v>
      </c>
      <c r="D51" s="8">
        <v>0.60555555555555551</v>
      </c>
      <c r="E51" s="4">
        <v>3</v>
      </c>
      <c r="F51" s="22">
        <v>9.66</v>
      </c>
      <c r="G51" s="23">
        <v>100.6</v>
      </c>
      <c r="H51" s="23">
        <v>17.3</v>
      </c>
      <c r="I51" s="4"/>
      <c r="J51" s="4"/>
      <c r="K51" s="4"/>
      <c r="L51" s="4"/>
      <c r="M51" s="4"/>
    </row>
    <row r="52" spans="1:13" ht="15.75" customHeight="1" x14ac:dyDescent="0.2">
      <c r="A52" s="4"/>
      <c r="B52" s="5"/>
      <c r="C52" s="6">
        <v>45566</v>
      </c>
      <c r="D52" s="8">
        <v>0.60555555555555551</v>
      </c>
      <c r="E52" s="4">
        <v>4</v>
      </c>
      <c r="F52" s="22">
        <v>9.65</v>
      </c>
      <c r="G52" s="23">
        <v>100.2</v>
      </c>
      <c r="H52" s="23">
        <v>17.2</v>
      </c>
      <c r="I52" s="4"/>
      <c r="J52" s="4"/>
      <c r="K52" s="4"/>
      <c r="L52" s="4"/>
      <c r="M52" s="4"/>
    </row>
    <row r="53" spans="1:13" ht="15.75" customHeight="1" x14ac:dyDescent="0.2">
      <c r="A53" s="4"/>
      <c r="B53" s="5"/>
      <c r="C53" s="6">
        <v>45566</v>
      </c>
      <c r="D53" s="8">
        <v>0.60555555555555551</v>
      </c>
      <c r="E53" s="4">
        <v>5</v>
      </c>
      <c r="F53" s="22">
        <v>9.6300000000000008</v>
      </c>
      <c r="G53" s="23">
        <v>100</v>
      </c>
      <c r="H53" s="23">
        <v>17.2</v>
      </c>
      <c r="I53" s="4"/>
      <c r="J53" s="4"/>
      <c r="K53" s="4"/>
      <c r="L53" s="4"/>
      <c r="M53" s="4"/>
    </row>
    <row r="54" spans="1:13" ht="15.75" customHeight="1" x14ac:dyDescent="0.2">
      <c r="A54" s="4"/>
      <c r="B54" s="5"/>
      <c r="C54" s="6">
        <v>45566</v>
      </c>
      <c r="D54" s="8">
        <v>0.60555555555555551</v>
      </c>
      <c r="E54" s="4">
        <v>6</v>
      </c>
      <c r="F54" s="22">
        <v>9.6199999999999992</v>
      </c>
      <c r="G54" s="23">
        <v>99.7</v>
      </c>
      <c r="H54" s="23">
        <v>17.100000000000001</v>
      </c>
      <c r="I54" s="4"/>
      <c r="J54" s="4"/>
      <c r="K54" s="4"/>
      <c r="L54" s="4"/>
      <c r="M54" s="4"/>
    </row>
    <row r="55" spans="1:13" ht="15.75" customHeight="1" x14ac:dyDescent="0.2">
      <c r="A55" s="4"/>
      <c r="B55" s="5"/>
      <c r="C55" s="6">
        <v>45566</v>
      </c>
      <c r="D55" s="8">
        <v>0.60555555555555551</v>
      </c>
      <c r="E55" s="4">
        <v>7</v>
      </c>
      <c r="F55" s="22">
        <v>9.6</v>
      </c>
      <c r="G55" s="23">
        <v>99.5</v>
      </c>
      <c r="H55" s="23">
        <v>17.100000000000001</v>
      </c>
      <c r="I55" s="4"/>
      <c r="J55" s="4"/>
      <c r="K55" s="4"/>
      <c r="L55" s="4"/>
      <c r="M55" s="4"/>
    </row>
    <row r="56" spans="1:13" ht="15.75" customHeight="1" x14ac:dyDescent="0.2">
      <c r="A56" s="4"/>
      <c r="B56" s="5"/>
      <c r="C56" s="6">
        <v>45566</v>
      </c>
      <c r="D56" s="8">
        <v>0.60555555555555551</v>
      </c>
      <c r="E56" s="4">
        <v>8</v>
      </c>
      <c r="F56" s="22">
        <v>9.59</v>
      </c>
      <c r="G56" s="23">
        <v>99.4</v>
      </c>
      <c r="H56" s="23">
        <v>17.100000000000001</v>
      </c>
      <c r="I56" s="4"/>
      <c r="J56" s="4"/>
      <c r="K56" s="4"/>
      <c r="L56" s="4"/>
      <c r="M56" s="4"/>
    </row>
    <row r="57" spans="1:13" ht="15.75" customHeight="1" x14ac:dyDescent="0.2">
      <c r="A57" s="4"/>
      <c r="B57" s="5"/>
      <c r="C57" s="6">
        <v>45566</v>
      </c>
      <c r="D57" s="8">
        <v>0.60555555555555551</v>
      </c>
      <c r="E57" s="4">
        <v>9</v>
      </c>
      <c r="F57" s="22">
        <v>9.6</v>
      </c>
      <c r="G57" s="23">
        <v>99.7</v>
      </c>
      <c r="H57" s="23">
        <v>17.100000000000001</v>
      </c>
      <c r="I57" s="4"/>
      <c r="J57" s="4"/>
      <c r="K57" s="4"/>
      <c r="L57" s="4"/>
      <c r="M57" s="4"/>
    </row>
    <row r="58" spans="1:13" ht="15.75" customHeight="1" x14ac:dyDescent="0.2">
      <c r="A58" s="4"/>
      <c r="B58" s="5"/>
      <c r="C58" s="6">
        <v>45566</v>
      </c>
      <c r="D58" s="8">
        <v>0.60555555555555551</v>
      </c>
      <c r="E58" s="4">
        <v>10</v>
      </c>
      <c r="F58" s="22">
        <v>9.65</v>
      </c>
      <c r="G58" s="23">
        <v>100.4</v>
      </c>
      <c r="H58" s="23">
        <v>17.100000000000001</v>
      </c>
      <c r="I58" s="4"/>
      <c r="J58" s="4"/>
      <c r="K58" s="4"/>
      <c r="L58" s="4"/>
      <c r="M58" s="4"/>
    </row>
    <row r="59" spans="1:13" ht="15.75" customHeight="1" x14ac:dyDescent="0.2">
      <c r="A59" s="4"/>
      <c r="B59" s="5"/>
      <c r="C59" s="4"/>
      <c r="D59" s="4"/>
      <c r="E59" s="4"/>
      <c r="F59" s="22"/>
      <c r="G59" s="23"/>
      <c r="H59" s="23"/>
      <c r="I59" s="4"/>
      <c r="J59" s="4"/>
      <c r="K59" s="4"/>
      <c r="L59" s="4"/>
      <c r="M59" s="4"/>
    </row>
    <row r="60" spans="1:13" ht="15.75" customHeight="1" x14ac:dyDescent="0.2">
      <c r="A60" s="4"/>
      <c r="B60" s="5"/>
      <c r="C60" s="4"/>
      <c r="D60" s="4"/>
      <c r="E60" s="4"/>
      <c r="F60" s="22"/>
      <c r="G60" s="23"/>
      <c r="H60" s="23"/>
      <c r="I60" s="4"/>
      <c r="J60" s="4"/>
      <c r="K60" s="4"/>
      <c r="L60" s="4"/>
      <c r="M60" s="4"/>
    </row>
    <row r="61" spans="1:13" ht="15.75" customHeight="1" x14ac:dyDescent="0.2">
      <c r="A61" s="4"/>
      <c r="B61" s="5"/>
      <c r="C61" s="6">
        <v>44741</v>
      </c>
      <c r="D61" s="8">
        <v>0.59722222222222221</v>
      </c>
      <c r="E61" s="4"/>
      <c r="F61" s="22"/>
      <c r="G61" s="23"/>
      <c r="H61" s="23"/>
      <c r="I61" s="4"/>
      <c r="J61" s="4">
        <v>5.5</v>
      </c>
      <c r="K61" s="4">
        <v>6</v>
      </c>
      <c r="L61" s="4"/>
      <c r="M61" s="4"/>
    </row>
    <row r="62" spans="1:13" ht="15.75" customHeight="1" x14ac:dyDescent="0.2">
      <c r="A62" s="4"/>
      <c r="B62" s="5"/>
      <c r="C62" s="6">
        <v>44741</v>
      </c>
      <c r="D62" s="8">
        <v>0.60763888888888895</v>
      </c>
      <c r="E62" s="4">
        <v>0.1</v>
      </c>
      <c r="F62" s="190">
        <v>8.8699999999999992</v>
      </c>
      <c r="G62" s="23">
        <v>89.4</v>
      </c>
      <c r="H62" s="23">
        <v>15.7</v>
      </c>
      <c r="I62" s="4"/>
      <c r="J62" s="4"/>
      <c r="K62" s="4"/>
      <c r="L62" s="4"/>
      <c r="M62" s="4"/>
    </row>
    <row r="63" spans="1:13" ht="15.75" customHeight="1" x14ac:dyDescent="0.2">
      <c r="A63" s="4"/>
      <c r="B63" s="5"/>
      <c r="C63" s="6">
        <v>44741</v>
      </c>
      <c r="D63" s="8">
        <v>0.60763888888888895</v>
      </c>
      <c r="E63" s="4">
        <v>1</v>
      </c>
      <c r="F63" s="22">
        <v>8.89</v>
      </c>
      <c r="G63" s="23">
        <v>89.5</v>
      </c>
      <c r="H63" s="23">
        <v>15.7</v>
      </c>
      <c r="I63" s="4"/>
      <c r="J63" s="4"/>
      <c r="K63" s="4"/>
      <c r="L63" s="4"/>
      <c r="M63" s="4"/>
    </row>
    <row r="64" spans="1:13" ht="15.75" customHeight="1" x14ac:dyDescent="0.2">
      <c r="A64" s="4"/>
      <c r="B64" s="5"/>
      <c r="C64" s="6">
        <v>44741</v>
      </c>
      <c r="D64" s="8">
        <v>0.60763888888888895</v>
      </c>
      <c r="E64" s="4">
        <v>2</v>
      </c>
      <c r="F64" s="22">
        <v>8.9</v>
      </c>
      <c r="G64" s="23">
        <v>89.4</v>
      </c>
      <c r="H64" s="23">
        <v>15.6</v>
      </c>
      <c r="I64" s="4"/>
      <c r="J64" s="4"/>
      <c r="K64" s="4"/>
      <c r="L64" s="4"/>
      <c r="M64" s="4"/>
    </row>
    <row r="65" spans="1:13" ht="15.75" customHeight="1" x14ac:dyDescent="0.2">
      <c r="A65" s="4"/>
      <c r="B65" s="5"/>
      <c r="C65" s="6">
        <v>44741</v>
      </c>
      <c r="D65" s="8">
        <v>0.60763888888888895</v>
      </c>
      <c r="E65" s="4">
        <v>3</v>
      </c>
      <c r="F65" s="22">
        <v>8.91</v>
      </c>
      <c r="G65" s="23">
        <v>88.9</v>
      </c>
      <c r="H65" s="23">
        <v>15.3</v>
      </c>
      <c r="I65" s="4"/>
      <c r="J65" s="4"/>
      <c r="K65" s="4"/>
      <c r="L65" s="4"/>
      <c r="M65" s="4"/>
    </row>
    <row r="66" spans="1:13" ht="15.75" customHeight="1" x14ac:dyDescent="0.2">
      <c r="A66" s="4"/>
      <c r="B66" s="5"/>
      <c r="C66" s="6">
        <v>44741</v>
      </c>
      <c r="D66" s="8">
        <v>0.60763888888888895</v>
      </c>
      <c r="E66" s="4">
        <v>4</v>
      </c>
      <c r="F66" s="22">
        <v>8.92</v>
      </c>
      <c r="G66" s="23">
        <v>88.7</v>
      </c>
      <c r="H66" s="23">
        <v>15.1</v>
      </c>
      <c r="I66" s="4"/>
      <c r="J66" s="4"/>
      <c r="K66" s="4"/>
      <c r="L66" s="4"/>
      <c r="M66" s="4"/>
    </row>
    <row r="67" spans="1:13" ht="15.75" customHeight="1" x14ac:dyDescent="0.2">
      <c r="A67" s="4"/>
      <c r="B67" s="5"/>
      <c r="C67" s="6">
        <v>44741</v>
      </c>
      <c r="D67" s="8">
        <v>0.60763888888888895</v>
      </c>
      <c r="E67" s="4">
        <v>5</v>
      </c>
      <c r="F67" s="22">
        <v>8.91</v>
      </c>
      <c r="G67" s="23">
        <v>88.1</v>
      </c>
      <c r="H67" s="23">
        <v>14.9</v>
      </c>
      <c r="I67" s="4"/>
      <c r="J67" s="4"/>
      <c r="K67" s="4"/>
      <c r="L67" s="4"/>
      <c r="M67" s="4"/>
    </row>
    <row r="68" spans="1:13" ht="15.75" customHeight="1" x14ac:dyDescent="0.2">
      <c r="A68" s="4"/>
      <c r="B68" s="5"/>
      <c r="C68" s="6">
        <v>44741</v>
      </c>
      <c r="D68" s="8">
        <v>0.60763888888888895</v>
      </c>
      <c r="E68" s="4">
        <v>6</v>
      </c>
      <c r="F68" s="22">
        <v>8.89</v>
      </c>
      <c r="G68" s="23">
        <v>87.8</v>
      </c>
      <c r="H68" s="23">
        <v>14.8</v>
      </c>
      <c r="I68" s="4"/>
      <c r="J68" s="4"/>
      <c r="K68" s="4"/>
      <c r="L68" s="4"/>
      <c r="M68" s="4"/>
    </row>
    <row r="69" spans="1:13" ht="15.75" customHeight="1" x14ac:dyDescent="0.2">
      <c r="A69" s="4"/>
      <c r="B69" s="5"/>
      <c r="C69" s="6">
        <v>44741</v>
      </c>
      <c r="D69" s="8">
        <v>0.60763888888888895</v>
      </c>
      <c r="E69" s="4">
        <v>7</v>
      </c>
      <c r="F69" s="22">
        <v>8.89</v>
      </c>
      <c r="G69" s="23">
        <v>87.8</v>
      </c>
      <c r="H69" s="23">
        <v>14.8</v>
      </c>
      <c r="I69" s="4"/>
      <c r="J69" s="4"/>
      <c r="K69" s="4"/>
      <c r="L69" s="4"/>
      <c r="M69" s="4"/>
    </row>
    <row r="70" spans="1:13" ht="15.75" customHeight="1" x14ac:dyDescent="0.2">
      <c r="A70" s="4"/>
      <c r="B70" s="5"/>
      <c r="C70" s="6">
        <v>44741</v>
      </c>
      <c r="D70" s="8">
        <v>0.60763888888888895</v>
      </c>
      <c r="E70" s="4">
        <v>8</v>
      </c>
      <c r="F70" s="22">
        <v>8.9</v>
      </c>
      <c r="G70" s="23">
        <v>87.8</v>
      </c>
      <c r="H70" s="23">
        <v>14.8</v>
      </c>
      <c r="I70" s="4"/>
      <c r="J70" s="4"/>
      <c r="K70" s="4"/>
      <c r="L70" s="4"/>
      <c r="M70" s="4"/>
    </row>
    <row r="71" spans="1:13" ht="15.75" customHeight="1" x14ac:dyDescent="0.2">
      <c r="A71" s="4"/>
      <c r="B71" s="5"/>
      <c r="C71" s="6">
        <v>44741</v>
      </c>
      <c r="D71" s="8">
        <v>0.60763888888888895</v>
      </c>
      <c r="E71" s="4">
        <v>9</v>
      </c>
      <c r="F71" s="22">
        <v>8.9</v>
      </c>
      <c r="G71" s="23">
        <v>87.7</v>
      </c>
      <c r="H71" s="23">
        <v>14.7</v>
      </c>
      <c r="I71" s="4"/>
      <c r="J71" s="4"/>
      <c r="K71" s="4"/>
      <c r="L71" s="4"/>
      <c r="M71" s="4"/>
    </row>
    <row r="72" spans="1:13" ht="15.75" customHeight="1" x14ac:dyDescent="0.2">
      <c r="A72" s="4"/>
      <c r="B72" s="5"/>
      <c r="C72" s="6">
        <v>44741</v>
      </c>
      <c r="D72" s="8">
        <v>0.60763888888888895</v>
      </c>
      <c r="E72" s="4">
        <v>10</v>
      </c>
      <c r="F72" s="22">
        <v>8.9</v>
      </c>
      <c r="G72" s="23">
        <v>87.6</v>
      </c>
      <c r="H72" s="23">
        <v>14.7</v>
      </c>
      <c r="I72" s="4"/>
      <c r="J72" s="4"/>
      <c r="K72" s="4"/>
      <c r="L72" s="4"/>
      <c r="M72" s="4"/>
    </row>
    <row r="73" spans="1:13" ht="15.75" customHeight="1" x14ac:dyDescent="0.2">
      <c r="A73" s="4"/>
      <c r="B73" s="5"/>
      <c r="C73" s="6">
        <v>44741</v>
      </c>
      <c r="D73" s="8">
        <v>0.60763888888888895</v>
      </c>
      <c r="E73" s="4">
        <v>11</v>
      </c>
      <c r="F73" s="22">
        <v>8.8699999999999992</v>
      </c>
      <c r="G73" s="23">
        <v>86.5</v>
      </c>
      <c r="H73" s="23">
        <v>14.3</v>
      </c>
      <c r="I73" s="4"/>
      <c r="J73" s="4"/>
      <c r="K73" s="4"/>
      <c r="L73" s="4"/>
      <c r="M73" s="4"/>
    </row>
    <row r="74" spans="1:13" ht="15.75" customHeight="1" x14ac:dyDescent="0.2">
      <c r="A74" s="4"/>
      <c r="B74" s="5"/>
      <c r="C74" s="4"/>
      <c r="D74" s="4"/>
      <c r="E74" s="4"/>
      <c r="F74" s="22"/>
      <c r="G74" s="23"/>
      <c r="H74" s="23"/>
      <c r="I74" s="4"/>
      <c r="J74" s="4"/>
      <c r="K74" s="4"/>
      <c r="L74" s="4"/>
      <c r="M74" s="4"/>
    </row>
    <row r="75" spans="1:13" ht="15.75" customHeight="1" x14ac:dyDescent="0.2">
      <c r="A75" s="4"/>
      <c r="B75" s="5"/>
      <c r="C75" s="6">
        <v>44769</v>
      </c>
      <c r="D75" s="8">
        <v>0.59375</v>
      </c>
      <c r="E75" s="4"/>
      <c r="F75" s="22"/>
      <c r="G75" s="23"/>
      <c r="H75" s="23"/>
      <c r="I75" s="4"/>
      <c r="J75" s="4">
        <v>6.75</v>
      </c>
      <c r="K75" s="4">
        <v>8.5</v>
      </c>
      <c r="L75" s="4"/>
      <c r="M75" s="4"/>
    </row>
    <row r="76" spans="1:13" ht="15.75" customHeight="1" x14ac:dyDescent="0.2">
      <c r="A76" s="4"/>
      <c r="B76" s="5"/>
      <c r="C76" s="6">
        <v>44769</v>
      </c>
      <c r="D76" s="8">
        <v>0.59375</v>
      </c>
      <c r="E76" s="4">
        <v>0.1</v>
      </c>
      <c r="F76" s="22">
        <v>7.03</v>
      </c>
      <c r="G76" s="23">
        <v>86.7</v>
      </c>
      <c r="H76" s="23">
        <v>24.3</v>
      </c>
      <c r="I76" s="4"/>
      <c r="J76" s="4"/>
      <c r="K76" s="4"/>
      <c r="L76" s="4"/>
      <c r="M76" s="4"/>
    </row>
    <row r="77" spans="1:13" ht="15.75" customHeight="1" x14ac:dyDescent="0.2">
      <c r="A77" s="4"/>
      <c r="B77" s="5"/>
      <c r="C77" s="6">
        <v>44769</v>
      </c>
      <c r="D77" s="8">
        <v>0.59375</v>
      </c>
      <c r="E77" s="4">
        <v>1</v>
      </c>
      <c r="F77" s="22">
        <v>7.24</v>
      </c>
      <c r="G77" s="23">
        <v>86.3</v>
      </c>
      <c r="H77" s="23">
        <v>24.2</v>
      </c>
      <c r="I77" s="4"/>
      <c r="J77" s="4"/>
      <c r="K77" s="4"/>
      <c r="L77" s="4"/>
      <c r="M77" s="4"/>
    </row>
    <row r="78" spans="1:13" ht="15.75" customHeight="1" x14ac:dyDescent="0.2">
      <c r="A78" s="4"/>
      <c r="B78" s="5"/>
      <c r="C78" s="6">
        <v>44769</v>
      </c>
      <c r="D78" s="8">
        <v>0.59375</v>
      </c>
      <c r="E78" s="4">
        <v>2</v>
      </c>
      <c r="F78" s="22">
        <v>7.27</v>
      </c>
      <c r="G78" s="23">
        <v>86</v>
      </c>
      <c r="H78" s="23">
        <v>23.9</v>
      </c>
      <c r="I78" s="4"/>
      <c r="J78" s="4"/>
      <c r="K78" s="4"/>
      <c r="L78" s="4"/>
      <c r="M78" s="4"/>
    </row>
    <row r="79" spans="1:13" ht="15.75" customHeight="1" x14ac:dyDescent="0.2">
      <c r="A79" s="4"/>
      <c r="B79" s="5"/>
      <c r="C79" s="6">
        <v>44769</v>
      </c>
      <c r="D79" s="8">
        <v>0.59375</v>
      </c>
      <c r="E79" s="4">
        <v>3</v>
      </c>
      <c r="F79" s="22">
        <v>7.26</v>
      </c>
      <c r="G79" s="23">
        <v>85.2</v>
      </c>
      <c r="H79" s="23">
        <v>23.4</v>
      </c>
      <c r="I79" s="4"/>
      <c r="J79" s="4"/>
      <c r="K79" s="4"/>
      <c r="L79" s="4"/>
      <c r="M79" s="4"/>
    </row>
    <row r="80" spans="1:13" ht="15.75" customHeight="1" x14ac:dyDescent="0.2">
      <c r="A80" s="4"/>
      <c r="B80" s="5"/>
      <c r="C80" s="6">
        <v>44769</v>
      </c>
      <c r="D80" s="8">
        <v>0.59375</v>
      </c>
      <c r="E80" s="4">
        <v>4</v>
      </c>
      <c r="F80" s="22">
        <v>7.27</v>
      </c>
      <c r="G80" s="23">
        <v>84.9</v>
      </c>
      <c r="H80" s="23">
        <v>23.1</v>
      </c>
      <c r="I80" s="4"/>
      <c r="J80" s="4"/>
      <c r="K80" s="4"/>
      <c r="L80" s="4"/>
      <c r="M80" s="4"/>
    </row>
    <row r="81" spans="1:13" ht="15.75" customHeight="1" x14ac:dyDescent="0.2">
      <c r="A81" s="4"/>
      <c r="B81" s="5"/>
      <c r="C81" s="6">
        <v>44769</v>
      </c>
      <c r="D81" s="8">
        <v>0.59375</v>
      </c>
      <c r="E81" s="4">
        <v>5</v>
      </c>
      <c r="F81" s="22">
        <v>7.27</v>
      </c>
      <c r="G81" s="23">
        <v>84.6</v>
      </c>
      <c r="H81" s="23">
        <v>22.9</v>
      </c>
      <c r="I81" s="4"/>
      <c r="J81" s="4"/>
      <c r="K81" s="4"/>
      <c r="L81" s="4"/>
      <c r="M81" s="4"/>
    </row>
    <row r="82" spans="1:13" ht="15.75" customHeight="1" x14ac:dyDescent="0.2">
      <c r="A82" s="4"/>
      <c r="B82" s="5"/>
      <c r="C82" s="6">
        <v>44769</v>
      </c>
      <c r="D82" s="8">
        <v>0.59375</v>
      </c>
      <c r="E82" s="4">
        <v>6</v>
      </c>
      <c r="F82" s="22">
        <v>7.29</v>
      </c>
      <c r="G82" s="23">
        <v>84.5</v>
      </c>
      <c r="H82" s="23">
        <v>22.7</v>
      </c>
      <c r="I82" s="4"/>
      <c r="J82" s="4"/>
      <c r="K82" s="4"/>
      <c r="L82" s="4"/>
      <c r="M82" s="4"/>
    </row>
    <row r="83" spans="1:13" ht="15.75" customHeight="1" x14ac:dyDescent="0.2">
      <c r="A83" s="4"/>
      <c r="B83" s="5"/>
      <c r="C83" s="6">
        <v>44769</v>
      </c>
      <c r="D83" s="8">
        <v>0.59375</v>
      </c>
      <c r="E83" s="4">
        <v>7</v>
      </c>
      <c r="F83" s="22">
        <v>7.72</v>
      </c>
      <c r="G83" s="23">
        <v>85.7</v>
      </c>
      <c r="H83" s="23">
        <v>20.3</v>
      </c>
      <c r="I83" s="4"/>
      <c r="J83" s="4"/>
      <c r="K83" s="4"/>
      <c r="L83" s="4"/>
      <c r="M83" s="4"/>
    </row>
    <row r="84" spans="1:13" ht="15.75" customHeight="1" x14ac:dyDescent="0.2">
      <c r="A84" s="4"/>
      <c r="B84" s="5"/>
      <c r="C84" s="6">
        <v>44769</v>
      </c>
      <c r="D84" s="8">
        <v>0.59375</v>
      </c>
      <c r="E84" s="4">
        <v>8</v>
      </c>
      <c r="F84" s="22">
        <v>8.35</v>
      </c>
      <c r="G84" s="23">
        <v>86.4</v>
      </c>
      <c r="H84" s="23">
        <v>17</v>
      </c>
      <c r="I84" s="4"/>
      <c r="J84" s="4"/>
      <c r="K84" s="4"/>
      <c r="L84" s="4"/>
      <c r="M84" s="4"/>
    </row>
    <row r="85" spans="1:13" ht="15.75" customHeight="1" x14ac:dyDescent="0.2">
      <c r="A85" s="4"/>
      <c r="B85" s="5"/>
      <c r="C85" s="6">
        <v>44769</v>
      </c>
      <c r="D85" s="8">
        <v>0.59375</v>
      </c>
      <c r="E85" s="4">
        <v>9</v>
      </c>
      <c r="F85" s="22">
        <v>8.84</v>
      </c>
      <c r="G85" s="23">
        <v>88.3</v>
      </c>
      <c r="H85" s="23">
        <v>15.3</v>
      </c>
      <c r="I85" s="4"/>
      <c r="J85" s="4"/>
      <c r="K85" s="4"/>
      <c r="L85" s="4"/>
      <c r="M85" s="4"/>
    </row>
    <row r="86" spans="1:13" ht="15.75" customHeight="1" x14ac:dyDescent="0.2">
      <c r="A86" s="4"/>
      <c r="B86" s="5"/>
      <c r="C86" s="4"/>
      <c r="D86" s="4"/>
      <c r="E86" s="4"/>
      <c r="F86" s="22"/>
      <c r="G86" s="23"/>
      <c r="H86" s="23"/>
      <c r="I86" s="4"/>
      <c r="J86" s="4"/>
      <c r="K86" s="4"/>
      <c r="L86" s="4"/>
      <c r="M86" s="4"/>
    </row>
    <row r="87" spans="1:13" ht="15.75" customHeight="1" x14ac:dyDescent="0.2">
      <c r="A87" s="4"/>
      <c r="B87" s="5"/>
      <c r="C87" s="6">
        <v>44796</v>
      </c>
      <c r="D87" s="8">
        <v>0.5708333333333333</v>
      </c>
      <c r="E87" s="4"/>
      <c r="F87" s="22"/>
      <c r="G87" s="23"/>
      <c r="H87" s="23"/>
      <c r="I87" s="4"/>
      <c r="J87" s="4">
        <v>8.5</v>
      </c>
      <c r="K87" s="4">
        <v>11</v>
      </c>
      <c r="L87" s="4"/>
      <c r="M87" s="4"/>
    </row>
    <row r="88" spans="1:13" ht="15.75" customHeight="1" x14ac:dyDescent="0.2">
      <c r="A88" s="4"/>
      <c r="B88" s="5"/>
      <c r="C88" s="6">
        <v>44796</v>
      </c>
      <c r="D88" s="8">
        <v>0.5708333333333333</v>
      </c>
      <c r="E88" s="4">
        <v>0.1</v>
      </c>
      <c r="F88" s="22">
        <v>7.31</v>
      </c>
      <c r="G88" s="23">
        <v>86.4</v>
      </c>
      <c r="H88" s="23">
        <v>23.8</v>
      </c>
      <c r="I88" s="4"/>
      <c r="J88" s="4"/>
      <c r="K88" s="4"/>
      <c r="L88" s="4"/>
      <c r="M88" s="4"/>
    </row>
    <row r="89" spans="1:13" ht="15.75" customHeight="1" x14ac:dyDescent="0.2">
      <c r="A89" s="4"/>
      <c r="B89" s="5"/>
      <c r="C89" s="6">
        <v>44796</v>
      </c>
      <c r="D89" s="8">
        <v>0.5708333333333333</v>
      </c>
      <c r="E89" s="4">
        <v>1</v>
      </c>
      <c r="F89" s="22">
        <v>7.25</v>
      </c>
      <c r="G89" s="23">
        <v>85.8</v>
      </c>
      <c r="H89" s="23">
        <v>23.8</v>
      </c>
      <c r="I89" s="4"/>
      <c r="J89" s="4"/>
      <c r="K89" s="4"/>
      <c r="L89" s="4"/>
      <c r="M89" s="4"/>
    </row>
    <row r="90" spans="1:13" ht="15.75" customHeight="1" x14ac:dyDescent="0.2">
      <c r="A90" s="4"/>
      <c r="B90" s="5"/>
      <c r="C90" s="6">
        <v>44796</v>
      </c>
      <c r="D90" s="8">
        <v>0.5708333333333333</v>
      </c>
      <c r="E90" s="4">
        <v>2</v>
      </c>
      <c r="F90" s="22">
        <v>7.22</v>
      </c>
      <c r="G90" s="23">
        <v>85.3</v>
      </c>
      <c r="H90" s="23">
        <v>23.7</v>
      </c>
      <c r="I90" s="4"/>
      <c r="J90" s="4"/>
      <c r="K90" s="4"/>
      <c r="L90" s="4"/>
      <c r="M90" s="4"/>
    </row>
    <row r="91" spans="1:13" ht="15.75" customHeight="1" x14ac:dyDescent="0.2">
      <c r="A91" s="4"/>
      <c r="B91" s="5"/>
      <c r="C91" s="6">
        <v>44796</v>
      </c>
      <c r="D91" s="8">
        <v>0.5708333333333333</v>
      </c>
      <c r="E91" s="4">
        <v>3</v>
      </c>
      <c r="F91" s="22">
        <v>7.2</v>
      </c>
      <c r="G91" s="23">
        <v>85</v>
      </c>
      <c r="H91" s="23">
        <v>23.7</v>
      </c>
      <c r="I91" s="4"/>
      <c r="J91" s="4"/>
      <c r="K91" s="4"/>
      <c r="L91" s="4"/>
      <c r="M91" s="4"/>
    </row>
    <row r="92" spans="1:13" ht="15.75" customHeight="1" x14ac:dyDescent="0.2">
      <c r="A92" s="4"/>
      <c r="B92" s="5"/>
      <c r="C92" s="6">
        <v>44796</v>
      </c>
      <c r="D92" s="8">
        <v>0.5708333333333333</v>
      </c>
      <c r="E92" s="4">
        <v>4</v>
      </c>
      <c r="F92" s="22">
        <v>7.19</v>
      </c>
      <c r="G92" s="23">
        <v>84.8</v>
      </c>
      <c r="H92" s="23">
        <v>23.6</v>
      </c>
      <c r="I92" s="4"/>
      <c r="J92" s="4"/>
      <c r="K92" s="4"/>
      <c r="L92" s="4"/>
      <c r="M92" s="4"/>
    </row>
    <row r="93" spans="1:13" ht="15.75" customHeight="1" x14ac:dyDescent="0.2">
      <c r="A93" s="4"/>
      <c r="B93" s="5"/>
      <c r="C93" s="6">
        <v>44796</v>
      </c>
      <c r="D93" s="8">
        <v>0.5708333333333333</v>
      </c>
      <c r="E93" s="4">
        <v>5</v>
      </c>
      <c r="F93" s="22">
        <v>7.19</v>
      </c>
      <c r="G93" s="23">
        <v>84.7</v>
      </c>
      <c r="H93" s="23">
        <v>23.5</v>
      </c>
      <c r="I93" s="4"/>
      <c r="J93" s="4"/>
      <c r="K93" s="4"/>
      <c r="L93" s="4"/>
      <c r="M93" s="4"/>
    </row>
    <row r="94" spans="1:13" ht="15.75" customHeight="1" x14ac:dyDescent="0.2">
      <c r="A94" s="4"/>
      <c r="B94" s="5"/>
      <c r="C94" s="6">
        <v>44796</v>
      </c>
      <c r="D94" s="8">
        <v>0.5708333333333333</v>
      </c>
      <c r="E94" s="4">
        <v>6</v>
      </c>
      <c r="F94" s="22">
        <v>7.18</v>
      </c>
      <c r="G94" s="23">
        <v>84.3</v>
      </c>
      <c r="H94" s="23">
        <v>23.4</v>
      </c>
      <c r="I94" s="4"/>
      <c r="J94" s="4"/>
      <c r="K94" s="4"/>
      <c r="L94" s="4"/>
      <c r="M94" s="4"/>
    </row>
    <row r="95" spans="1:13" ht="15.75" customHeight="1" x14ac:dyDescent="0.2">
      <c r="A95" s="4"/>
      <c r="B95" s="5"/>
      <c r="C95" s="6">
        <v>44796</v>
      </c>
      <c r="D95" s="8">
        <v>0.5708333333333333</v>
      </c>
      <c r="E95" s="4">
        <v>7</v>
      </c>
      <c r="F95" s="22">
        <v>7.2</v>
      </c>
      <c r="G95" s="23">
        <v>84.1</v>
      </c>
      <c r="H95" s="23">
        <v>23</v>
      </c>
      <c r="I95" s="4"/>
      <c r="J95" s="4"/>
      <c r="K95" s="4"/>
      <c r="L95" s="4"/>
      <c r="M95" s="4"/>
    </row>
    <row r="96" spans="1:13" ht="15.75" customHeight="1" x14ac:dyDescent="0.2">
      <c r="A96" s="4"/>
      <c r="B96" s="5"/>
      <c r="C96" s="6">
        <v>44796</v>
      </c>
      <c r="D96" s="8">
        <v>0.5708333333333333</v>
      </c>
      <c r="E96" s="4">
        <v>8</v>
      </c>
      <c r="F96" s="22">
        <v>8.14</v>
      </c>
      <c r="G96" s="23">
        <v>88.4</v>
      </c>
      <c r="H96" s="23">
        <v>18.7</v>
      </c>
      <c r="I96" s="4"/>
      <c r="J96" s="4"/>
      <c r="K96" s="4"/>
      <c r="L96" s="4"/>
      <c r="M96" s="4"/>
    </row>
    <row r="97" spans="1:13" ht="15.75" customHeight="1" x14ac:dyDescent="0.2">
      <c r="A97" s="4"/>
      <c r="B97" s="5"/>
      <c r="C97" s="6">
        <v>44796</v>
      </c>
      <c r="D97" s="8">
        <v>0.5708333333333333</v>
      </c>
      <c r="E97" s="4">
        <v>9</v>
      </c>
      <c r="F97" s="22">
        <v>8.65</v>
      </c>
      <c r="G97" s="23">
        <v>86.7</v>
      </c>
      <c r="H97" s="23">
        <v>15.3</v>
      </c>
      <c r="I97" s="4"/>
      <c r="J97" s="4"/>
      <c r="K97" s="4"/>
      <c r="L97" s="4"/>
      <c r="M97" s="4"/>
    </row>
    <row r="98" spans="1:13" ht="15.75" customHeight="1" x14ac:dyDescent="0.2">
      <c r="A98" s="4"/>
      <c r="B98" s="5"/>
      <c r="C98" s="6">
        <v>44796</v>
      </c>
      <c r="D98" s="8">
        <v>0.5708333333333333</v>
      </c>
      <c r="E98" s="4">
        <v>10</v>
      </c>
      <c r="F98" s="22">
        <v>8.89</v>
      </c>
      <c r="G98" s="23">
        <v>87.5</v>
      </c>
      <c r="H98" s="23">
        <v>14.6</v>
      </c>
      <c r="I98" s="4"/>
      <c r="J98" s="4"/>
      <c r="K98" s="4"/>
      <c r="L98" s="4"/>
      <c r="M98" s="4"/>
    </row>
    <row r="99" spans="1:13" ht="15.75" customHeight="1" x14ac:dyDescent="0.2">
      <c r="A99" s="4"/>
      <c r="B99" s="5"/>
      <c r="C99" s="6">
        <v>44796</v>
      </c>
      <c r="D99" s="8">
        <v>0.5708333333333333</v>
      </c>
      <c r="E99" s="4">
        <v>11</v>
      </c>
      <c r="F99" s="22">
        <v>8.9600000000000009</v>
      </c>
      <c r="G99" s="23">
        <v>88</v>
      </c>
      <c r="H99" s="23">
        <v>14.5</v>
      </c>
      <c r="I99" s="4"/>
      <c r="J99" s="4"/>
      <c r="K99" s="4"/>
      <c r="L99" s="4"/>
      <c r="M99" s="4"/>
    </row>
    <row r="100" spans="1:13" ht="15.75" customHeight="1" x14ac:dyDescent="0.2">
      <c r="A100" s="4"/>
      <c r="B100" s="5"/>
      <c r="C100" s="4"/>
      <c r="D100" s="4"/>
      <c r="E100" s="4"/>
      <c r="F100" s="22"/>
      <c r="G100" s="23"/>
      <c r="H100" s="23"/>
      <c r="I100" s="4"/>
      <c r="J100" s="4"/>
      <c r="K100" s="4"/>
      <c r="L100" s="4"/>
      <c r="M100" s="4"/>
    </row>
    <row r="101" spans="1:13" ht="15.75" customHeight="1" x14ac:dyDescent="0.2">
      <c r="A101" s="4"/>
      <c r="B101" s="5"/>
      <c r="C101" s="6">
        <v>44823</v>
      </c>
      <c r="D101" s="8">
        <v>0.48958333333333331</v>
      </c>
      <c r="E101" s="4"/>
      <c r="F101" s="22"/>
      <c r="G101" s="23"/>
      <c r="H101" s="23"/>
      <c r="I101" s="4"/>
      <c r="J101" s="4">
        <v>9.5</v>
      </c>
      <c r="K101" s="4">
        <v>10</v>
      </c>
      <c r="L101" s="4"/>
      <c r="M101" s="4"/>
    </row>
    <row r="102" spans="1:13" ht="15.75" customHeight="1" x14ac:dyDescent="0.2">
      <c r="A102" s="4"/>
      <c r="B102" s="5"/>
      <c r="C102" s="6">
        <v>44823</v>
      </c>
      <c r="D102" s="8">
        <v>0.48958333333333331</v>
      </c>
      <c r="E102" s="4">
        <v>0.1</v>
      </c>
      <c r="F102" s="22">
        <v>7.85</v>
      </c>
      <c r="G102" s="23">
        <v>84.3</v>
      </c>
      <c r="H102" s="23">
        <v>18.8</v>
      </c>
      <c r="I102" s="4"/>
      <c r="J102" s="4"/>
      <c r="K102" s="4"/>
      <c r="L102" s="4"/>
      <c r="M102" s="4"/>
    </row>
    <row r="103" spans="1:13" ht="15.75" customHeight="1" x14ac:dyDescent="0.2">
      <c r="A103" s="4"/>
      <c r="B103" s="5"/>
      <c r="C103" s="6">
        <v>44823</v>
      </c>
      <c r="D103" s="8">
        <v>0.48958333333333331</v>
      </c>
      <c r="E103" s="4">
        <v>1</v>
      </c>
      <c r="F103" s="22">
        <v>7.8</v>
      </c>
      <c r="G103" s="23">
        <v>83.8</v>
      </c>
      <c r="H103" s="23">
        <v>18.899999999999999</v>
      </c>
      <c r="I103" s="4"/>
      <c r="J103" s="4"/>
      <c r="K103" s="4"/>
      <c r="L103" s="4"/>
      <c r="M103" s="4"/>
    </row>
    <row r="104" spans="1:13" ht="15.75" customHeight="1" x14ac:dyDescent="0.2">
      <c r="A104" s="4"/>
      <c r="B104" s="5"/>
      <c r="C104" s="6">
        <v>44823</v>
      </c>
      <c r="D104" s="8">
        <v>0.48958333333333331</v>
      </c>
      <c r="E104" s="4">
        <v>2</v>
      </c>
      <c r="F104" s="22">
        <v>7.76</v>
      </c>
      <c r="G104" s="23">
        <v>83.4</v>
      </c>
      <c r="H104" s="23">
        <v>18.899999999999999</v>
      </c>
      <c r="I104" s="4"/>
      <c r="J104" s="4"/>
      <c r="K104" s="4"/>
      <c r="L104" s="4"/>
      <c r="M104" s="4"/>
    </row>
    <row r="105" spans="1:13" ht="15.75" customHeight="1" x14ac:dyDescent="0.2">
      <c r="A105" s="4"/>
      <c r="B105" s="5"/>
      <c r="C105" s="6">
        <v>44823</v>
      </c>
      <c r="D105" s="8">
        <v>0.48958333333333331</v>
      </c>
      <c r="E105" s="4">
        <v>3</v>
      </c>
      <c r="F105" s="22">
        <v>7.73</v>
      </c>
      <c r="G105" s="23">
        <v>83.1</v>
      </c>
      <c r="H105" s="23">
        <v>18.899999999999999</v>
      </c>
      <c r="I105" s="4"/>
      <c r="J105" s="4"/>
      <c r="K105" s="4"/>
      <c r="L105" s="4"/>
      <c r="M105" s="4"/>
    </row>
    <row r="106" spans="1:13" ht="15.75" customHeight="1" x14ac:dyDescent="0.2">
      <c r="A106" s="4"/>
      <c r="B106" s="5"/>
      <c r="C106" s="6">
        <v>44823</v>
      </c>
      <c r="D106" s="8">
        <v>0.48958333333333331</v>
      </c>
      <c r="E106" s="4">
        <v>4</v>
      </c>
      <c r="F106" s="22">
        <v>7.71</v>
      </c>
      <c r="G106" s="23">
        <v>82.9</v>
      </c>
      <c r="H106" s="23">
        <v>18.899999999999999</v>
      </c>
      <c r="I106" s="4"/>
      <c r="J106" s="4"/>
      <c r="K106" s="4"/>
      <c r="L106" s="4"/>
      <c r="M106" s="4"/>
    </row>
    <row r="107" spans="1:13" ht="15.75" customHeight="1" x14ac:dyDescent="0.2">
      <c r="A107" s="4"/>
      <c r="B107" s="5"/>
      <c r="C107" s="6">
        <v>44823</v>
      </c>
      <c r="D107" s="8">
        <v>0.48958333333333331</v>
      </c>
      <c r="E107" s="4">
        <v>5</v>
      </c>
      <c r="F107" s="22">
        <v>7.71</v>
      </c>
      <c r="G107" s="23">
        <v>82.8</v>
      </c>
      <c r="H107" s="23">
        <v>18.8</v>
      </c>
      <c r="I107" s="4"/>
      <c r="J107" s="4"/>
      <c r="K107" s="4"/>
      <c r="L107" s="4"/>
      <c r="M107" s="4"/>
    </row>
    <row r="108" spans="1:13" ht="15.75" customHeight="1" x14ac:dyDescent="0.2">
      <c r="A108" s="4"/>
      <c r="B108" s="5"/>
      <c r="C108" s="6">
        <v>44823</v>
      </c>
      <c r="D108" s="8">
        <v>0.48958333333333331</v>
      </c>
      <c r="E108" s="4">
        <v>6</v>
      </c>
      <c r="F108" s="22">
        <v>7.69</v>
      </c>
      <c r="G108" s="23">
        <v>82.6</v>
      </c>
      <c r="H108" s="23">
        <v>18.899999999999999</v>
      </c>
      <c r="I108" s="4"/>
      <c r="J108" s="4"/>
      <c r="K108" s="4"/>
      <c r="L108" s="4"/>
      <c r="M108" s="4"/>
    </row>
    <row r="109" spans="1:13" ht="15.75" customHeight="1" x14ac:dyDescent="0.2">
      <c r="A109" s="4"/>
      <c r="B109" s="5"/>
      <c r="C109" s="6">
        <v>44823</v>
      </c>
      <c r="D109" s="8">
        <v>0.48958333333333331</v>
      </c>
      <c r="E109" s="4">
        <v>7</v>
      </c>
      <c r="F109" s="22">
        <v>7.67</v>
      </c>
      <c r="G109" s="23">
        <v>82.4</v>
      </c>
      <c r="H109" s="23">
        <v>18.8</v>
      </c>
      <c r="I109" s="4"/>
      <c r="J109" s="4"/>
      <c r="K109" s="4"/>
      <c r="L109" s="4"/>
      <c r="M109" s="4"/>
    </row>
    <row r="110" spans="1:13" ht="15.75" customHeight="1" x14ac:dyDescent="0.2">
      <c r="A110" s="4"/>
      <c r="B110" s="5"/>
      <c r="C110" s="6">
        <v>44823</v>
      </c>
      <c r="D110" s="8">
        <v>0.48958333333333331</v>
      </c>
      <c r="E110" s="4">
        <v>8</v>
      </c>
      <c r="F110" s="22">
        <v>7.68</v>
      </c>
      <c r="G110" s="23">
        <v>82.2</v>
      </c>
      <c r="H110" s="23">
        <v>18.7</v>
      </c>
      <c r="I110" s="4"/>
      <c r="J110" s="4"/>
      <c r="K110" s="4"/>
      <c r="L110" s="4"/>
      <c r="M110" s="4"/>
    </row>
    <row r="111" spans="1:13" ht="15.75" customHeight="1" x14ac:dyDescent="0.2">
      <c r="A111" s="4"/>
      <c r="B111" s="5"/>
      <c r="C111" s="6">
        <v>44823</v>
      </c>
      <c r="D111" s="8">
        <v>0.48958333333333331</v>
      </c>
      <c r="E111" s="4">
        <v>9</v>
      </c>
      <c r="F111" s="22">
        <v>7.67</v>
      </c>
      <c r="G111" s="23">
        <v>82.2</v>
      </c>
      <c r="H111" s="23">
        <v>18.7</v>
      </c>
      <c r="I111" s="4"/>
      <c r="J111" s="4"/>
      <c r="K111" s="4"/>
      <c r="L111" s="4"/>
      <c r="M111" s="4"/>
    </row>
    <row r="112" spans="1:13" ht="15.75" customHeight="1" x14ac:dyDescent="0.2">
      <c r="A112" s="4"/>
      <c r="B112" s="5"/>
      <c r="C112" s="4"/>
      <c r="D112" s="4"/>
      <c r="E112" s="4"/>
      <c r="F112" s="22"/>
      <c r="G112" s="23"/>
      <c r="H112" s="23"/>
      <c r="I112" s="4"/>
      <c r="J112" s="4"/>
      <c r="K112" s="4"/>
      <c r="L112" s="4"/>
      <c r="M112" s="4"/>
    </row>
    <row r="113" spans="1:13" ht="15.75" customHeight="1" x14ac:dyDescent="0.2">
      <c r="A113" s="4"/>
      <c r="B113" s="5"/>
      <c r="C113" s="4"/>
      <c r="D113" s="4"/>
      <c r="E113" s="4"/>
      <c r="F113" s="22"/>
      <c r="G113" s="23"/>
      <c r="H113" s="23"/>
      <c r="I113" s="4"/>
      <c r="J113" s="4"/>
      <c r="K113" s="4"/>
      <c r="L113" s="4"/>
      <c r="M113" s="4"/>
    </row>
    <row r="114" spans="1:13" ht="15.75" customHeight="1" x14ac:dyDescent="0.2">
      <c r="A114" s="4"/>
      <c r="B114" s="4"/>
      <c r="C114" s="6">
        <v>44007</v>
      </c>
      <c r="D114" s="11">
        <v>0.51041666666666663</v>
      </c>
      <c r="E114" s="4"/>
      <c r="F114" s="22"/>
      <c r="G114" s="23"/>
      <c r="H114" s="23"/>
      <c r="I114" s="4"/>
      <c r="J114" s="4">
        <v>6</v>
      </c>
      <c r="K114" s="4">
        <v>7</v>
      </c>
      <c r="L114" s="4"/>
      <c r="M114" s="4"/>
    </row>
    <row r="115" spans="1:13" ht="15.75" customHeight="1" x14ac:dyDescent="0.2">
      <c r="A115" s="4"/>
      <c r="B115" s="4"/>
      <c r="C115" s="6">
        <v>44007</v>
      </c>
      <c r="D115" s="8">
        <v>0.51736111111111105</v>
      </c>
      <c r="E115" s="1">
        <v>0.1</v>
      </c>
      <c r="F115" s="22">
        <v>8.2200000000000006</v>
      </c>
      <c r="G115" s="23">
        <v>86.7</v>
      </c>
      <c r="H115" s="23">
        <v>17.8</v>
      </c>
      <c r="I115" s="23">
        <v>17.8</v>
      </c>
      <c r="J115" s="4"/>
      <c r="K115" s="4"/>
      <c r="L115" s="4"/>
      <c r="M115" s="4"/>
    </row>
    <row r="116" spans="1:13" ht="15.75" customHeight="1" x14ac:dyDescent="0.2">
      <c r="A116" s="4"/>
      <c r="B116" s="4"/>
      <c r="C116" s="6">
        <v>44007</v>
      </c>
      <c r="D116" s="8">
        <v>0.51736111111111105</v>
      </c>
      <c r="E116" s="1">
        <v>1</v>
      </c>
      <c r="F116" s="22">
        <v>8.4600000000000009</v>
      </c>
      <c r="G116" s="23"/>
      <c r="H116" s="23">
        <v>17.2</v>
      </c>
      <c r="I116" s="23">
        <v>17.2</v>
      </c>
      <c r="J116" s="4"/>
      <c r="K116" s="4"/>
      <c r="L116" s="4"/>
      <c r="M116" s="4"/>
    </row>
    <row r="117" spans="1:13" ht="15.75" customHeight="1" x14ac:dyDescent="0.2">
      <c r="A117" s="4"/>
      <c r="B117" s="4"/>
      <c r="C117" s="6">
        <v>44007</v>
      </c>
      <c r="D117" s="8">
        <v>0.51736111111111105</v>
      </c>
      <c r="E117" s="1">
        <v>2</v>
      </c>
      <c r="F117" s="22">
        <v>8.5500000000000007</v>
      </c>
      <c r="G117" s="23"/>
      <c r="H117" s="23">
        <v>16.600000000000001</v>
      </c>
      <c r="I117" s="23">
        <v>16.600000000000001</v>
      </c>
      <c r="J117" s="4"/>
      <c r="K117" s="4"/>
      <c r="L117" s="4"/>
      <c r="M117" s="4"/>
    </row>
    <row r="118" spans="1:13" ht="15.75" customHeight="1" x14ac:dyDescent="0.2">
      <c r="A118" s="4"/>
      <c r="B118" s="4"/>
      <c r="C118" s="6">
        <v>44007</v>
      </c>
      <c r="D118" s="8">
        <v>0.51736111111111105</v>
      </c>
      <c r="E118" s="1">
        <v>3</v>
      </c>
      <c r="F118" s="22">
        <v>8.67</v>
      </c>
      <c r="G118" s="23"/>
      <c r="H118" s="23">
        <v>15.9</v>
      </c>
      <c r="I118" s="23">
        <v>15.9</v>
      </c>
      <c r="J118" s="4"/>
      <c r="K118" s="4"/>
      <c r="L118" s="4"/>
      <c r="M118" s="4"/>
    </row>
    <row r="119" spans="1:13" ht="15.75" customHeight="1" x14ac:dyDescent="0.2">
      <c r="A119" s="4"/>
      <c r="B119" s="4"/>
      <c r="C119" s="6">
        <v>44007</v>
      </c>
      <c r="D119" s="8">
        <v>0.51736111111111105</v>
      </c>
      <c r="E119" s="1">
        <v>4</v>
      </c>
      <c r="F119" s="22">
        <v>8.75</v>
      </c>
      <c r="G119" s="23"/>
      <c r="H119" s="23">
        <v>15.4</v>
      </c>
      <c r="I119" s="23">
        <v>15.4</v>
      </c>
      <c r="J119" s="4"/>
      <c r="K119" s="4"/>
      <c r="L119" s="4"/>
      <c r="M119" s="4"/>
    </row>
    <row r="120" spans="1:13" ht="15.75" customHeight="1" x14ac:dyDescent="0.2">
      <c r="A120" s="4"/>
      <c r="B120" s="4"/>
      <c r="C120" s="6">
        <v>44007</v>
      </c>
      <c r="D120" s="8">
        <v>0.51736111111111105</v>
      </c>
      <c r="E120" s="1">
        <v>5</v>
      </c>
      <c r="F120" s="22">
        <v>8.7899999999999991</v>
      </c>
      <c r="G120" s="23"/>
      <c r="H120" s="23">
        <v>15.2</v>
      </c>
      <c r="I120" s="23">
        <v>15.2</v>
      </c>
      <c r="J120" s="4"/>
      <c r="K120" s="4"/>
      <c r="L120" s="4"/>
      <c r="M120" s="4"/>
    </row>
    <row r="121" spans="1:13" ht="15.75" customHeight="1" x14ac:dyDescent="0.2">
      <c r="A121" s="4"/>
      <c r="B121" s="4"/>
      <c r="C121" s="6">
        <v>44007</v>
      </c>
      <c r="D121" s="8">
        <v>0.51736111111111105</v>
      </c>
      <c r="E121" s="1">
        <v>6</v>
      </c>
      <c r="F121" s="22">
        <v>8.92</v>
      </c>
      <c r="G121" s="23"/>
      <c r="H121" s="23">
        <v>14.5</v>
      </c>
      <c r="I121" s="10">
        <f>AVERAGE(I115:I120)</f>
        <v>16.350000000000001</v>
      </c>
      <c r="J121" s="4"/>
      <c r="K121" s="4"/>
      <c r="L121" s="4"/>
      <c r="M121" s="4"/>
    </row>
    <row r="122" spans="1:13" ht="15.75" customHeight="1" x14ac:dyDescent="0.2">
      <c r="A122" s="4"/>
      <c r="B122" s="4"/>
      <c r="C122" s="6">
        <v>44007</v>
      </c>
      <c r="D122" s="8">
        <v>0.51736111111111105</v>
      </c>
      <c r="E122" s="1">
        <v>7</v>
      </c>
      <c r="F122" s="22">
        <v>8.99</v>
      </c>
      <c r="G122" s="23"/>
      <c r="H122" s="23">
        <v>14.1</v>
      </c>
      <c r="I122" s="4"/>
      <c r="J122" s="4"/>
      <c r="K122" s="4"/>
      <c r="L122" s="4"/>
      <c r="M122" s="4"/>
    </row>
    <row r="123" spans="1:13" ht="15.75" customHeight="1" x14ac:dyDescent="0.2">
      <c r="A123" s="4"/>
      <c r="B123" s="4"/>
      <c r="C123" s="6">
        <v>44007</v>
      </c>
      <c r="D123" s="8">
        <v>0.51736111111111105</v>
      </c>
      <c r="E123" s="1">
        <v>8</v>
      </c>
      <c r="F123" s="22">
        <v>9.1</v>
      </c>
      <c r="G123" s="23"/>
      <c r="H123" s="23">
        <v>13.6</v>
      </c>
      <c r="I123" s="4"/>
      <c r="J123" s="4"/>
      <c r="K123" s="4"/>
      <c r="L123" s="4"/>
      <c r="M123" s="4"/>
    </row>
    <row r="124" spans="1:13" ht="15.75" customHeight="1" x14ac:dyDescent="0.2">
      <c r="A124" s="4"/>
      <c r="B124" s="4"/>
      <c r="C124" s="6">
        <v>44007</v>
      </c>
      <c r="D124" s="8">
        <v>0.51736111111111105</v>
      </c>
      <c r="E124" s="1">
        <v>9</v>
      </c>
      <c r="F124" s="22">
        <v>9.15</v>
      </c>
      <c r="G124" s="23"/>
      <c r="H124" s="23">
        <v>13.1</v>
      </c>
      <c r="I124" s="4"/>
      <c r="J124" s="4"/>
      <c r="K124" s="4"/>
      <c r="L124" s="4"/>
      <c r="M124" s="4"/>
    </row>
    <row r="125" spans="1:13" ht="15.75" customHeight="1" x14ac:dyDescent="0.2">
      <c r="A125" s="4"/>
      <c r="B125" s="4"/>
      <c r="C125" s="6">
        <v>44007</v>
      </c>
      <c r="D125" s="8">
        <v>0.51736111111111105</v>
      </c>
      <c r="E125" s="1">
        <v>10</v>
      </c>
      <c r="F125" s="22">
        <v>9.24</v>
      </c>
      <c r="G125" s="23">
        <v>87.9</v>
      </c>
      <c r="H125" s="23">
        <v>12.9</v>
      </c>
      <c r="I125" s="4"/>
      <c r="J125" s="4"/>
      <c r="K125" s="4"/>
      <c r="L125" s="4"/>
      <c r="M125" s="4"/>
    </row>
    <row r="126" spans="1:13" ht="15.75" customHeight="1" x14ac:dyDescent="0.2">
      <c r="A126" s="4"/>
      <c r="B126" s="4"/>
      <c r="C126" s="6"/>
      <c r="D126" s="4"/>
      <c r="E126" s="4"/>
      <c r="F126" s="22"/>
      <c r="G126" s="23"/>
      <c r="H126" s="23"/>
      <c r="I126" s="4"/>
      <c r="J126" s="4"/>
      <c r="K126" s="4"/>
      <c r="L126" s="4"/>
      <c r="M126" s="4"/>
    </row>
    <row r="127" spans="1:13" ht="15.75" customHeight="1" x14ac:dyDescent="0.2">
      <c r="A127" s="4"/>
      <c r="B127" s="4"/>
      <c r="C127" s="6">
        <v>44039</v>
      </c>
      <c r="D127" s="11">
        <v>0.4861111111111111</v>
      </c>
      <c r="E127" s="4"/>
      <c r="F127" s="22"/>
      <c r="G127" s="23"/>
      <c r="H127" s="23"/>
      <c r="I127" s="4"/>
      <c r="J127" s="4">
        <v>9.5</v>
      </c>
      <c r="K127" s="4">
        <v>10.5</v>
      </c>
      <c r="L127" s="4"/>
      <c r="M127" s="4"/>
    </row>
    <row r="128" spans="1:13" ht="15.75" customHeight="1" x14ac:dyDescent="0.2">
      <c r="A128" s="4"/>
      <c r="B128" s="4"/>
      <c r="C128" s="6">
        <v>44039</v>
      </c>
      <c r="D128" s="8">
        <v>0.49305555555555558</v>
      </c>
      <c r="E128" s="1">
        <v>0.1</v>
      </c>
      <c r="F128" s="22">
        <v>7.21</v>
      </c>
      <c r="G128" s="23">
        <v>84.5</v>
      </c>
      <c r="H128" s="23">
        <v>23.2</v>
      </c>
      <c r="I128" s="23">
        <v>23.2</v>
      </c>
      <c r="J128" s="4"/>
      <c r="K128" s="4"/>
      <c r="L128" s="4"/>
      <c r="M128" s="4"/>
    </row>
    <row r="129" spans="1:13" ht="15.75" customHeight="1" x14ac:dyDescent="0.2">
      <c r="A129" s="4"/>
      <c r="B129" s="4"/>
      <c r="C129" s="6">
        <v>44039</v>
      </c>
      <c r="D129" s="8">
        <v>0.49305555555555558</v>
      </c>
      <c r="E129" s="1">
        <v>1</v>
      </c>
      <c r="F129" s="22">
        <v>7.31</v>
      </c>
      <c r="G129" s="23"/>
      <c r="H129" s="23">
        <v>22.6</v>
      </c>
      <c r="I129" s="23">
        <v>22.6</v>
      </c>
      <c r="J129" s="4"/>
      <c r="K129" s="4"/>
      <c r="L129" s="4"/>
      <c r="M129" s="4"/>
    </row>
    <row r="130" spans="1:13" ht="15.75" customHeight="1" x14ac:dyDescent="0.2">
      <c r="A130" s="4"/>
      <c r="B130" s="4"/>
      <c r="C130" s="6">
        <v>44039</v>
      </c>
      <c r="D130" s="8">
        <v>0.49305555555555558</v>
      </c>
      <c r="E130" s="1">
        <v>2</v>
      </c>
      <c r="F130" s="22">
        <v>7.39</v>
      </c>
      <c r="G130" s="23"/>
      <c r="H130" s="23">
        <v>21.6</v>
      </c>
      <c r="I130" s="23">
        <v>21.6</v>
      </c>
      <c r="J130" s="4"/>
      <c r="K130" s="4"/>
      <c r="L130" s="4"/>
      <c r="M130" s="4"/>
    </row>
    <row r="131" spans="1:13" ht="15.75" customHeight="1" x14ac:dyDescent="0.2">
      <c r="A131" s="4"/>
      <c r="B131" s="4"/>
      <c r="C131" s="6">
        <v>44039</v>
      </c>
      <c r="D131" s="8">
        <v>0.49305555555555558</v>
      </c>
      <c r="E131" s="1">
        <v>3</v>
      </c>
      <c r="F131" s="22">
        <v>7.42</v>
      </c>
      <c r="G131" s="23"/>
      <c r="H131" s="23">
        <v>21.2</v>
      </c>
      <c r="I131" s="23">
        <v>21.2</v>
      </c>
      <c r="J131" s="4"/>
      <c r="K131" s="4"/>
      <c r="L131" s="4"/>
      <c r="M131" s="4"/>
    </row>
    <row r="132" spans="1:13" ht="15.75" customHeight="1" x14ac:dyDescent="0.2">
      <c r="A132" s="4"/>
      <c r="B132" s="4"/>
      <c r="C132" s="6">
        <v>44039</v>
      </c>
      <c r="D132" s="8">
        <v>0.49305555555555558</v>
      </c>
      <c r="E132" s="1">
        <v>4</v>
      </c>
      <c r="F132" s="22">
        <v>7.43</v>
      </c>
      <c r="G132" s="23"/>
      <c r="H132" s="23">
        <v>21</v>
      </c>
      <c r="I132" s="23">
        <v>21</v>
      </c>
      <c r="J132" s="4"/>
      <c r="K132" s="4"/>
      <c r="L132" s="4"/>
      <c r="M132" s="4"/>
    </row>
    <row r="133" spans="1:13" ht="15.75" customHeight="1" x14ac:dyDescent="0.2">
      <c r="A133" s="4"/>
      <c r="B133" s="4"/>
      <c r="C133" s="6">
        <v>44039</v>
      </c>
      <c r="D133" s="8">
        <v>0.49305555555555558</v>
      </c>
      <c r="E133" s="1">
        <v>5</v>
      </c>
      <c r="F133" s="22">
        <v>7.42</v>
      </c>
      <c r="G133" s="23"/>
      <c r="H133" s="23">
        <v>21</v>
      </c>
      <c r="I133" s="23">
        <v>21</v>
      </c>
      <c r="J133" s="4"/>
      <c r="K133" s="4"/>
      <c r="L133" s="4"/>
      <c r="M133" s="4"/>
    </row>
    <row r="134" spans="1:13" ht="15.75" customHeight="1" x14ac:dyDescent="0.2">
      <c r="A134" s="4"/>
      <c r="B134" s="4"/>
      <c r="C134" s="6">
        <v>44039</v>
      </c>
      <c r="D134" s="8">
        <v>0.49305555555555558</v>
      </c>
      <c r="E134" s="1">
        <v>6</v>
      </c>
      <c r="F134" s="22">
        <v>7.42</v>
      </c>
      <c r="G134" s="23"/>
      <c r="H134" s="23">
        <v>20.9</v>
      </c>
      <c r="I134" s="23">
        <v>20.9</v>
      </c>
      <c r="J134" s="4"/>
      <c r="K134" s="4"/>
      <c r="L134" s="4"/>
      <c r="M134" s="4"/>
    </row>
    <row r="135" spans="1:13" ht="15.75" customHeight="1" x14ac:dyDescent="0.2">
      <c r="A135" s="4"/>
      <c r="B135" s="4"/>
      <c r="C135" s="6">
        <v>44039</v>
      </c>
      <c r="D135" s="8">
        <v>0.49305555555555558</v>
      </c>
      <c r="E135" s="1">
        <v>7</v>
      </c>
      <c r="F135" s="22">
        <v>7.41</v>
      </c>
      <c r="G135" s="23"/>
      <c r="H135" s="23">
        <v>20.8</v>
      </c>
      <c r="I135" s="23">
        <v>20.8</v>
      </c>
      <c r="J135" s="4"/>
      <c r="K135" s="4"/>
      <c r="L135" s="4"/>
      <c r="M135" s="4"/>
    </row>
    <row r="136" spans="1:13" ht="15.75" customHeight="1" x14ac:dyDescent="0.2">
      <c r="A136" s="4"/>
      <c r="B136" s="4"/>
      <c r="C136" s="6">
        <v>44039</v>
      </c>
      <c r="D136" s="8">
        <v>0.49305555555555558</v>
      </c>
      <c r="E136" s="1">
        <v>8</v>
      </c>
      <c r="F136" s="22">
        <v>7.46</v>
      </c>
      <c r="G136" s="23">
        <v>82.7</v>
      </c>
      <c r="H136" s="23">
        <v>20.3</v>
      </c>
      <c r="I136" s="23">
        <v>20.3</v>
      </c>
      <c r="J136" s="4"/>
      <c r="K136" s="4"/>
      <c r="L136" s="4"/>
      <c r="M136" s="4"/>
    </row>
    <row r="137" spans="1:13" ht="15.75" customHeight="1" x14ac:dyDescent="0.2">
      <c r="A137" s="4"/>
      <c r="B137" s="4"/>
      <c r="C137" s="6">
        <v>44039</v>
      </c>
      <c r="D137" s="8">
        <v>0.49305555555555558</v>
      </c>
      <c r="E137" s="1">
        <v>9</v>
      </c>
      <c r="F137" s="22">
        <v>8.31</v>
      </c>
      <c r="G137" s="23">
        <v>85.8</v>
      </c>
      <c r="H137" s="23">
        <v>16.8</v>
      </c>
      <c r="I137" s="10">
        <f>AVERAGE(I128:I136)</f>
        <v>21.400000000000006</v>
      </c>
      <c r="J137" s="4"/>
      <c r="K137" s="4"/>
      <c r="L137" s="4"/>
      <c r="M137" s="4"/>
    </row>
    <row r="138" spans="1:13" ht="15.75" customHeight="1" x14ac:dyDescent="0.2">
      <c r="A138" s="4"/>
      <c r="B138" s="4"/>
      <c r="C138" s="6">
        <v>44039</v>
      </c>
      <c r="D138" s="8">
        <v>0.49305555555555558</v>
      </c>
      <c r="E138" s="1">
        <v>10</v>
      </c>
      <c r="F138" s="22">
        <v>8.93</v>
      </c>
      <c r="G138" s="23">
        <v>86.4</v>
      </c>
      <c r="H138" s="23">
        <v>17.600000000000001</v>
      </c>
      <c r="I138" s="4"/>
      <c r="J138" s="4"/>
      <c r="K138" s="4"/>
      <c r="L138" s="4"/>
      <c r="M138" s="4"/>
    </row>
    <row r="139" spans="1:13" ht="15.75" customHeight="1" x14ac:dyDescent="0.2">
      <c r="A139" s="4"/>
      <c r="B139" s="4"/>
      <c r="C139" s="6"/>
      <c r="D139" s="4"/>
      <c r="E139" s="4"/>
      <c r="F139" s="22"/>
      <c r="G139" s="23"/>
      <c r="H139" s="23"/>
      <c r="I139" s="4"/>
      <c r="J139" s="4"/>
      <c r="K139" s="4"/>
      <c r="L139" s="4"/>
      <c r="M139" s="4"/>
    </row>
    <row r="140" spans="1:13" ht="15.75" customHeight="1" x14ac:dyDescent="0.2">
      <c r="A140" s="4"/>
      <c r="B140" s="4"/>
      <c r="C140" s="6"/>
      <c r="D140" s="4"/>
      <c r="E140" s="4"/>
      <c r="F140" s="22"/>
      <c r="G140" s="23"/>
      <c r="H140" s="23"/>
      <c r="I140" s="4"/>
      <c r="J140" s="4"/>
      <c r="K140" s="4"/>
      <c r="L140" s="4"/>
      <c r="M140" s="4"/>
    </row>
    <row r="141" spans="1:13" ht="15.75" customHeight="1" x14ac:dyDescent="0.2">
      <c r="A141" s="4"/>
      <c r="B141" s="4"/>
      <c r="C141" s="6"/>
      <c r="D141" s="4"/>
      <c r="E141" s="4"/>
      <c r="F141" s="22"/>
      <c r="G141" s="23"/>
      <c r="H141" s="23"/>
      <c r="I141" s="4"/>
      <c r="J141" s="4"/>
      <c r="K141" s="4"/>
      <c r="L141" s="4"/>
      <c r="M141" s="4"/>
    </row>
    <row r="142" spans="1:13" ht="15.75" customHeight="1" x14ac:dyDescent="0.2">
      <c r="A142" s="4"/>
      <c r="B142" s="4"/>
      <c r="C142" s="6">
        <v>44068</v>
      </c>
      <c r="D142" s="4"/>
      <c r="E142" s="4"/>
      <c r="F142" s="22"/>
      <c r="G142" s="23"/>
      <c r="H142" s="23"/>
      <c r="I142" s="4"/>
      <c r="J142" s="4">
        <v>8.5</v>
      </c>
      <c r="K142" s="4">
        <v>9.5</v>
      </c>
      <c r="L142" s="4"/>
      <c r="M142" s="4"/>
    </row>
    <row r="143" spans="1:13" ht="15.75" customHeight="1" x14ac:dyDescent="0.2">
      <c r="A143" s="4"/>
      <c r="B143" s="4"/>
      <c r="C143" s="6">
        <v>44068</v>
      </c>
      <c r="D143" s="8">
        <v>0.48055555555555557</v>
      </c>
      <c r="E143" s="1">
        <v>0.1</v>
      </c>
      <c r="F143" s="22">
        <v>7.37</v>
      </c>
      <c r="G143" s="23">
        <v>84.1</v>
      </c>
      <c r="H143" s="23">
        <v>21.8</v>
      </c>
      <c r="I143" s="4"/>
      <c r="J143" s="4"/>
      <c r="K143" s="4"/>
      <c r="L143" s="4"/>
      <c r="M143" s="4"/>
    </row>
    <row r="144" spans="1:13" ht="15.75" customHeight="1" x14ac:dyDescent="0.2">
      <c r="A144" s="4"/>
      <c r="B144" s="4"/>
      <c r="C144" s="6">
        <v>44068</v>
      </c>
      <c r="D144" s="8">
        <v>0.48055555555555557</v>
      </c>
      <c r="E144" s="1">
        <v>1</v>
      </c>
      <c r="F144" s="22">
        <v>7.38</v>
      </c>
      <c r="G144" s="23"/>
      <c r="H144" s="23">
        <v>21.7</v>
      </c>
      <c r="I144" s="4"/>
      <c r="J144" s="4"/>
      <c r="K144" s="4"/>
      <c r="L144" s="4"/>
      <c r="M144" s="4"/>
    </row>
    <row r="145" spans="1:13" ht="15.75" customHeight="1" x14ac:dyDescent="0.2">
      <c r="A145" s="4"/>
      <c r="B145" s="4"/>
      <c r="C145" s="6">
        <v>44068</v>
      </c>
      <c r="D145" s="8">
        <v>0.48055555555555557</v>
      </c>
      <c r="E145" s="1">
        <v>2</v>
      </c>
      <c r="F145" s="22">
        <v>7.39</v>
      </c>
      <c r="G145" s="23"/>
      <c r="H145" s="23">
        <v>21.7</v>
      </c>
      <c r="I145" s="4"/>
      <c r="J145" s="4"/>
      <c r="K145" s="4"/>
      <c r="L145" s="4"/>
      <c r="M145" s="4"/>
    </row>
    <row r="146" spans="1:13" ht="15.75" customHeight="1" x14ac:dyDescent="0.2">
      <c r="A146" s="4"/>
      <c r="B146" s="4"/>
      <c r="C146" s="6">
        <v>44068</v>
      </c>
      <c r="D146" s="8">
        <v>0.48055555555555557</v>
      </c>
      <c r="E146" s="1">
        <v>3</v>
      </c>
      <c r="F146" s="22">
        <v>7.38</v>
      </c>
      <c r="G146" s="23"/>
      <c r="H146" s="23">
        <v>21.6</v>
      </c>
      <c r="I146" s="4"/>
      <c r="J146" s="4"/>
      <c r="K146" s="4"/>
      <c r="L146" s="4"/>
      <c r="M146" s="4"/>
    </row>
    <row r="147" spans="1:13" ht="15.75" customHeight="1" x14ac:dyDescent="0.2">
      <c r="A147" s="4"/>
      <c r="B147" s="4"/>
      <c r="C147" s="6">
        <v>44068</v>
      </c>
      <c r="D147" s="8">
        <v>0.48055555555555557</v>
      </c>
      <c r="E147" s="1">
        <v>4</v>
      </c>
      <c r="F147" s="22">
        <v>7.38</v>
      </c>
      <c r="G147" s="23"/>
      <c r="H147" s="23">
        <v>21.5</v>
      </c>
      <c r="I147" s="4"/>
      <c r="J147" s="4"/>
      <c r="K147" s="4"/>
      <c r="L147" s="4"/>
      <c r="M147" s="4"/>
    </row>
    <row r="148" spans="1:13" ht="15.75" customHeight="1" x14ac:dyDescent="0.2">
      <c r="A148" s="4"/>
      <c r="B148" s="4"/>
      <c r="C148" s="6">
        <v>44068</v>
      </c>
      <c r="D148" s="8">
        <v>0.48055555555555557</v>
      </c>
      <c r="E148" s="1">
        <v>5</v>
      </c>
      <c r="F148" s="22">
        <v>7.37</v>
      </c>
      <c r="G148" s="23"/>
      <c r="H148" s="23">
        <v>21.5</v>
      </c>
      <c r="I148" s="4"/>
      <c r="J148" s="4"/>
      <c r="K148" s="4"/>
      <c r="L148" s="4"/>
      <c r="M148" s="4"/>
    </row>
    <row r="149" spans="1:13" ht="15.75" customHeight="1" x14ac:dyDescent="0.2">
      <c r="A149" s="4"/>
      <c r="B149" s="4"/>
      <c r="C149" s="6">
        <v>44068</v>
      </c>
      <c r="D149" s="8">
        <v>0.48055555555555557</v>
      </c>
      <c r="E149" s="1">
        <v>6</v>
      </c>
      <c r="F149" s="22">
        <v>7.35</v>
      </c>
      <c r="G149" s="23"/>
      <c r="H149" s="23">
        <v>21.5</v>
      </c>
      <c r="I149" s="4"/>
      <c r="J149" s="4"/>
      <c r="K149" s="4"/>
      <c r="L149" s="4"/>
      <c r="M149" s="4"/>
    </row>
    <row r="150" spans="1:13" ht="15.75" customHeight="1" x14ac:dyDescent="0.2">
      <c r="A150" s="4"/>
      <c r="B150" s="4"/>
      <c r="C150" s="6">
        <v>44068</v>
      </c>
      <c r="D150" s="8">
        <v>0.48055555555555557</v>
      </c>
      <c r="E150" s="1">
        <v>7</v>
      </c>
      <c r="F150" s="22">
        <v>7.35</v>
      </c>
      <c r="G150" s="23"/>
      <c r="H150" s="23">
        <v>21.5</v>
      </c>
      <c r="I150" s="4"/>
      <c r="J150" s="4"/>
      <c r="K150" s="4"/>
      <c r="L150" s="4"/>
      <c r="M150" s="4"/>
    </row>
    <row r="151" spans="1:13" ht="15.75" customHeight="1" x14ac:dyDescent="0.2">
      <c r="A151" s="4"/>
      <c r="B151" s="4"/>
      <c r="C151" s="6">
        <v>44068</v>
      </c>
      <c r="D151" s="8">
        <v>0.48055555555555557</v>
      </c>
      <c r="E151" s="1">
        <v>8</v>
      </c>
      <c r="F151" s="22">
        <v>7.35</v>
      </c>
      <c r="G151" s="23"/>
      <c r="H151" s="23">
        <v>21.4</v>
      </c>
      <c r="I151" s="4"/>
      <c r="J151" s="4"/>
      <c r="K151" s="4"/>
      <c r="L151" s="4"/>
      <c r="M151" s="4"/>
    </row>
    <row r="152" spans="1:13" ht="15.75" customHeight="1" x14ac:dyDescent="0.2">
      <c r="A152" s="4"/>
      <c r="B152" s="4"/>
      <c r="C152" s="6">
        <v>44068</v>
      </c>
      <c r="D152" s="8">
        <v>0.48055555555555557</v>
      </c>
      <c r="E152" s="1">
        <v>9</v>
      </c>
      <c r="F152" s="22">
        <v>7.39</v>
      </c>
      <c r="G152" s="23"/>
      <c r="H152" s="23">
        <v>21.3</v>
      </c>
      <c r="I152" s="4"/>
      <c r="J152" s="4"/>
      <c r="K152" s="4"/>
      <c r="L152" s="4"/>
      <c r="M152" s="4"/>
    </row>
    <row r="153" spans="1:13" ht="15.75" customHeight="1" x14ac:dyDescent="0.2">
      <c r="A153" s="4"/>
      <c r="B153" s="4"/>
      <c r="C153" s="6">
        <v>44068</v>
      </c>
      <c r="D153" s="8">
        <v>0.48055555555555557</v>
      </c>
      <c r="E153" s="1">
        <v>10</v>
      </c>
      <c r="F153" s="22">
        <v>7.5</v>
      </c>
      <c r="G153" s="23">
        <v>85.2</v>
      </c>
      <c r="H153" s="23">
        <v>21.2</v>
      </c>
      <c r="I153" s="4"/>
      <c r="J153" s="4"/>
      <c r="K153" s="4"/>
      <c r="L153" s="4"/>
      <c r="M153" s="4"/>
    </row>
    <row r="154" spans="1:13" ht="15.75" customHeight="1" x14ac:dyDescent="0.2">
      <c r="A154" s="4"/>
      <c r="B154" s="4"/>
      <c r="C154" s="6"/>
      <c r="D154" s="4"/>
      <c r="E154" s="4"/>
      <c r="F154" s="22"/>
      <c r="G154" s="23"/>
      <c r="H154" s="23"/>
      <c r="I154" s="4"/>
      <c r="J154" s="4"/>
      <c r="K154" s="4"/>
      <c r="L154" s="4"/>
      <c r="M154" s="4"/>
    </row>
    <row r="155" spans="1:13" ht="15.75" customHeight="1" x14ac:dyDescent="0.2">
      <c r="A155" s="4"/>
      <c r="B155" s="4"/>
      <c r="C155" s="6">
        <v>44102</v>
      </c>
      <c r="D155" s="4"/>
      <c r="E155" s="4"/>
      <c r="F155" s="22"/>
      <c r="G155" s="23"/>
      <c r="H155" s="23"/>
      <c r="I155" s="4"/>
      <c r="J155" s="4">
        <v>9.5</v>
      </c>
      <c r="K155" s="4">
        <v>10</v>
      </c>
      <c r="L155" s="4"/>
      <c r="M155" s="4"/>
    </row>
    <row r="156" spans="1:13" ht="15.75" customHeight="1" x14ac:dyDescent="0.2">
      <c r="C156" s="6">
        <v>44102</v>
      </c>
      <c r="D156" s="12">
        <v>0.4993055555555555</v>
      </c>
      <c r="E156" s="1">
        <v>0.1</v>
      </c>
      <c r="F156" s="24">
        <v>7.88</v>
      </c>
      <c r="G156" s="7">
        <v>82.6</v>
      </c>
      <c r="H156" s="7">
        <v>17.5</v>
      </c>
    </row>
    <row r="157" spans="1:13" ht="15.75" customHeight="1" x14ac:dyDescent="0.2">
      <c r="C157" s="6">
        <v>44102</v>
      </c>
      <c r="D157" s="12">
        <v>0.4993055555555555</v>
      </c>
      <c r="E157" s="1">
        <v>1</v>
      </c>
      <c r="F157" s="24">
        <v>7.94</v>
      </c>
      <c r="G157" s="7"/>
      <c r="H157" s="7">
        <v>17.100000000000001</v>
      </c>
    </row>
    <row r="158" spans="1:13" ht="15.75" customHeight="1" x14ac:dyDescent="0.2">
      <c r="C158" s="6">
        <v>44102</v>
      </c>
      <c r="D158" s="12">
        <v>0.4993055555555555</v>
      </c>
      <c r="E158" s="1">
        <v>2</v>
      </c>
      <c r="F158" s="24">
        <v>7.94</v>
      </c>
      <c r="G158" s="7"/>
      <c r="H158" s="7">
        <v>17</v>
      </c>
    </row>
    <row r="159" spans="1:13" ht="15.75" customHeight="1" x14ac:dyDescent="0.2">
      <c r="C159" s="6">
        <v>44102</v>
      </c>
      <c r="D159" s="12">
        <v>0.4993055555555555</v>
      </c>
      <c r="E159" s="1">
        <v>3</v>
      </c>
      <c r="F159" s="24">
        <v>7.95</v>
      </c>
      <c r="G159" s="7"/>
      <c r="H159" s="7">
        <v>16.899999999999999</v>
      </c>
    </row>
    <row r="160" spans="1:13" ht="15.75" customHeight="1" x14ac:dyDescent="0.2">
      <c r="C160" s="6">
        <v>44102</v>
      </c>
      <c r="D160" s="12">
        <v>0.4993055555555555</v>
      </c>
      <c r="E160" s="1">
        <v>4</v>
      </c>
      <c r="F160" s="24">
        <v>7.93</v>
      </c>
      <c r="G160" s="7"/>
      <c r="H160" s="7">
        <v>16.899999999999999</v>
      </c>
    </row>
    <row r="161" spans="3:11" ht="15.75" customHeight="1" x14ac:dyDescent="0.2">
      <c r="C161" s="6">
        <v>44102</v>
      </c>
      <c r="D161" s="12">
        <v>0.4993055555555555</v>
      </c>
      <c r="E161" s="1">
        <v>5</v>
      </c>
      <c r="F161" s="24">
        <v>7.93</v>
      </c>
      <c r="G161" s="7"/>
      <c r="H161" s="7">
        <v>16.8</v>
      </c>
    </row>
    <row r="162" spans="3:11" ht="15.75" customHeight="1" x14ac:dyDescent="0.2">
      <c r="C162" s="6">
        <v>44102</v>
      </c>
      <c r="D162" s="12">
        <v>0.4993055555555555</v>
      </c>
      <c r="E162" s="1">
        <v>6</v>
      </c>
      <c r="F162" s="24">
        <v>7.92</v>
      </c>
      <c r="G162" s="7"/>
      <c r="H162" s="7">
        <v>16.8</v>
      </c>
    </row>
    <row r="163" spans="3:11" ht="15.75" customHeight="1" x14ac:dyDescent="0.2">
      <c r="C163" s="6">
        <v>44102</v>
      </c>
      <c r="D163" s="12">
        <v>0.4993055555555555</v>
      </c>
      <c r="E163" s="1">
        <v>7</v>
      </c>
      <c r="F163" s="24">
        <v>7.91</v>
      </c>
      <c r="G163" s="7"/>
      <c r="H163" s="7">
        <v>16.8</v>
      </c>
    </row>
    <row r="164" spans="3:11" ht="15.75" customHeight="1" x14ac:dyDescent="0.2">
      <c r="C164" s="6">
        <v>44102</v>
      </c>
      <c r="D164" s="12">
        <v>0.4993055555555555</v>
      </c>
      <c r="E164" s="1">
        <v>8</v>
      </c>
      <c r="F164" s="24">
        <v>7.87</v>
      </c>
      <c r="G164" s="7"/>
      <c r="H164" s="7">
        <v>16.8</v>
      </c>
    </row>
    <row r="165" spans="3:11" ht="15.75" customHeight="1" x14ac:dyDescent="0.2">
      <c r="C165" s="6">
        <v>44102</v>
      </c>
      <c r="D165" s="12">
        <v>0.4993055555555555</v>
      </c>
      <c r="E165" s="1">
        <v>9</v>
      </c>
      <c r="F165" s="24">
        <v>7.88</v>
      </c>
      <c r="G165" s="7">
        <v>81</v>
      </c>
      <c r="H165" s="7">
        <v>16.7</v>
      </c>
    </row>
    <row r="166" spans="3:11" ht="15.75" customHeight="1" x14ac:dyDescent="0.2">
      <c r="C166" s="6">
        <v>44102</v>
      </c>
      <c r="D166" s="12">
        <v>0.4993055555555555</v>
      </c>
      <c r="E166" s="1">
        <v>10</v>
      </c>
      <c r="F166" s="24"/>
      <c r="G166" s="7"/>
      <c r="H166" s="7"/>
    </row>
    <row r="167" spans="3:11" ht="15.75" customHeight="1" x14ac:dyDescent="0.2">
      <c r="F167" s="24"/>
      <c r="G167" s="7"/>
      <c r="H167" s="7"/>
    </row>
    <row r="168" spans="3:11" ht="15.75" customHeight="1" x14ac:dyDescent="0.2">
      <c r="C168" s="16">
        <v>43620</v>
      </c>
      <c r="F168" s="24"/>
      <c r="G168" s="7"/>
      <c r="H168" s="7"/>
      <c r="J168" s="1">
        <v>8</v>
      </c>
      <c r="K168" s="1">
        <v>8</v>
      </c>
    </row>
    <row r="169" spans="3:11" ht="15.75" customHeight="1" x14ac:dyDescent="0.2">
      <c r="C169" s="16">
        <v>43620</v>
      </c>
      <c r="D169" s="12">
        <v>0.36527777777777781</v>
      </c>
      <c r="E169" s="1">
        <v>0.1</v>
      </c>
      <c r="F169" s="24">
        <v>8.17</v>
      </c>
      <c r="G169" s="7">
        <v>81.099999999999994</v>
      </c>
      <c r="H169" s="7">
        <v>15.1</v>
      </c>
    </row>
    <row r="170" spans="3:11" ht="15.75" customHeight="1" x14ac:dyDescent="0.2">
      <c r="C170" s="16">
        <v>43620</v>
      </c>
      <c r="D170" s="12">
        <v>0.36527777777777781</v>
      </c>
      <c r="E170" s="1">
        <v>1</v>
      </c>
      <c r="F170" s="24">
        <v>8.16</v>
      </c>
      <c r="G170" s="7"/>
      <c r="H170" s="7">
        <v>15.1</v>
      </c>
    </row>
    <row r="171" spans="3:11" ht="15.75" customHeight="1" x14ac:dyDescent="0.2">
      <c r="C171" s="16">
        <v>43620</v>
      </c>
      <c r="D171" s="12">
        <v>0.36527777777777781</v>
      </c>
      <c r="E171" s="1">
        <v>2</v>
      </c>
      <c r="F171" s="24">
        <v>8.15</v>
      </c>
      <c r="G171" s="7"/>
      <c r="H171" s="7">
        <v>15.1</v>
      </c>
    </row>
    <row r="172" spans="3:11" ht="15.75" customHeight="1" x14ac:dyDescent="0.2">
      <c r="C172" s="16">
        <v>43620</v>
      </c>
      <c r="D172" s="12">
        <v>0.36527777777777781</v>
      </c>
      <c r="E172" s="1">
        <v>3</v>
      </c>
      <c r="F172" s="24">
        <v>8.14</v>
      </c>
      <c r="G172" s="7"/>
      <c r="H172" s="7">
        <v>15.1</v>
      </c>
    </row>
    <row r="173" spans="3:11" ht="15.75" customHeight="1" x14ac:dyDescent="0.2">
      <c r="C173" s="16">
        <v>43620</v>
      </c>
      <c r="D173" s="12">
        <v>0.36527777777777781</v>
      </c>
      <c r="E173" s="1">
        <v>4</v>
      </c>
      <c r="F173" s="24">
        <v>8.1300000000000008</v>
      </c>
      <c r="G173" s="7"/>
      <c r="H173" s="7">
        <v>15</v>
      </c>
    </row>
    <row r="174" spans="3:11" ht="15.75" customHeight="1" x14ac:dyDescent="0.2">
      <c r="C174" s="16">
        <v>43620</v>
      </c>
      <c r="D174" s="12">
        <v>0.36527777777777781</v>
      </c>
      <c r="E174" s="1">
        <v>5</v>
      </c>
      <c r="F174" s="24">
        <v>8.14</v>
      </c>
      <c r="G174" s="7"/>
      <c r="H174" s="7">
        <v>15</v>
      </c>
    </row>
    <row r="175" spans="3:11" ht="15.75" customHeight="1" x14ac:dyDescent="0.2">
      <c r="C175" s="16">
        <v>43620</v>
      </c>
      <c r="D175" s="12">
        <v>0.36527777777777781</v>
      </c>
      <c r="E175" s="1">
        <v>6</v>
      </c>
      <c r="F175" s="24">
        <v>8.1300000000000008</v>
      </c>
      <c r="G175" s="7"/>
      <c r="H175" s="7">
        <v>15</v>
      </c>
    </row>
    <row r="176" spans="3:11" ht="15.75" customHeight="1" x14ac:dyDescent="0.2">
      <c r="C176" s="16">
        <v>43620</v>
      </c>
      <c r="D176" s="12">
        <v>0.36527777777777781</v>
      </c>
      <c r="E176" s="1">
        <v>7</v>
      </c>
      <c r="F176" s="24">
        <v>8.11</v>
      </c>
      <c r="G176" s="7"/>
      <c r="H176" s="7">
        <v>15</v>
      </c>
    </row>
    <row r="177" spans="3:11" ht="15.75" customHeight="1" x14ac:dyDescent="0.2">
      <c r="C177" s="16">
        <v>43620</v>
      </c>
      <c r="D177" s="12">
        <v>0.36527777777777781</v>
      </c>
      <c r="E177" s="1">
        <v>8</v>
      </c>
      <c r="F177" s="24">
        <v>8.11</v>
      </c>
      <c r="G177" s="7"/>
      <c r="H177" s="7">
        <v>14.9</v>
      </c>
    </row>
    <row r="178" spans="3:11" ht="15.75" customHeight="1" x14ac:dyDescent="0.2">
      <c r="C178" s="16">
        <v>43620</v>
      </c>
      <c r="D178" s="12">
        <v>0.36527777777777781</v>
      </c>
      <c r="E178" s="1">
        <v>9</v>
      </c>
      <c r="F178" s="24">
        <v>8.14</v>
      </c>
      <c r="G178" s="7">
        <v>80.3</v>
      </c>
      <c r="H178" s="7">
        <v>14.8</v>
      </c>
    </row>
    <row r="179" spans="3:11" ht="15.75" customHeight="1" x14ac:dyDescent="0.2">
      <c r="C179" s="16">
        <v>43620</v>
      </c>
      <c r="D179" s="12">
        <v>0.36527777777777781</v>
      </c>
      <c r="E179" s="1">
        <v>10</v>
      </c>
      <c r="F179" s="24">
        <v>8.5399999999999991</v>
      </c>
      <c r="G179" s="7">
        <v>80.5</v>
      </c>
      <c r="H179" s="7">
        <v>12.6</v>
      </c>
    </row>
    <row r="180" spans="3:11" ht="15.75" customHeight="1" x14ac:dyDescent="0.2">
      <c r="C180" s="16"/>
      <c r="F180" s="24"/>
      <c r="G180" s="7"/>
      <c r="H180" s="7"/>
    </row>
    <row r="181" spans="3:11" ht="15.75" customHeight="1" x14ac:dyDescent="0.2">
      <c r="C181" s="16">
        <v>43671</v>
      </c>
      <c r="D181" s="12">
        <v>0.33888888888888885</v>
      </c>
      <c r="F181" s="24"/>
      <c r="G181" s="7"/>
      <c r="H181" s="7"/>
      <c r="J181" s="1">
        <v>10.5</v>
      </c>
      <c r="K181" s="1">
        <v>11</v>
      </c>
    </row>
    <row r="182" spans="3:11" ht="15.75" customHeight="1" x14ac:dyDescent="0.2">
      <c r="C182" s="16">
        <v>43671</v>
      </c>
      <c r="D182" s="12">
        <v>0.35069444444444442</v>
      </c>
      <c r="E182" s="1">
        <v>0.1</v>
      </c>
      <c r="F182" s="24">
        <v>7.61</v>
      </c>
      <c r="G182" s="7">
        <v>83.4</v>
      </c>
      <c r="H182" s="7">
        <v>19.899999999999999</v>
      </c>
    </row>
    <row r="183" spans="3:11" ht="15.75" customHeight="1" x14ac:dyDescent="0.2">
      <c r="C183" s="16">
        <v>43671</v>
      </c>
      <c r="D183" s="12">
        <v>0.35069444444444442</v>
      </c>
      <c r="E183" s="1">
        <v>1</v>
      </c>
      <c r="F183" s="24">
        <v>7.58</v>
      </c>
      <c r="G183" s="7"/>
      <c r="H183" s="7">
        <v>19.899999999999999</v>
      </c>
    </row>
    <row r="184" spans="3:11" ht="15.75" customHeight="1" x14ac:dyDescent="0.2">
      <c r="C184" s="16">
        <v>43671</v>
      </c>
      <c r="D184" s="12">
        <v>0.35069444444444442</v>
      </c>
      <c r="E184" s="1">
        <v>2</v>
      </c>
      <c r="F184" s="24">
        <v>7.56</v>
      </c>
      <c r="G184" s="7"/>
      <c r="H184" s="7">
        <v>19.899999999999999</v>
      </c>
    </row>
    <row r="185" spans="3:11" ht="15.75" customHeight="1" x14ac:dyDescent="0.2">
      <c r="C185" s="16">
        <v>43671</v>
      </c>
      <c r="D185" s="12">
        <v>0.35069444444444442</v>
      </c>
      <c r="E185" s="1">
        <v>3</v>
      </c>
      <c r="F185" s="24">
        <v>7.54</v>
      </c>
      <c r="G185" s="7"/>
      <c r="H185" s="7">
        <v>19.899999999999999</v>
      </c>
    </row>
    <row r="186" spans="3:11" ht="15.75" customHeight="1" x14ac:dyDescent="0.2">
      <c r="C186" s="16">
        <v>43671</v>
      </c>
      <c r="D186" s="12">
        <v>0.35069444444444442</v>
      </c>
      <c r="E186" s="1">
        <v>4</v>
      </c>
      <c r="F186" s="24">
        <v>7.52</v>
      </c>
      <c r="G186" s="7"/>
      <c r="H186" s="7">
        <v>19.899999999999999</v>
      </c>
    </row>
    <row r="187" spans="3:11" ht="15.75" customHeight="1" x14ac:dyDescent="0.2">
      <c r="C187" s="16">
        <v>43671</v>
      </c>
      <c r="D187" s="12">
        <v>0.35069444444444442</v>
      </c>
      <c r="E187" s="1">
        <v>5</v>
      </c>
      <c r="F187" s="24">
        <v>7.5</v>
      </c>
      <c r="G187" s="7"/>
      <c r="H187" s="7">
        <v>19.899999999999999</v>
      </c>
    </row>
    <row r="188" spans="3:11" ht="15.75" customHeight="1" x14ac:dyDescent="0.2">
      <c r="C188" s="16">
        <v>43671</v>
      </c>
      <c r="D188" s="12">
        <v>0.35069444444444442</v>
      </c>
      <c r="E188" s="1">
        <v>6</v>
      </c>
      <c r="F188" s="24">
        <v>7.48</v>
      </c>
      <c r="G188" s="7"/>
      <c r="H188" s="7">
        <v>19.899999999999999</v>
      </c>
    </row>
    <row r="189" spans="3:11" ht="15.75" customHeight="1" x14ac:dyDescent="0.2">
      <c r="C189" s="16">
        <v>43671</v>
      </c>
      <c r="D189" s="12">
        <v>0.35069444444444442</v>
      </c>
      <c r="E189" s="1">
        <v>7</v>
      </c>
      <c r="F189" s="24">
        <v>7.47</v>
      </c>
      <c r="G189" s="7"/>
      <c r="H189" s="7">
        <v>19.899999999999999</v>
      </c>
    </row>
    <row r="190" spans="3:11" ht="15.75" customHeight="1" x14ac:dyDescent="0.2">
      <c r="C190" s="16">
        <v>43671</v>
      </c>
      <c r="D190" s="12">
        <v>0.35069444444444442</v>
      </c>
      <c r="E190" s="1">
        <v>8</v>
      </c>
      <c r="F190" s="24">
        <v>7.45</v>
      </c>
      <c r="G190" s="7"/>
      <c r="H190" s="7">
        <v>19.899999999999999</v>
      </c>
    </row>
    <row r="191" spans="3:11" ht="15.75" customHeight="1" x14ac:dyDescent="0.2">
      <c r="C191" s="16">
        <v>43671</v>
      </c>
      <c r="D191" s="12">
        <v>0.35069444444444442</v>
      </c>
      <c r="E191" s="1">
        <v>9</v>
      </c>
      <c r="F191" s="24">
        <v>7.43</v>
      </c>
      <c r="G191" s="7"/>
      <c r="H191" s="7">
        <v>19.8</v>
      </c>
    </row>
    <row r="192" spans="3:11" ht="15.75" customHeight="1" x14ac:dyDescent="0.2">
      <c r="C192" s="16">
        <v>43671</v>
      </c>
      <c r="D192" s="12">
        <v>0.35069444444444442</v>
      </c>
      <c r="E192" s="1">
        <v>10</v>
      </c>
      <c r="F192" s="24">
        <v>7.44</v>
      </c>
      <c r="G192" s="7"/>
      <c r="H192" s="7">
        <v>19.8</v>
      </c>
    </row>
    <row r="193" spans="3:11" ht="15.75" customHeight="1" x14ac:dyDescent="0.2">
      <c r="C193" s="16">
        <v>43671</v>
      </c>
      <c r="D193" s="12">
        <v>0.35069444444444442</v>
      </c>
      <c r="E193" s="1">
        <v>11</v>
      </c>
      <c r="F193" s="24">
        <v>7.42</v>
      </c>
      <c r="G193" s="7">
        <v>81.099999999999994</v>
      </c>
      <c r="H193" s="7">
        <v>19.8</v>
      </c>
    </row>
    <row r="194" spans="3:11" ht="15.75" customHeight="1" x14ac:dyDescent="0.2">
      <c r="C194" s="16"/>
      <c r="F194" s="24"/>
      <c r="G194" s="7"/>
      <c r="H194" s="7"/>
    </row>
    <row r="195" spans="3:11" ht="15.75" customHeight="1" x14ac:dyDescent="0.2">
      <c r="C195" s="16">
        <v>43705</v>
      </c>
      <c r="D195" s="12">
        <v>0.52916666666666667</v>
      </c>
      <c r="F195" s="24"/>
      <c r="G195" s="7"/>
      <c r="H195" s="7"/>
      <c r="J195" s="1">
        <v>9</v>
      </c>
      <c r="K195" s="1">
        <v>10.5</v>
      </c>
    </row>
    <row r="196" spans="3:11" ht="15.75" customHeight="1" x14ac:dyDescent="0.2">
      <c r="C196" s="16">
        <v>43705</v>
      </c>
      <c r="D196" s="12">
        <v>0.53680555555555554</v>
      </c>
      <c r="E196" s="1">
        <v>0.1</v>
      </c>
      <c r="F196" s="24">
        <v>7.39</v>
      </c>
      <c r="G196" s="7">
        <v>84.1</v>
      </c>
      <c r="H196" s="7">
        <v>21.7</v>
      </c>
    </row>
    <row r="197" spans="3:11" ht="15.75" customHeight="1" x14ac:dyDescent="0.2">
      <c r="C197" s="16">
        <v>43705</v>
      </c>
      <c r="D197" s="12">
        <v>0.53680555555555554</v>
      </c>
      <c r="E197" s="1">
        <v>1</v>
      </c>
      <c r="F197" s="24">
        <v>7.39</v>
      </c>
      <c r="G197" s="7"/>
      <c r="H197" s="7">
        <v>21.7</v>
      </c>
    </row>
    <row r="198" spans="3:11" ht="15.75" customHeight="1" x14ac:dyDescent="0.2">
      <c r="C198" s="16">
        <v>43705</v>
      </c>
      <c r="D198" s="12">
        <v>0.53680555555555554</v>
      </c>
      <c r="E198" s="1">
        <v>2</v>
      </c>
      <c r="F198" s="24">
        <v>7.36</v>
      </c>
      <c r="G198" s="7"/>
      <c r="H198" s="7">
        <v>21.6</v>
      </c>
    </row>
    <row r="199" spans="3:11" ht="15.75" customHeight="1" x14ac:dyDescent="0.2">
      <c r="C199" s="16">
        <v>43705</v>
      </c>
      <c r="D199" s="12">
        <v>0.53680555555555554</v>
      </c>
      <c r="E199" s="1">
        <v>3</v>
      </c>
      <c r="F199" s="24">
        <v>7.37</v>
      </c>
      <c r="G199" s="7"/>
      <c r="H199" s="7">
        <v>21.3</v>
      </c>
    </row>
    <row r="200" spans="3:11" ht="15.75" customHeight="1" x14ac:dyDescent="0.2">
      <c r="C200" s="16">
        <v>43705</v>
      </c>
      <c r="D200" s="12">
        <v>0.53680555555555554</v>
      </c>
      <c r="E200" s="1">
        <v>4</v>
      </c>
      <c r="F200" s="24">
        <v>7.37</v>
      </c>
      <c r="G200" s="7"/>
      <c r="H200" s="7">
        <v>21.2</v>
      </c>
    </row>
    <row r="201" spans="3:11" ht="15.75" customHeight="1" x14ac:dyDescent="0.2">
      <c r="C201" s="16">
        <v>43705</v>
      </c>
      <c r="D201" s="12">
        <v>0.53680555555555554</v>
      </c>
      <c r="E201" s="1">
        <v>5</v>
      </c>
      <c r="F201" s="24">
        <v>7.35</v>
      </c>
      <c r="G201" s="7"/>
      <c r="H201" s="7">
        <v>21.1</v>
      </c>
    </row>
    <row r="202" spans="3:11" ht="15.75" customHeight="1" x14ac:dyDescent="0.2">
      <c r="C202" s="16">
        <v>43705</v>
      </c>
      <c r="D202" s="12">
        <v>0.53680555555555554</v>
      </c>
      <c r="E202" s="1">
        <v>6</v>
      </c>
      <c r="F202" s="24">
        <v>7.35</v>
      </c>
      <c r="G202" s="7"/>
      <c r="H202" s="7">
        <v>20.9</v>
      </c>
    </row>
    <row r="203" spans="3:11" ht="15.75" customHeight="1" x14ac:dyDescent="0.2">
      <c r="C203" s="16">
        <v>43705</v>
      </c>
      <c r="D203" s="12">
        <v>0.53680555555555554</v>
      </c>
      <c r="E203" s="1">
        <v>7</v>
      </c>
      <c r="F203" s="24">
        <v>7.35</v>
      </c>
      <c r="G203" s="7"/>
      <c r="H203" s="7">
        <v>29.8</v>
      </c>
    </row>
    <row r="204" spans="3:11" ht="15.75" customHeight="1" x14ac:dyDescent="0.2">
      <c r="C204" s="16">
        <v>43705</v>
      </c>
      <c r="D204" s="12">
        <v>0.53680555555555554</v>
      </c>
      <c r="E204" s="1">
        <v>8</v>
      </c>
      <c r="F204" s="24">
        <v>7.33</v>
      </c>
      <c r="G204" s="7"/>
      <c r="H204" s="7">
        <v>20.8</v>
      </c>
    </row>
    <row r="205" spans="3:11" ht="15.75" customHeight="1" x14ac:dyDescent="0.2">
      <c r="C205" s="16">
        <v>43705</v>
      </c>
      <c r="D205" s="12">
        <v>0.53680555555555554</v>
      </c>
      <c r="E205" s="1">
        <v>9</v>
      </c>
      <c r="F205" s="24">
        <v>7.31</v>
      </c>
      <c r="G205" s="7"/>
      <c r="H205" s="7">
        <v>20.8</v>
      </c>
    </row>
    <row r="206" spans="3:11" ht="15.75" customHeight="1" x14ac:dyDescent="0.2">
      <c r="C206" s="16">
        <v>43705</v>
      </c>
      <c r="D206" s="12">
        <v>0.53680555555555554</v>
      </c>
      <c r="E206" s="1">
        <v>10</v>
      </c>
      <c r="F206" s="24">
        <v>7.38</v>
      </c>
      <c r="G206" s="7">
        <v>82.3</v>
      </c>
      <c r="H206" s="7">
        <v>20.7</v>
      </c>
    </row>
    <row r="207" spans="3:11" ht="15.75" customHeight="1" x14ac:dyDescent="0.2">
      <c r="C207" s="16"/>
      <c r="D207" s="12"/>
      <c r="F207" s="24"/>
      <c r="G207" s="7"/>
      <c r="H207" s="7"/>
    </row>
    <row r="208" spans="3:11" ht="15.75" customHeight="1" x14ac:dyDescent="0.2">
      <c r="F208" s="24"/>
      <c r="G208" s="7"/>
      <c r="H208" s="7"/>
    </row>
    <row r="209" spans="3:11" ht="15.75" customHeight="1" x14ac:dyDescent="0.2">
      <c r="C209" s="16">
        <v>43732</v>
      </c>
      <c r="F209" s="24"/>
      <c r="G209" s="7"/>
      <c r="H209" s="7"/>
      <c r="J209" s="1">
        <v>8</v>
      </c>
      <c r="K209" s="1">
        <v>10</v>
      </c>
    </row>
    <row r="210" spans="3:11" ht="15.75" customHeight="1" x14ac:dyDescent="0.2">
      <c r="C210" s="16">
        <v>43732</v>
      </c>
      <c r="D210" s="12">
        <v>0.61458333333333337</v>
      </c>
      <c r="E210" s="1">
        <v>0.1</v>
      </c>
      <c r="F210" s="24">
        <v>8.01</v>
      </c>
      <c r="G210" s="7">
        <v>84</v>
      </c>
      <c r="H210" s="7">
        <v>17.7</v>
      </c>
    </row>
    <row r="211" spans="3:11" ht="15.75" customHeight="1" x14ac:dyDescent="0.2">
      <c r="C211" s="16">
        <v>43732</v>
      </c>
      <c r="D211" s="12">
        <v>0.61458333333333337</v>
      </c>
      <c r="E211" s="1">
        <v>1</v>
      </c>
      <c r="F211" s="24">
        <v>7.99</v>
      </c>
      <c r="G211" s="7"/>
      <c r="H211" s="7">
        <v>17.7</v>
      </c>
    </row>
    <row r="212" spans="3:11" ht="15.75" customHeight="1" x14ac:dyDescent="0.2">
      <c r="C212" s="16">
        <v>43732</v>
      </c>
      <c r="D212" s="12">
        <v>0.61458333333333337</v>
      </c>
      <c r="E212" s="1">
        <v>2</v>
      </c>
      <c r="F212" s="24">
        <v>8</v>
      </c>
      <c r="G212" s="7"/>
      <c r="H212" s="7">
        <v>17.600000000000001</v>
      </c>
    </row>
    <row r="213" spans="3:11" ht="15.75" customHeight="1" x14ac:dyDescent="0.2">
      <c r="C213" s="16">
        <v>43732</v>
      </c>
      <c r="D213" s="12">
        <v>0.61458333333333337</v>
      </c>
      <c r="E213" s="1">
        <v>3</v>
      </c>
      <c r="F213" s="24">
        <v>7.98</v>
      </c>
      <c r="G213" s="7"/>
      <c r="H213" s="7">
        <v>17.600000000000001</v>
      </c>
    </row>
    <row r="214" spans="3:11" ht="15.75" customHeight="1" x14ac:dyDescent="0.2">
      <c r="C214" s="16">
        <v>43732</v>
      </c>
      <c r="D214" s="12">
        <v>0.61458333333333337</v>
      </c>
      <c r="E214" s="1">
        <v>4</v>
      </c>
      <c r="F214" s="24">
        <v>7.97</v>
      </c>
      <c r="G214" s="7"/>
      <c r="H214" s="7">
        <v>17.600000000000001</v>
      </c>
    </row>
    <row r="215" spans="3:11" ht="15.75" customHeight="1" x14ac:dyDescent="0.2">
      <c r="C215" s="16">
        <v>43732</v>
      </c>
      <c r="D215" s="12">
        <v>0.61458333333333337</v>
      </c>
      <c r="E215" s="1">
        <v>5</v>
      </c>
      <c r="F215" s="24">
        <v>7.95</v>
      </c>
      <c r="G215" s="7"/>
      <c r="H215" s="7">
        <v>17.600000000000001</v>
      </c>
    </row>
    <row r="216" spans="3:11" ht="15.75" customHeight="1" x14ac:dyDescent="0.2">
      <c r="C216" s="16">
        <v>43732</v>
      </c>
      <c r="D216" s="12">
        <v>0.61458333333333337</v>
      </c>
      <c r="E216" s="1">
        <v>6</v>
      </c>
      <c r="F216" s="24">
        <v>7.94</v>
      </c>
      <c r="G216" s="7"/>
      <c r="H216" s="7">
        <v>17.600000000000001</v>
      </c>
    </row>
    <row r="217" spans="3:11" ht="15.75" customHeight="1" x14ac:dyDescent="0.2">
      <c r="C217" s="16">
        <v>43732</v>
      </c>
      <c r="D217" s="12">
        <v>0.61458333333333337</v>
      </c>
      <c r="E217" s="1">
        <v>7</v>
      </c>
      <c r="F217" s="24">
        <v>7.94</v>
      </c>
      <c r="G217" s="7"/>
      <c r="H217" s="7">
        <v>17.600000000000001</v>
      </c>
    </row>
    <row r="218" spans="3:11" ht="15.75" customHeight="1" x14ac:dyDescent="0.2">
      <c r="C218" s="16">
        <v>43732</v>
      </c>
      <c r="D218" s="12">
        <v>0.61458333333333337</v>
      </c>
      <c r="E218" s="1">
        <v>8</v>
      </c>
      <c r="F218" s="24">
        <v>7.93</v>
      </c>
      <c r="G218" s="7"/>
      <c r="H218" s="7">
        <v>17.5</v>
      </c>
    </row>
    <row r="219" spans="3:11" ht="15.75" customHeight="1" x14ac:dyDescent="0.2">
      <c r="C219" s="16">
        <v>43732</v>
      </c>
      <c r="D219" s="12">
        <v>0.61458333333333337</v>
      </c>
      <c r="E219" s="1">
        <v>9</v>
      </c>
      <c r="F219" s="24">
        <v>7.92</v>
      </c>
      <c r="G219" s="7"/>
      <c r="H219" s="7">
        <v>17.5</v>
      </c>
    </row>
    <row r="220" spans="3:11" ht="15.75" customHeight="1" x14ac:dyDescent="0.2">
      <c r="C220" s="16">
        <v>43732</v>
      </c>
      <c r="D220" s="12">
        <v>0.61458333333333337</v>
      </c>
      <c r="E220" s="1">
        <v>10</v>
      </c>
      <c r="F220" s="24">
        <v>7.91</v>
      </c>
      <c r="G220" s="7"/>
      <c r="H220" s="7">
        <v>17.5</v>
      </c>
    </row>
    <row r="221" spans="3:11" ht="15.75" customHeight="1" x14ac:dyDescent="0.2">
      <c r="C221" s="16">
        <v>43732</v>
      </c>
      <c r="D221" s="12">
        <v>0.61458333333333337</v>
      </c>
      <c r="E221" s="1">
        <v>11</v>
      </c>
      <c r="F221" s="24">
        <v>7.9</v>
      </c>
      <c r="G221" s="7"/>
      <c r="H221" s="7">
        <v>17.5</v>
      </c>
    </row>
    <row r="222" spans="3:11" ht="15.75" customHeight="1" x14ac:dyDescent="0.2">
      <c r="C222" s="16">
        <v>43732</v>
      </c>
      <c r="D222" s="12">
        <v>0.61458333333333337</v>
      </c>
      <c r="E222" s="1">
        <v>12</v>
      </c>
      <c r="F222" s="24">
        <v>7.91</v>
      </c>
      <c r="G222" s="7"/>
      <c r="H222" s="7">
        <v>17.5</v>
      </c>
    </row>
    <row r="223" spans="3:11" ht="15.75" customHeight="1" x14ac:dyDescent="0.2">
      <c r="C223" s="16">
        <v>43732</v>
      </c>
      <c r="D223" s="12">
        <v>0.61458333333333337</v>
      </c>
      <c r="E223" s="1">
        <v>13</v>
      </c>
      <c r="F223" s="24">
        <v>7.9</v>
      </c>
      <c r="G223" s="7">
        <v>82.6</v>
      </c>
      <c r="H223" s="7">
        <v>17.5</v>
      </c>
    </row>
    <row r="224" spans="3:11" ht="15.75" customHeight="1" x14ac:dyDescent="0.2">
      <c r="F224" s="24"/>
      <c r="G224" s="7"/>
      <c r="H224" s="7"/>
    </row>
    <row r="225" spans="2:11" ht="15.75" customHeight="1" x14ac:dyDescent="0.2">
      <c r="F225" s="24"/>
      <c r="G225" s="7"/>
      <c r="H225" s="7"/>
    </row>
    <row r="226" spans="2:11" ht="15.75" customHeight="1" x14ac:dyDescent="0.2">
      <c r="C226" s="217">
        <v>43270</v>
      </c>
      <c r="F226" s="24"/>
      <c r="G226" s="7"/>
      <c r="H226" s="7"/>
      <c r="J226" s="1">
        <v>5</v>
      </c>
      <c r="K226" s="1">
        <v>6</v>
      </c>
    </row>
    <row r="227" spans="2:11" ht="15.75" customHeight="1" x14ac:dyDescent="0.2">
      <c r="C227" s="217">
        <v>43304</v>
      </c>
      <c r="F227" s="24"/>
      <c r="G227" s="7"/>
      <c r="H227" s="7"/>
      <c r="J227" s="1">
        <v>11</v>
      </c>
      <c r="K227" s="1">
        <v>12</v>
      </c>
    </row>
    <row r="228" spans="2:11" ht="15.75" customHeight="1" x14ac:dyDescent="0.2">
      <c r="C228" s="217">
        <v>43334</v>
      </c>
      <c r="F228" s="24"/>
      <c r="G228" s="7"/>
      <c r="H228" s="7"/>
      <c r="J228" s="1">
        <v>9.5</v>
      </c>
      <c r="K228" s="1">
        <v>9.5</v>
      </c>
    </row>
    <row r="229" spans="2:11" ht="15.75" customHeight="1" x14ac:dyDescent="0.2">
      <c r="C229" s="217">
        <v>43366</v>
      </c>
      <c r="F229" s="24"/>
      <c r="G229" s="7"/>
      <c r="H229" s="7"/>
      <c r="J229" s="1">
        <v>8</v>
      </c>
      <c r="K229" s="1">
        <v>10</v>
      </c>
    </row>
    <row r="230" spans="2:11" ht="15.75" customHeight="1" x14ac:dyDescent="0.2">
      <c r="F230" s="24"/>
      <c r="G230" s="7"/>
      <c r="H230" s="7"/>
    </row>
    <row r="231" spans="2:11" ht="16" x14ac:dyDescent="0.2">
      <c r="B231">
        <v>2</v>
      </c>
      <c r="C231" s="205">
        <v>34757</v>
      </c>
      <c r="D231" s="185">
        <v>0.625</v>
      </c>
      <c r="F231" s="221"/>
      <c r="G231" s="191"/>
      <c r="H231" s="191"/>
      <c r="J231" t="s">
        <v>599</v>
      </c>
    </row>
    <row r="232" spans="2:11" ht="16" x14ac:dyDescent="0.2">
      <c r="F232" s="221"/>
      <c r="G232" s="191"/>
      <c r="H232" s="191"/>
    </row>
    <row r="233" spans="2:11" ht="16" x14ac:dyDescent="0.2">
      <c r="B233">
        <v>1</v>
      </c>
      <c r="C233" s="205">
        <v>34533</v>
      </c>
      <c r="D233" s="185">
        <v>0.625</v>
      </c>
      <c r="F233" s="221"/>
      <c r="G233" s="191"/>
      <c r="H233" s="191"/>
      <c r="J233" t="s">
        <v>599</v>
      </c>
    </row>
    <row r="234" spans="2:11" ht="16" x14ac:dyDescent="0.2">
      <c r="C234" s="205">
        <v>34533</v>
      </c>
      <c r="D234" s="185">
        <v>0.625</v>
      </c>
      <c r="E234">
        <v>1</v>
      </c>
      <c r="F234" s="221">
        <v>9.1</v>
      </c>
      <c r="G234" s="191"/>
      <c r="H234" s="191">
        <v>22.6</v>
      </c>
    </row>
    <row r="235" spans="2:11" ht="16" x14ac:dyDescent="0.2">
      <c r="C235" s="205"/>
      <c r="D235" s="185"/>
      <c r="F235" s="221"/>
      <c r="G235" s="191"/>
      <c r="H235" s="191"/>
    </row>
    <row r="236" spans="2:11" ht="16" x14ac:dyDescent="0.2">
      <c r="C236" s="205">
        <v>34423</v>
      </c>
      <c r="D236" s="185">
        <v>0.57638888888888884</v>
      </c>
      <c r="F236" s="221"/>
      <c r="G236" s="191"/>
      <c r="H236" s="191"/>
    </row>
    <row r="237" spans="2:11" ht="16" x14ac:dyDescent="0.2">
      <c r="F237" s="221"/>
      <c r="G237" s="191"/>
      <c r="H237" s="191"/>
    </row>
    <row r="238" spans="2:11" ht="16" x14ac:dyDescent="0.2">
      <c r="B238">
        <v>10.6</v>
      </c>
      <c r="C238" s="205">
        <v>34254</v>
      </c>
      <c r="D238" s="185">
        <v>0.61111111111111116</v>
      </c>
      <c r="F238" s="221"/>
      <c r="G238" s="191"/>
      <c r="H238" s="191"/>
      <c r="J238">
        <v>10.6</v>
      </c>
      <c r="K238" t="s">
        <v>601</v>
      </c>
    </row>
    <row r="239" spans="2:11" ht="16" x14ac:dyDescent="0.2">
      <c r="C239" s="205">
        <v>34254</v>
      </c>
      <c r="E239">
        <v>1</v>
      </c>
      <c r="F239" s="221">
        <v>9.4700000000000006</v>
      </c>
      <c r="G239" s="191"/>
      <c r="H239" s="191">
        <v>14.91</v>
      </c>
    </row>
    <row r="240" spans="2:11" ht="16" x14ac:dyDescent="0.2">
      <c r="C240" s="205">
        <v>34254</v>
      </c>
      <c r="E240">
        <v>10</v>
      </c>
      <c r="F240" s="221">
        <v>9.2899999999999991</v>
      </c>
      <c r="G240" s="191"/>
      <c r="H240" s="191">
        <v>14.47</v>
      </c>
    </row>
    <row r="241" spans="2:11" ht="16" x14ac:dyDescent="0.2">
      <c r="F241" s="221"/>
      <c r="G241" s="191"/>
      <c r="H241" s="191"/>
    </row>
    <row r="242" spans="2:11" ht="16" x14ac:dyDescent="0.2">
      <c r="B242">
        <v>10</v>
      </c>
      <c r="C242" s="205">
        <v>34198</v>
      </c>
      <c r="F242" s="221"/>
      <c r="G242" s="191"/>
      <c r="H242" s="191"/>
      <c r="J242">
        <v>9.9</v>
      </c>
      <c r="K242" t="s">
        <v>601</v>
      </c>
    </row>
    <row r="243" spans="2:11" ht="16" x14ac:dyDescent="0.2">
      <c r="C243" s="205">
        <v>34198</v>
      </c>
      <c r="E243">
        <v>1</v>
      </c>
      <c r="F243" s="221">
        <v>8.7799999999999994</v>
      </c>
      <c r="G243" s="191"/>
      <c r="H243" s="191">
        <v>19.39</v>
      </c>
    </row>
    <row r="244" spans="2:11" ht="16" x14ac:dyDescent="0.2">
      <c r="C244" s="205">
        <v>34198</v>
      </c>
      <c r="E244">
        <v>8</v>
      </c>
      <c r="F244" s="221">
        <v>8.7799999999999994</v>
      </c>
      <c r="G244" s="191"/>
      <c r="H244" s="191">
        <v>18.41</v>
      </c>
    </row>
    <row r="245" spans="2:11" ht="16" x14ac:dyDescent="0.2">
      <c r="F245" s="221"/>
      <c r="G245" s="191"/>
      <c r="H245" s="191"/>
    </row>
    <row r="246" spans="2:11" ht="16" x14ac:dyDescent="0.2">
      <c r="B246">
        <v>9</v>
      </c>
      <c r="C246" s="205">
        <v>34157</v>
      </c>
      <c r="D246" s="185">
        <v>0.60416666666666663</v>
      </c>
      <c r="F246" s="221"/>
      <c r="G246" s="191"/>
      <c r="H246" s="191"/>
      <c r="J246">
        <v>6.5</v>
      </c>
    </row>
    <row r="247" spans="2:11" ht="16" x14ac:dyDescent="0.2">
      <c r="C247" s="205">
        <v>34157</v>
      </c>
      <c r="E247">
        <v>1</v>
      </c>
      <c r="F247" s="221"/>
      <c r="G247" s="191" t="s">
        <v>602</v>
      </c>
      <c r="H247" s="191"/>
    </row>
    <row r="248" spans="2:11" ht="16" x14ac:dyDescent="0.2">
      <c r="F248" s="221"/>
      <c r="G248" s="191"/>
      <c r="H248" s="191"/>
    </row>
    <row r="249" spans="2:11" ht="16" x14ac:dyDescent="0.2">
      <c r="B249">
        <v>9.6999999999999993</v>
      </c>
      <c r="C249" s="205">
        <v>34135</v>
      </c>
      <c r="D249" s="185">
        <v>0.4513888888888889</v>
      </c>
      <c r="F249" s="221"/>
      <c r="G249" s="191"/>
      <c r="H249" s="191"/>
      <c r="J249">
        <v>6</v>
      </c>
    </row>
    <row r="250" spans="2:11" ht="16" x14ac:dyDescent="0.2">
      <c r="C250" s="205">
        <v>34135</v>
      </c>
      <c r="E250">
        <v>1</v>
      </c>
      <c r="F250" s="221">
        <v>9.6999999999999993</v>
      </c>
      <c r="G250" s="191"/>
      <c r="H250" s="191">
        <v>15.3</v>
      </c>
    </row>
    <row r="251" spans="2:11" ht="16" x14ac:dyDescent="0.2">
      <c r="C251" s="205">
        <v>34135</v>
      </c>
      <c r="E251">
        <v>9</v>
      </c>
      <c r="F251" s="221">
        <v>9.6999999999999993</v>
      </c>
      <c r="G251" s="191"/>
      <c r="H251" s="191">
        <v>13.7</v>
      </c>
    </row>
    <row r="252" spans="2:11" ht="16" x14ac:dyDescent="0.2">
      <c r="F252" s="221"/>
      <c r="G252" s="191"/>
      <c r="H252" s="191"/>
    </row>
    <row r="253" spans="2:11" ht="16" x14ac:dyDescent="0.2">
      <c r="B253">
        <v>14.5</v>
      </c>
      <c r="C253" s="205">
        <v>34107</v>
      </c>
      <c r="D253" s="185">
        <v>0.47222222222222221</v>
      </c>
      <c r="F253" s="221"/>
      <c r="G253" s="191"/>
      <c r="H253" s="191"/>
      <c r="J253">
        <v>6.3</v>
      </c>
    </row>
    <row r="254" spans="2:11" ht="16" x14ac:dyDescent="0.2">
      <c r="C254" s="205">
        <v>34107</v>
      </c>
      <c r="E254">
        <v>1</v>
      </c>
      <c r="F254" s="221">
        <v>11.2</v>
      </c>
      <c r="G254" s="191"/>
      <c r="H254" s="191">
        <v>14</v>
      </c>
    </row>
    <row r="255" spans="2:11" ht="16" x14ac:dyDescent="0.2">
      <c r="C255" s="205">
        <v>34107</v>
      </c>
      <c r="E255">
        <v>13.5</v>
      </c>
      <c r="F255" s="221">
        <v>12</v>
      </c>
      <c r="G255" s="191"/>
      <c r="H255" s="191">
        <v>6.4</v>
      </c>
    </row>
    <row r="256" spans="2:11" ht="16" x14ac:dyDescent="0.2">
      <c r="F256" s="221"/>
      <c r="G256" s="191"/>
      <c r="H256" s="191"/>
    </row>
    <row r="257" spans="2:10" ht="16" x14ac:dyDescent="0.2">
      <c r="B257">
        <v>6</v>
      </c>
      <c r="C257" s="205">
        <v>34082</v>
      </c>
      <c r="D257" s="185">
        <v>0.44444444444444442</v>
      </c>
      <c r="F257" s="221"/>
      <c r="G257" s="191" t="s">
        <v>603</v>
      </c>
      <c r="H257" s="191"/>
      <c r="J257">
        <v>5.8</v>
      </c>
    </row>
    <row r="258" spans="2:10" ht="15.75" customHeight="1" x14ac:dyDescent="0.2">
      <c r="F258" s="7"/>
    </row>
    <row r="259" spans="2:10" ht="15.75" customHeight="1" x14ac:dyDescent="0.2">
      <c r="F259" s="24"/>
      <c r="G259" s="7"/>
      <c r="H259" s="7"/>
    </row>
    <row r="260" spans="2:10" ht="15.75" customHeight="1" x14ac:dyDescent="0.2">
      <c r="F260" s="24"/>
      <c r="G260" s="7"/>
      <c r="H260" s="7"/>
    </row>
    <row r="261" spans="2:10" ht="15.75" customHeight="1" x14ac:dyDescent="0.2">
      <c r="F261" s="24"/>
      <c r="G261" s="7"/>
      <c r="H261" s="7"/>
    </row>
    <row r="262" spans="2:10" ht="15.75" customHeight="1" x14ac:dyDescent="0.2">
      <c r="F262" s="24"/>
      <c r="G262" s="7"/>
      <c r="H262" s="7"/>
    </row>
    <row r="263" spans="2:10" ht="15.75" customHeight="1" x14ac:dyDescent="0.2">
      <c r="F263" s="24"/>
      <c r="G263" s="7"/>
      <c r="H263" s="7"/>
    </row>
    <row r="264" spans="2:10" ht="15.75" customHeight="1" x14ac:dyDescent="0.2">
      <c r="F264" s="24"/>
      <c r="G264" s="7"/>
      <c r="H264" s="7"/>
    </row>
    <row r="265" spans="2:10" ht="15.75" customHeight="1" x14ac:dyDescent="0.2">
      <c r="F265" s="24"/>
      <c r="G265" s="7"/>
      <c r="H265" s="7"/>
    </row>
    <row r="266" spans="2:10" ht="15.75" customHeight="1" x14ac:dyDescent="0.2">
      <c r="F266" s="24"/>
      <c r="G266" s="7"/>
      <c r="H266" s="7"/>
    </row>
    <row r="267" spans="2:10" ht="15.75" customHeight="1" x14ac:dyDescent="0.2">
      <c r="F267" s="24"/>
      <c r="G267" s="7"/>
      <c r="H267" s="7"/>
    </row>
    <row r="268" spans="2:10" ht="15.75" customHeight="1" x14ac:dyDescent="0.2">
      <c r="F268" s="24"/>
      <c r="G268" s="7"/>
      <c r="H268" s="7"/>
    </row>
    <row r="269" spans="2:10" ht="15.75" customHeight="1" x14ac:dyDescent="0.2">
      <c r="F269" s="24"/>
      <c r="G269" s="7"/>
      <c r="H269" s="7"/>
    </row>
    <row r="270" spans="2:10" ht="15.75" customHeight="1" x14ac:dyDescent="0.2">
      <c r="F270" s="24"/>
      <c r="G270" s="7"/>
      <c r="H270" s="7"/>
    </row>
    <row r="271" spans="2:10" ht="15.75" customHeight="1" x14ac:dyDescent="0.2">
      <c r="F271" s="24"/>
      <c r="G271" s="7"/>
      <c r="H271" s="7"/>
    </row>
    <row r="272" spans="2:10" ht="15.75" customHeight="1" x14ac:dyDescent="0.2">
      <c r="F272" s="24"/>
      <c r="G272" s="7"/>
      <c r="H272" s="7"/>
    </row>
    <row r="273" spans="6:8" ht="15.75" customHeight="1" x14ac:dyDescent="0.2">
      <c r="F273" s="24"/>
      <c r="G273" s="7"/>
      <c r="H273" s="7"/>
    </row>
    <row r="274" spans="6:8" ht="15.75" customHeight="1" x14ac:dyDescent="0.2">
      <c r="F274" s="24"/>
      <c r="G274" s="7"/>
      <c r="H274" s="7"/>
    </row>
    <row r="275" spans="6:8" ht="15.75" customHeight="1" x14ac:dyDescent="0.2">
      <c r="F275" s="24"/>
      <c r="G275" s="7"/>
      <c r="H275" s="7"/>
    </row>
    <row r="276" spans="6:8" ht="15.75" customHeight="1" x14ac:dyDescent="0.2">
      <c r="F276" s="24"/>
      <c r="G276" s="7"/>
      <c r="H276" s="7"/>
    </row>
    <row r="277" spans="6:8" ht="15.75" customHeight="1" x14ac:dyDescent="0.2">
      <c r="F277" s="24"/>
      <c r="G277" s="7"/>
      <c r="H277" s="7"/>
    </row>
    <row r="278" spans="6:8" ht="15.75" customHeight="1" x14ac:dyDescent="0.2">
      <c r="F278" s="24"/>
      <c r="G278" s="7"/>
      <c r="H278" s="7"/>
    </row>
    <row r="279" spans="6:8" ht="15.75" customHeight="1" x14ac:dyDescent="0.2">
      <c r="F279" s="24"/>
      <c r="G279" s="7"/>
      <c r="H279" s="7"/>
    </row>
    <row r="280" spans="6:8" ht="15.75" customHeight="1" x14ac:dyDescent="0.2">
      <c r="F280" s="24"/>
      <c r="G280" s="7"/>
      <c r="H280" s="7"/>
    </row>
    <row r="281" spans="6:8" ht="15.75" customHeight="1" x14ac:dyDescent="0.2">
      <c r="F281" s="24"/>
      <c r="G281" s="7"/>
      <c r="H281" s="7"/>
    </row>
    <row r="282" spans="6:8" ht="15.75" customHeight="1" x14ac:dyDescent="0.2">
      <c r="F282" s="24"/>
      <c r="G282" s="7"/>
      <c r="H282" s="7"/>
    </row>
    <row r="283" spans="6:8" ht="15.75" customHeight="1" x14ac:dyDescent="0.2">
      <c r="F283" s="24"/>
      <c r="G283" s="7"/>
      <c r="H283" s="7"/>
    </row>
    <row r="284" spans="6:8" ht="15.75" customHeight="1" x14ac:dyDescent="0.2">
      <c r="F284" s="24"/>
      <c r="G284" s="7"/>
      <c r="H284" s="7"/>
    </row>
    <row r="285" spans="6:8" ht="15.75" customHeight="1" x14ac:dyDescent="0.2">
      <c r="F285" s="24"/>
      <c r="G285" s="7"/>
      <c r="H285" s="7"/>
    </row>
    <row r="286" spans="6:8" ht="15.75" customHeight="1" x14ac:dyDescent="0.2">
      <c r="F286" s="24"/>
      <c r="G286" s="7"/>
      <c r="H286" s="7"/>
    </row>
    <row r="287" spans="6:8" ht="15.75" customHeight="1" x14ac:dyDescent="0.2">
      <c r="F287" s="24"/>
      <c r="G287" s="7"/>
      <c r="H287" s="7"/>
    </row>
    <row r="288" spans="6:8" ht="15.75" customHeight="1" x14ac:dyDescent="0.2">
      <c r="F288" s="24"/>
      <c r="G288" s="7"/>
      <c r="H288" s="7"/>
    </row>
    <row r="289" spans="6:8" ht="15.75" customHeight="1" x14ac:dyDescent="0.2">
      <c r="F289" s="24"/>
      <c r="G289" s="7"/>
      <c r="H289" s="7"/>
    </row>
    <row r="290" spans="6:8" ht="15.75" customHeight="1" x14ac:dyDescent="0.2">
      <c r="F290" s="24"/>
      <c r="G290" s="7"/>
      <c r="H290" s="7"/>
    </row>
    <row r="291" spans="6:8" ht="15.75" customHeight="1" x14ac:dyDescent="0.2">
      <c r="F291" s="24"/>
      <c r="G291" s="7"/>
      <c r="H291" s="7"/>
    </row>
    <row r="292" spans="6:8" ht="15.75" customHeight="1" x14ac:dyDescent="0.2">
      <c r="F292" s="24"/>
      <c r="G292" s="7"/>
      <c r="H292" s="7"/>
    </row>
    <row r="293" spans="6:8" ht="15.75" customHeight="1" x14ac:dyDescent="0.2">
      <c r="F293" s="24"/>
      <c r="G293" s="7"/>
      <c r="H293" s="7"/>
    </row>
    <row r="294" spans="6:8" ht="15.75" customHeight="1" x14ac:dyDescent="0.2">
      <c r="F294" s="24"/>
      <c r="G294" s="7"/>
      <c r="H294" s="7"/>
    </row>
    <row r="295" spans="6:8" ht="15.75" customHeight="1" x14ac:dyDescent="0.2">
      <c r="F295" s="24"/>
      <c r="G295" s="7"/>
      <c r="H295" s="7"/>
    </row>
    <row r="296" spans="6:8" ht="15.75" customHeight="1" x14ac:dyDescent="0.2">
      <c r="F296" s="24"/>
      <c r="G296" s="7"/>
      <c r="H296" s="7"/>
    </row>
    <row r="297" spans="6:8" ht="15.75" customHeight="1" x14ac:dyDescent="0.2">
      <c r="F297" s="24"/>
      <c r="G297" s="7"/>
      <c r="H297" s="7"/>
    </row>
    <row r="298" spans="6:8" ht="15.75" customHeight="1" x14ac:dyDescent="0.2">
      <c r="F298" s="24"/>
      <c r="G298" s="7"/>
      <c r="H298" s="7"/>
    </row>
    <row r="299" spans="6:8" ht="15.75" customHeight="1" x14ac:dyDescent="0.2">
      <c r="F299" s="24"/>
      <c r="G299" s="7"/>
      <c r="H299" s="7"/>
    </row>
    <row r="300" spans="6:8" ht="15.75" customHeight="1" x14ac:dyDescent="0.2">
      <c r="F300" s="24"/>
      <c r="G300" s="7"/>
      <c r="H300" s="7"/>
    </row>
    <row r="301" spans="6:8" ht="15.75" customHeight="1" x14ac:dyDescent="0.2">
      <c r="F301" s="24"/>
      <c r="G301" s="7"/>
      <c r="H301" s="7"/>
    </row>
    <row r="302" spans="6:8" ht="15.75" customHeight="1" x14ac:dyDescent="0.2">
      <c r="F302" s="24"/>
      <c r="G302" s="7"/>
      <c r="H302" s="7"/>
    </row>
    <row r="303" spans="6:8" ht="15.75" customHeight="1" x14ac:dyDescent="0.2">
      <c r="F303" s="24"/>
      <c r="G303" s="7"/>
      <c r="H303" s="7"/>
    </row>
    <row r="304" spans="6:8" ht="15.75" customHeight="1" x14ac:dyDescent="0.2">
      <c r="F304" s="24"/>
      <c r="G304" s="7"/>
      <c r="H304" s="7"/>
    </row>
    <row r="305" spans="6:8" ht="15.75" customHeight="1" x14ac:dyDescent="0.2">
      <c r="F305" s="24"/>
      <c r="G305" s="7"/>
      <c r="H305" s="7"/>
    </row>
    <row r="306" spans="6:8" ht="15.75" customHeight="1" x14ac:dyDescent="0.2">
      <c r="F306" s="24"/>
      <c r="G306" s="7"/>
      <c r="H306" s="7"/>
    </row>
    <row r="307" spans="6:8" ht="15.75" customHeight="1" x14ac:dyDescent="0.2">
      <c r="F307" s="24"/>
      <c r="G307" s="7"/>
      <c r="H307" s="7"/>
    </row>
    <row r="308" spans="6:8" ht="15.75" customHeight="1" x14ac:dyDescent="0.2">
      <c r="F308" s="24"/>
      <c r="G308" s="7"/>
      <c r="H308" s="7"/>
    </row>
    <row r="309" spans="6:8" ht="15.75" customHeight="1" x14ac:dyDescent="0.2">
      <c r="F309" s="24"/>
      <c r="G309" s="7"/>
      <c r="H309" s="7"/>
    </row>
    <row r="310" spans="6:8" ht="15.75" customHeight="1" x14ac:dyDescent="0.2">
      <c r="F310" s="24"/>
      <c r="G310" s="7"/>
      <c r="H310" s="7"/>
    </row>
    <row r="311" spans="6:8" ht="15.75" customHeight="1" x14ac:dyDescent="0.2">
      <c r="F311" s="24"/>
      <c r="G311" s="7"/>
      <c r="H311" s="7"/>
    </row>
    <row r="312" spans="6:8" ht="15.75" customHeight="1" x14ac:dyDescent="0.2">
      <c r="F312" s="24"/>
      <c r="G312" s="7"/>
      <c r="H312" s="7"/>
    </row>
    <row r="313" spans="6:8" ht="15.75" customHeight="1" x14ac:dyDescent="0.2">
      <c r="F313" s="24"/>
      <c r="G313" s="7"/>
      <c r="H313" s="7"/>
    </row>
    <row r="314" spans="6:8" ht="15.75" customHeight="1" x14ac:dyDescent="0.2">
      <c r="F314" s="24"/>
      <c r="G314" s="7"/>
      <c r="H314" s="7"/>
    </row>
    <row r="315" spans="6:8" ht="15.75" customHeight="1" x14ac:dyDescent="0.2">
      <c r="F315" s="24"/>
      <c r="G315" s="7"/>
      <c r="H315" s="7"/>
    </row>
    <row r="316" spans="6:8" ht="15.75" customHeight="1" x14ac:dyDescent="0.2">
      <c r="F316" s="24"/>
      <c r="G316" s="7"/>
      <c r="H316" s="7"/>
    </row>
    <row r="317" spans="6:8" ht="15.75" customHeight="1" x14ac:dyDescent="0.2">
      <c r="F317" s="24"/>
      <c r="G317" s="7"/>
      <c r="H317" s="7"/>
    </row>
    <row r="318" spans="6:8" ht="15.75" customHeight="1" x14ac:dyDescent="0.2">
      <c r="F318" s="24"/>
      <c r="G318" s="7"/>
      <c r="H318" s="7"/>
    </row>
    <row r="319" spans="6:8" ht="15.75" customHeight="1" x14ac:dyDescent="0.2">
      <c r="F319" s="24"/>
      <c r="G319" s="7"/>
      <c r="H319" s="7"/>
    </row>
    <row r="320" spans="6:8" ht="15.75" customHeight="1" x14ac:dyDescent="0.2">
      <c r="F320" s="24"/>
      <c r="G320" s="7"/>
      <c r="H320" s="7"/>
    </row>
    <row r="321" spans="6:8" ht="15.75" customHeight="1" x14ac:dyDescent="0.2">
      <c r="F321" s="24"/>
      <c r="G321" s="7"/>
      <c r="H321" s="7"/>
    </row>
    <row r="322" spans="6:8" ht="15.75" customHeight="1" x14ac:dyDescent="0.2">
      <c r="F322" s="24"/>
      <c r="G322" s="7"/>
      <c r="H322" s="7"/>
    </row>
    <row r="323" spans="6:8" ht="15.75" customHeight="1" x14ac:dyDescent="0.2">
      <c r="F323" s="24"/>
      <c r="G323" s="7"/>
      <c r="H323" s="7"/>
    </row>
    <row r="324" spans="6:8" ht="15.75" customHeight="1" x14ac:dyDescent="0.2">
      <c r="F324" s="24"/>
      <c r="G324" s="7"/>
      <c r="H324" s="7"/>
    </row>
    <row r="325" spans="6:8" ht="15.75" customHeight="1" x14ac:dyDescent="0.2">
      <c r="F325" s="24"/>
      <c r="G325" s="7"/>
      <c r="H325" s="7"/>
    </row>
    <row r="326" spans="6:8" ht="15.75" customHeight="1" x14ac:dyDescent="0.2">
      <c r="F326" s="24"/>
      <c r="G326" s="7"/>
      <c r="H326" s="7"/>
    </row>
    <row r="327" spans="6:8" ht="15.75" customHeight="1" x14ac:dyDescent="0.2">
      <c r="F327" s="24"/>
      <c r="G327" s="7"/>
      <c r="H327" s="7"/>
    </row>
    <row r="328" spans="6:8" ht="15.75" customHeight="1" x14ac:dyDescent="0.2">
      <c r="F328" s="24"/>
      <c r="G328" s="7"/>
      <c r="H328" s="7"/>
    </row>
    <row r="329" spans="6:8" ht="15.75" customHeight="1" x14ac:dyDescent="0.2">
      <c r="F329" s="24"/>
      <c r="G329" s="7"/>
      <c r="H329" s="7"/>
    </row>
    <row r="330" spans="6:8" ht="15.75" customHeight="1" x14ac:dyDescent="0.2">
      <c r="F330" s="24"/>
      <c r="G330" s="7"/>
      <c r="H330" s="7"/>
    </row>
    <row r="331" spans="6:8" ht="15.75" customHeight="1" x14ac:dyDescent="0.2">
      <c r="F331" s="24"/>
      <c r="G331" s="7"/>
      <c r="H331" s="7"/>
    </row>
    <row r="332" spans="6:8" ht="15.75" customHeight="1" x14ac:dyDescent="0.2">
      <c r="F332" s="24"/>
      <c r="G332" s="7"/>
      <c r="H332" s="7"/>
    </row>
    <row r="333" spans="6:8" ht="15.75" customHeight="1" x14ac:dyDescent="0.2">
      <c r="F333" s="24"/>
      <c r="G333" s="7"/>
      <c r="H333" s="7"/>
    </row>
    <row r="334" spans="6:8" ht="15.75" customHeight="1" x14ac:dyDescent="0.2">
      <c r="F334" s="24"/>
      <c r="G334" s="7"/>
      <c r="H334" s="7"/>
    </row>
    <row r="335" spans="6:8" ht="15.75" customHeight="1" x14ac:dyDescent="0.2">
      <c r="F335" s="24"/>
      <c r="G335" s="7"/>
      <c r="H335" s="7"/>
    </row>
    <row r="336" spans="6:8" ht="15.75" customHeight="1" x14ac:dyDescent="0.2">
      <c r="F336" s="24"/>
      <c r="G336" s="7"/>
      <c r="H336" s="7"/>
    </row>
    <row r="337" spans="6:8" ht="15.75" customHeight="1" x14ac:dyDescent="0.2">
      <c r="F337" s="24"/>
      <c r="G337" s="7"/>
      <c r="H337" s="7"/>
    </row>
    <row r="338" spans="6:8" ht="15.75" customHeight="1" x14ac:dyDescent="0.2">
      <c r="F338" s="24"/>
      <c r="G338" s="7"/>
      <c r="H338" s="7"/>
    </row>
    <row r="339" spans="6:8" ht="15.75" customHeight="1" x14ac:dyDescent="0.2">
      <c r="F339" s="24"/>
      <c r="G339" s="7"/>
      <c r="H339" s="7"/>
    </row>
    <row r="340" spans="6:8" ht="15.75" customHeight="1" x14ac:dyDescent="0.2">
      <c r="F340" s="24"/>
      <c r="G340" s="7"/>
      <c r="H340" s="7"/>
    </row>
    <row r="341" spans="6:8" ht="15.75" customHeight="1" x14ac:dyDescent="0.2">
      <c r="F341" s="24"/>
      <c r="G341" s="7"/>
      <c r="H341" s="7"/>
    </row>
    <row r="342" spans="6:8" ht="15.75" customHeight="1" x14ac:dyDescent="0.2">
      <c r="F342" s="24"/>
      <c r="G342" s="7"/>
      <c r="H342" s="7"/>
    </row>
    <row r="343" spans="6:8" ht="15.75" customHeight="1" x14ac:dyDescent="0.2">
      <c r="F343" s="24"/>
      <c r="G343" s="7"/>
      <c r="H343" s="7"/>
    </row>
    <row r="344" spans="6:8" ht="15.75" customHeight="1" x14ac:dyDescent="0.2">
      <c r="F344" s="24"/>
      <c r="G344" s="7"/>
      <c r="H344" s="7"/>
    </row>
    <row r="345" spans="6:8" ht="15.75" customHeight="1" x14ac:dyDescent="0.2">
      <c r="F345" s="24"/>
      <c r="G345" s="7"/>
      <c r="H345" s="7"/>
    </row>
    <row r="346" spans="6:8" ht="15.75" customHeight="1" x14ac:dyDescent="0.2">
      <c r="F346" s="24"/>
      <c r="G346" s="7"/>
      <c r="H346" s="7"/>
    </row>
    <row r="347" spans="6:8" ht="15.75" customHeight="1" x14ac:dyDescent="0.2">
      <c r="F347" s="24"/>
      <c r="G347" s="7"/>
      <c r="H347" s="7"/>
    </row>
    <row r="348" spans="6:8" ht="15.75" customHeight="1" x14ac:dyDescent="0.2">
      <c r="F348" s="24"/>
      <c r="G348" s="7"/>
      <c r="H348" s="7"/>
    </row>
    <row r="349" spans="6:8" ht="15.75" customHeight="1" x14ac:dyDescent="0.2">
      <c r="F349" s="24"/>
      <c r="G349" s="7"/>
      <c r="H349" s="7"/>
    </row>
    <row r="350" spans="6:8" ht="15.75" customHeight="1" x14ac:dyDescent="0.2">
      <c r="F350" s="24"/>
      <c r="G350" s="7"/>
      <c r="H350" s="7"/>
    </row>
    <row r="351" spans="6:8" ht="15.75" customHeight="1" x14ac:dyDescent="0.2">
      <c r="F351" s="24"/>
      <c r="G351" s="7"/>
      <c r="H351" s="7"/>
    </row>
    <row r="352" spans="6:8" ht="15.75" customHeight="1" x14ac:dyDescent="0.2">
      <c r="F352" s="24"/>
      <c r="G352" s="7"/>
      <c r="H352" s="7"/>
    </row>
    <row r="353" spans="6:8" ht="15.75" customHeight="1" x14ac:dyDescent="0.2">
      <c r="F353" s="24"/>
      <c r="G353" s="7"/>
      <c r="H353" s="7"/>
    </row>
    <row r="354" spans="6:8" ht="15.75" customHeight="1" x14ac:dyDescent="0.2">
      <c r="F354" s="24"/>
      <c r="G354" s="7"/>
      <c r="H354" s="7"/>
    </row>
    <row r="355" spans="6:8" ht="15.75" customHeight="1" x14ac:dyDescent="0.2">
      <c r="F355" s="24"/>
      <c r="G355" s="7"/>
      <c r="H355" s="7"/>
    </row>
    <row r="356" spans="6:8" ht="15.75" customHeight="1" x14ac:dyDescent="0.2">
      <c r="F356" s="24"/>
      <c r="G356" s="7"/>
      <c r="H356" s="7"/>
    </row>
    <row r="357" spans="6:8" ht="15.75" customHeight="1" x14ac:dyDescent="0.2">
      <c r="F357" s="24"/>
      <c r="G357" s="7"/>
      <c r="H357" s="7"/>
    </row>
    <row r="358" spans="6:8" ht="15.75" customHeight="1" x14ac:dyDescent="0.2">
      <c r="F358" s="24"/>
      <c r="G358" s="7"/>
      <c r="H358" s="7"/>
    </row>
    <row r="359" spans="6:8" ht="15.75" customHeight="1" x14ac:dyDescent="0.2">
      <c r="F359" s="24"/>
      <c r="G359" s="7"/>
      <c r="H359" s="7"/>
    </row>
    <row r="360" spans="6:8" ht="15.75" customHeight="1" x14ac:dyDescent="0.2">
      <c r="F360" s="24"/>
      <c r="G360" s="7"/>
      <c r="H360" s="7"/>
    </row>
    <row r="361" spans="6:8" ht="15.75" customHeight="1" x14ac:dyDescent="0.2">
      <c r="F361" s="24"/>
      <c r="G361" s="7"/>
      <c r="H361" s="7"/>
    </row>
    <row r="362" spans="6:8" ht="15.75" customHeight="1" x14ac:dyDescent="0.2">
      <c r="F362" s="24"/>
      <c r="G362" s="7"/>
      <c r="H362" s="7"/>
    </row>
    <row r="363" spans="6:8" ht="15.75" customHeight="1" x14ac:dyDescent="0.2">
      <c r="F363" s="24"/>
      <c r="G363" s="7"/>
      <c r="H363" s="7"/>
    </row>
    <row r="364" spans="6:8" ht="15.75" customHeight="1" x14ac:dyDescent="0.2">
      <c r="F364" s="24"/>
      <c r="G364" s="7"/>
      <c r="H364" s="7"/>
    </row>
    <row r="365" spans="6:8" ht="15.75" customHeight="1" x14ac:dyDescent="0.2">
      <c r="F365" s="24"/>
      <c r="G365" s="7"/>
      <c r="H365" s="7"/>
    </row>
    <row r="366" spans="6:8" ht="15.75" customHeight="1" x14ac:dyDescent="0.2">
      <c r="F366" s="24"/>
      <c r="G366" s="7"/>
      <c r="H366" s="7"/>
    </row>
    <row r="367" spans="6:8" ht="15.75" customHeight="1" x14ac:dyDescent="0.2">
      <c r="F367" s="24"/>
      <c r="G367" s="7"/>
      <c r="H367" s="7"/>
    </row>
    <row r="368" spans="6:8" ht="15.75" customHeight="1" x14ac:dyDescent="0.2">
      <c r="F368" s="24"/>
      <c r="G368" s="7"/>
      <c r="H368" s="7"/>
    </row>
    <row r="369" spans="6:8" ht="15.75" customHeight="1" x14ac:dyDescent="0.2">
      <c r="F369" s="24"/>
      <c r="G369" s="7"/>
      <c r="H369" s="7"/>
    </row>
    <row r="370" spans="6:8" ht="15.75" customHeight="1" x14ac:dyDescent="0.2">
      <c r="F370" s="24"/>
      <c r="G370" s="7"/>
      <c r="H370" s="7"/>
    </row>
    <row r="371" spans="6:8" ht="15.75" customHeight="1" x14ac:dyDescent="0.2">
      <c r="F371" s="24"/>
      <c r="G371" s="7"/>
      <c r="H371" s="7"/>
    </row>
    <row r="372" spans="6:8" ht="15.75" customHeight="1" x14ac:dyDescent="0.2">
      <c r="F372" s="24"/>
      <c r="G372" s="7"/>
      <c r="H372" s="7"/>
    </row>
    <row r="373" spans="6:8" ht="15.75" customHeight="1" x14ac:dyDescent="0.2">
      <c r="F373" s="24"/>
      <c r="G373" s="7"/>
      <c r="H373" s="7"/>
    </row>
    <row r="374" spans="6:8" ht="15.75" customHeight="1" x14ac:dyDescent="0.2">
      <c r="F374" s="24"/>
      <c r="G374" s="7"/>
      <c r="H374" s="7"/>
    </row>
    <row r="375" spans="6:8" ht="15.75" customHeight="1" x14ac:dyDescent="0.2">
      <c r="F375" s="24"/>
      <c r="G375" s="7"/>
      <c r="H375" s="7"/>
    </row>
    <row r="376" spans="6:8" ht="15.75" customHeight="1" x14ac:dyDescent="0.2">
      <c r="F376" s="24"/>
      <c r="G376" s="7"/>
      <c r="H376" s="7"/>
    </row>
    <row r="377" spans="6:8" ht="15.75" customHeight="1" x14ac:dyDescent="0.2">
      <c r="F377" s="24"/>
      <c r="G377" s="7"/>
      <c r="H377" s="7"/>
    </row>
    <row r="378" spans="6:8" ht="15.75" customHeight="1" x14ac:dyDescent="0.2">
      <c r="F378" s="24"/>
      <c r="G378" s="7"/>
      <c r="H378" s="7"/>
    </row>
    <row r="379" spans="6:8" ht="15.75" customHeight="1" x14ac:dyDescent="0.2">
      <c r="F379" s="24"/>
      <c r="G379" s="7"/>
      <c r="H379" s="7"/>
    </row>
    <row r="380" spans="6:8" ht="15.75" customHeight="1" x14ac:dyDescent="0.2">
      <c r="F380" s="24"/>
      <c r="G380" s="7"/>
      <c r="H380" s="7"/>
    </row>
    <row r="381" spans="6:8" ht="15.75" customHeight="1" x14ac:dyDescent="0.2">
      <c r="F381" s="24"/>
      <c r="G381" s="7"/>
      <c r="H381" s="7"/>
    </row>
    <row r="382" spans="6:8" ht="15.75" customHeight="1" x14ac:dyDescent="0.2">
      <c r="F382" s="24"/>
      <c r="G382" s="7"/>
      <c r="H382" s="7"/>
    </row>
    <row r="383" spans="6:8" ht="15.75" customHeight="1" x14ac:dyDescent="0.2">
      <c r="F383" s="24"/>
      <c r="G383" s="7"/>
      <c r="H383" s="7"/>
    </row>
    <row r="384" spans="6:8" ht="15.75" customHeight="1" x14ac:dyDescent="0.2">
      <c r="F384" s="24"/>
      <c r="G384" s="7"/>
      <c r="H384" s="7"/>
    </row>
    <row r="385" spans="6:8" ht="15.75" customHeight="1" x14ac:dyDescent="0.2">
      <c r="F385" s="24"/>
      <c r="G385" s="7"/>
      <c r="H385" s="7"/>
    </row>
    <row r="386" spans="6:8" ht="15.75" customHeight="1" x14ac:dyDescent="0.2">
      <c r="F386" s="24"/>
      <c r="G386" s="7"/>
      <c r="H386" s="7"/>
    </row>
    <row r="387" spans="6:8" ht="15.75" customHeight="1" x14ac:dyDescent="0.2">
      <c r="F387" s="24"/>
      <c r="G387" s="7"/>
      <c r="H387" s="7"/>
    </row>
    <row r="388" spans="6:8" ht="15.75" customHeight="1" x14ac:dyDescent="0.2">
      <c r="F388" s="24"/>
      <c r="G388" s="7"/>
      <c r="H388" s="7"/>
    </row>
    <row r="389" spans="6:8" ht="15.75" customHeight="1" x14ac:dyDescent="0.2">
      <c r="F389" s="24"/>
      <c r="G389" s="7"/>
      <c r="H389" s="7"/>
    </row>
    <row r="390" spans="6:8" ht="15.75" customHeight="1" x14ac:dyDescent="0.2">
      <c r="F390" s="24"/>
      <c r="G390" s="7"/>
      <c r="H390" s="7"/>
    </row>
    <row r="391" spans="6:8" ht="15.75" customHeight="1" x14ac:dyDescent="0.2">
      <c r="F391" s="24"/>
      <c r="G391" s="7"/>
      <c r="H391" s="7"/>
    </row>
    <row r="392" spans="6:8" ht="15.75" customHeight="1" x14ac:dyDescent="0.2">
      <c r="F392" s="24"/>
      <c r="G392" s="7"/>
      <c r="H392" s="7"/>
    </row>
    <row r="393" spans="6:8" ht="15.75" customHeight="1" x14ac:dyDescent="0.2">
      <c r="F393" s="24"/>
      <c r="G393" s="7"/>
      <c r="H393" s="7"/>
    </row>
    <row r="394" spans="6:8" ht="15.75" customHeight="1" x14ac:dyDescent="0.2">
      <c r="F394" s="24"/>
      <c r="G394" s="7"/>
      <c r="H394" s="7"/>
    </row>
    <row r="395" spans="6:8" ht="15.75" customHeight="1" x14ac:dyDescent="0.2">
      <c r="F395" s="24"/>
      <c r="G395" s="7"/>
      <c r="H395" s="7"/>
    </row>
    <row r="396" spans="6:8" ht="15.75" customHeight="1" x14ac:dyDescent="0.2">
      <c r="F396" s="24"/>
      <c r="G396" s="7"/>
      <c r="H396" s="7"/>
    </row>
    <row r="397" spans="6:8" ht="15.75" customHeight="1" x14ac:dyDescent="0.2">
      <c r="F397" s="24"/>
      <c r="G397" s="7"/>
      <c r="H397" s="7"/>
    </row>
    <row r="398" spans="6:8" ht="15.75" customHeight="1" x14ac:dyDescent="0.2">
      <c r="F398" s="24"/>
      <c r="G398" s="7"/>
      <c r="H398" s="7"/>
    </row>
    <row r="399" spans="6:8" ht="15.75" customHeight="1" x14ac:dyDescent="0.2">
      <c r="F399" s="24"/>
      <c r="G399" s="7"/>
      <c r="H399" s="7"/>
    </row>
    <row r="400" spans="6:8" ht="15.75" customHeight="1" x14ac:dyDescent="0.2">
      <c r="F400" s="24"/>
      <c r="G400" s="7"/>
      <c r="H400" s="7"/>
    </row>
    <row r="401" spans="6:8" ht="15.75" customHeight="1" x14ac:dyDescent="0.2">
      <c r="F401" s="24"/>
      <c r="G401" s="7"/>
      <c r="H401" s="7"/>
    </row>
    <row r="402" spans="6:8" ht="15.75" customHeight="1" x14ac:dyDescent="0.2">
      <c r="F402" s="24"/>
      <c r="G402" s="7"/>
      <c r="H402" s="7"/>
    </row>
    <row r="403" spans="6:8" ht="15.75" customHeight="1" x14ac:dyDescent="0.2">
      <c r="F403" s="24"/>
      <c r="G403" s="7"/>
      <c r="H403" s="7"/>
    </row>
    <row r="404" spans="6:8" ht="15.75" customHeight="1" x14ac:dyDescent="0.2">
      <c r="F404" s="24"/>
      <c r="G404" s="7"/>
      <c r="H404" s="7"/>
    </row>
    <row r="405" spans="6:8" ht="15.75" customHeight="1" x14ac:dyDescent="0.2">
      <c r="F405" s="24"/>
      <c r="G405" s="7"/>
      <c r="H405" s="7"/>
    </row>
    <row r="406" spans="6:8" ht="15.75" customHeight="1" x14ac:dyDescent="0.2">
      <c r="F406" s="24"/>
      <c r="G406" s="7"/>
      <c r="H406" s="7"/>
    </row>
    <row r="407" spans="6:8" ht="15.75" customHeight="1" x14ac:dyDescent="0.2">
      <c r="F407" s="24"/>
      <c r="G407" s="7"/>
      <c r="H407" s="7"/>
    </row>
    <row r="408" spans="6:8" ht="15.75" customHeight="1" x14ac:dyDescent="0.2">
      <c r="F408" s="24"/>
      <c r="G408" s="7"/>
      <c r="H408" s="7"/>
    </row>
    <row r="409" spans="6:8" ht="15.75" customHeight="1" x14ac:dyDescent="0.2">
      <c r="F409" s="24"/>
      <c r="G409" s="7"/>
      <c r="H409" s="7"/>
    </row>
    <row r="410" spans="6:8" ht="15.75" customHeight="1" x14ac:dyDescent="0.2">
      <c r="F410" s="24"/>
      <c r="G410" s="7"/>
      <c r="H410" s="7"/>
    </row>
    <row r="411" spans="6:8" ht="15.75" customHeight="1" x14ac:dyDescent="0.2">
      <c r="F411" s="24"/>
      <c r="G411" s="7"/>
      <c r="H411" s="7"/>
    </row>
    <row r="412" spans="6:8" ht="15.75" customHeight="1" x14ac:dyDescent="0.2">
      <c r="F412" s="24"/>
      <c r="G412" s="7"/>
      <c r="H412" s="7"/>
    </row>
    <row r="413" spans="6:8" ht="15.75" customHeight="1" x14ac:dyDescent="0.2">
      <c r="F413" s="24"/>
      <c r="G413" s="7"/>
      <c r="H413" s="7"/>
    </row>
    <row r="414" spans="6:8" ht="15.75" customHeight="1" x14ac:dyDescent="0.2">
      <c r="F414" s="24"/>
      <c r="G414" s="7"/>
      <c r="H414" s="7"/>
    </row>
    <row r="415" spans="6:8" ht="15.75" customHeight="1" x14ac:dyDescent="0.2">
      <c r="F415" s="24"/>
      <c r="G415" s="7"/>
      <c r="H415" s="7"/>
    </row>
    <row r="416" spans="6:8" ht="15.75" customHeight="1" x14ac:dyDescent="0.2">
      <c r="F416" s="24"/>
      <c r="G416" s="7"/>
      <c r="H416" s="7"/>
    </row>
    <row r="417" spans="6:8" ht="15.75" customHeight="1" x14ac:dyDescent="0.2">
      <c r="F417" s="24"/>
      <c r="G417" s="7"/>
      <c r="H417" s="7"/>
    </row>
    <row r="418" spans="6:8" ht="15.75" customHeight="1" x14ac:dyDescent="0.2">
      <c r="F418" s="24"/>
      <c r="G418" s="7"/>
      <c r="H418" s="7"/>
    </row>
    <row r="419" spans="6:8" ht="15.75" customHeight="1" x14ac:dyDescent="0.2">
      <c r="F419" s="24"/>
      <c r="G419" s="7"/>
      <c r="H419" s="7"/>
    </row>
    <row r="420" spans="6:8" ht="15.75" customHeight="1" x14ac:dyDescent="0.2">
      <c r="F420" s="24"/>
      <c r="G420" s="7"/>
      <c r="H420" s="7"/>
    </row>
    <row r="421" spans="6:8" ht="15.75" customHeight="1" x14ac:dyDescent="0.2">
      <c r="F421" s="24"/>
      <c r="G421" s="7"/>
      <c r="H421" s="7"/>
    </row>
    <row r="422" spans="6:8" ht="15.75" customHeight="1" x14ac:dyDescent="0.2">
      <c r="F422" s="24"/>
      <c r="G422" s="7"/>
      <c r="H422" s="7"/>
    </row>
    <row r="423" spans="6:8" ht="15.75" customHeight="1" x14ac:dyDescent="0.2">
      <c r="F423" s="24"/>
      <c r="G423" s="7"/>
      <c r="H423" s="7"/>
    </row>
    <row r="424" spans="6:8" ht="15.75" customHeight="1" x14ac:dyDescent="0.2">
      <c r="F424" s="24"/>
      <c r="G424" s="7"/>
      <c r="H424" s="7"/>
    </row>
    <row r="425" spans="6:8" ht="15.75" customHeight="1" x14ac:dyDescent="0.2">
      <c r="F425" s="24"/>
      <c r="G425" s="7"/>
      <c r="H425" s="7"/>
    </row>
    <row r="426" spans="6:8" ht="15.75" customHeight="1" x14ac:dyDescent="0.2">
      <c r="F426" s="24"/>
      <c r="G426" s="7"/>
      <c r="H426" s="7"/>
    </row>
    <row r="427" spans="6:8" ht="15.75" customHeight="1" x14ac:dyDescent="0.2">
      <c r="F427" s="24"/>
      <c r="G427" s="7"/>
      <c r="H427" s="7"/>
    </row>
    <row r="428" spans="6:8" ht="15.75" customHeight="1" x14ac:dyDescent="0.2">
      <c r="F428" s="24"/>
      <c r="G428" s="7"/>
      <c r="H428" s="7"/>
    </row>
    <row r="429" spans="6:8" ht="15.75" customHeight="1" x14ac:dyDescent="0.2">
      <c r="F429" s="24"/>
      <c r="G429" s="7"/>
      <c r="H429" s="7"/>
    </row>
    <row r="430" spans="6:8" ht="15.75" customHeight="1" x14ac:dyDescent="0.2">
      <c r="F430" s="24"/>
      <c r="G430" s="7"/>
      <c r="H430" s="7"/>
    </row>
    <row r="431" spans="6:8" ht="15.75" customHeight="1" x14ac:dyDescent="0.2">
      <c r="F431" s="24"/>
      <c r="G431" s="7"/>
      <c r="H431" s="7"/>
    </row>
    <row r="432" spans="6:8" ht="15.75" customHeight="1" x14ac:dyDescent="0.2">
      <c r="F432" s="24"/>
      <c r="G432" s="7"/>
      <c r="H432" s="7"/>
    </row>
    <row r="433" spans="6:8" ht="15.75" customHeight="1" x14ac:dyDescent="0.2">
      <c r="F433" s="24"/>
      <c r="G433" s="7"/>
      <c r="H433" s="7"/>
    </row>
    <row r="434" spans="6:8" ht="15.75" customHeight="1" x14ac:dyDescent="0.2">
      <c r="F434" s="24"/>
      <c r="G434" s="7"/>
      <c r="H434" s="7"/>
    </row>
    <row r="435" spans="6:8" ht="15.75" customHeight="1" x14ac:dyDescent="0.2">
      <c r="F435" s="24"/>
      <c r="G435" s="7"/>
      <c r="H435" s="7"/>
    </row>
    <row r="436" spans="6:8" ht="15.75" customHeight="1" x14ac:dyDescent="0.2">
      <c r="F436" s="24"/>
      <c r="G436" s="7"/>
      <c r="H436" s="7"/>
    </row>
    <row r="437" spans="6:8" ht="15.75" customHeight="1" x14ac:dyDescent="0.2">
      <c r="F437" s="24"/>
      <c r="G437" s="7"/>
      <c r="H437" s="7"/>
    </row>
    <row r="438" spans="6:8" ht="15.75" customHeight="1" x14ac:dyDescent="0.2">
      <c r="F438" s="24"/>
      <c r="G438" s="7"/>
      <c r="H438" s="7"/>
    </row>
    <row r="439" spans="6:8" ht="15.75" customHeight="1" x14ac:dyDescent="0.2">
      <c r="F439" s="24"/>
      <c r="G439" s="7"/>
      <c r="H439" s="7"/>
    </row>
    <row r="440" spans="6:8" ht="15.75" customHeight="1" x14ac:dyDescent="0.2">
      <c r="F440" s="24"/>
      <c r="G440" s="7"/>
      <c r="H440" s="7"/>
    </row>
    <row r="441" spans="6:8" ht="15.75" customHeight="1" x14ac:dyDescent="0.2">
      <c r="F441" s="24"/>
      <c r="G441" s="7"/>
      <c r="H441" s="7"/>
    </row>
    <row r="442" spans="6:8" ht="15.75" customHeight="1" x14ac:dyDescent="0.2">
      <c r="F442" s="24"/>
      <c r="G442" s="7"/>
      <c r="H442" s="7"/>
    </row>
    <row r="443" spans="6:8" ht="15.75" customHeight="1" x14ac:dyDescent="0.2">
      <c r="F443" s="24"/>
      <c r="G443" s="7"/>
      <c r="H443" s="7"/>
    </row>
    <row r="444" spans="6:8" ht="15.75" customHeight="1" x14ac:dyDescent="0.2">
      <c r="F444" s="24"/>
      <c r="G444" s="7"/>
      <c r="H444" s="7"/>
    </row>
    <row r="445" spans="6:8" ht="15.75" customHeight="1" x14ac:dyDescent="0.2">
      <c r="F445" s="24"/>
      <c r="G445" s="7"/>
      <c r="H445" s="7"/>
    </row>
    <row r="446" spans="6:8" ht="15.75" customHeight="1" x14ac:dyDescent="0.2">
      <c r="F446" s="24"/>
      <c r="G446" s="7"/>
      <c r="H446" s="7"/>
    </row>
    <row r="447" spans="6:8" ht="15.75" customHeight="1" x14ac:dyDescent="0.2">
      <c r="F447" s="24"/>
      <c r="G447" s="7"/>
      <c r="H447" s="7"/>
    </row>
    <row r="448" spans="6:8" ht="15.75" customHeight="1" x14ac:dyDescent="0.2">
      <c r="F448" s="24"/>
      <c r="G448" s="7"/>
      <c r="H448" s="7"/>
    </row>
    <row r="449" spans="6:8" ht="15.75" customHeight="1" x14ac:dyDescent="0.2">
      <c r="F449" s="24"/>
      <c r="G449" s="7"/>
      <c r="H449" s="7"/>
    </row>
    <row r="450" spans="6:8" ht="15.75" customHeight="1" x14ac:dyDescent="0.2">
      <c r="F450" s="24"/>
      <c r="G450" s="7"/>
      <c r="H450" s="7"/>
    </row>
    <row r="451" spans="6:8" ht="15.75" customHeight="1" x14ac:dyDescent="0.2">
      <c r="F451" s="24"/>
      <c r="G451" s="7"/>
      <c r="H451" s="7"/>
    </row>
    <row r="452" spans="6:8" ht="15.75" customHeight="1" x14ac:dyDescent="0.2">
      <c r="F452" s="24"/>
      <c r="G452" s="7"/>
      <c r="H452" s="7"/>
    </row>
    <row r="453" spans="6:8" ht="15.75" customHeight="1" x14ac:dyDescent="0.2">
      <c r="F453" s="24"/>
      <c r="G453" s="7"/>
      <c r="H453" s="7"/>
    </row>
    <row r="454" spans="6:8" ht="15.75" customHeight="1" x14ac:dyDescent="0.2">
      <c r="F454" s="24"/>
      <c r="G454" s="7"/>
      <c r="H454" s="7"/>
    </row>
    <row r="455" spans="6:8" ht="15.75" customHeight="1" x14ac:dyDescent="0.2">
      <c r="F455" s="24"/>
      <c r="G455" s="7"/>
      <c r="H455" s="7"/>
    </row>
    <row r="456" spans="6:8" ht="15.75" customHeight="1" x14ac:dyDescent="0.2">
      <c r="F456" s="24"/>
      <c r="G456" s="7"/>
      <c r="H456" s="7"/>
    </row>
    <row r="457" spans="6:8" ht="15.75" customHeight="1" x14ac:dyDescent="0.2">
      <c r="F457" s="24"/>
      <c r="G457" s="7"/>
      <c r="H457" s="7"/>
    </row>
    <row r="458" spans="6:8" ht="15.75" customHeight="1" x14ac:dyDescent="0.2">
      <c r="F458" s="24"/>
      <c r="G458" s="7"/>
      <c r="H458" s="7"/>
    </row>
    <row r="459" spans="6:8" ht="15.75" customHeight="1" x14ac:dyDescent="0.2">
      <c r="F459" s="24"/>
      <c r="G459" s="7"/>
      <c r="H459" s="7"/>
    </row>
    <row r="460" spans="6:8" ht="15.75" customHeight="1" x14ac:dyDescent="0.2">
      <c r="F460" s="24"/>
      <c r="G460" s="7"/>
      <c r="H460" s="7"/>
    </row>
    <row r="461" spans="6:8" ht="15.75" customHeight="1" x14ac:dyDescent="0.2">
      <c r="F461" s="24"/>
      <c r="G461" s="7"/>
      <c r="H461" s="7"/>
    </row>
    <row r="462" spans="6:8" ht="15.75" customHeight="1" x14ac:dyDescent="0.2">
      <c r="F462" s="24"/>
      <c r="G462" s="7"/>
      <c r="H462" s="7"/>
    </row>
    <row r="463" spans="6:8" ht="15.75" customHeight="1" x14ac:dyDescent="0.2">
      <c r="F463" s="24"/>
      <c r="G463" s="7"/>
      <c r="H463" s="7"/>
    </row>
    <row r="464" spans="6:8" ht="15.75" customHeight="1" x14ac:dyDescent="0.2">
      <c r="F464" s="24"/>
      <c r="G464" s="7"/>
      <c r="H464" s="7"/>
    </row>
    <row r="465" spans="6:8" ht="15.75" customHeight="1" x14ac:dyDescent="0.2">
      <c r="F465" s="24"/>
      <c r="G465" s="7"/>
      <c r="H465" s="7"/>
    </row>
    <row r="466" spans="6:8" ht="15.75" customHeight="1" x14ac:dyDescent="0.2">
      <c r="F466" s="24"/>
      <c r="G466" s="7"/>
      <c r="H466" s="7"/>
    </row>
    <row r="467" spans="6:8" ht="15.75" customHeight="1" x14ac:dyDescent="0.2">
      <c r="F467" s="24"/>
      <c r="G467" s="7"/>
      <c r="H467" s="7"/>
    </row>
    <row r="468" spans="6:8" ht="15.75" customHeight="1" x14ac:dyDescent="0.2">
      <c r="F468" s="24"/>
      <c r="G468" s="7"/>
      <c r="H468" s="7"/>
    </row>
    <row r="469" spans="6:8" ht="15.75" customHeight="1" x14ac:dyDescent="0.2">
      <c r="F469" s="24"/>
      <c r="G469" s="7"/>
      <c r="H469" s="7"/>
    </row>
    <row r="470" spans="6:8" ht="15.75" customHeight="1" x14ac:dyDescent="0.2">
      <c r="F470" s="24"/>
      <c r="G470" s="7"/>
      <c r="H470" s="7"/>
    </row>
    <row r="471" spans="6:8" ht="15.75" customHeight="1" x14ac:dyDescent="0.2">
      <c r="F471" s="24"/>
      <c r="G471" s="7"/>
      <c r="H471" s="7"/>
    </row>
    <row r="472" spans="6:8" ht="15.75" customHeight="1" x14ac:dyDescent="0.2">
      <c r="F472" s="24"/>
      <c r="G472" s="7"/>
      <c r="H472" s="7"/>
    </row>
    <row r="473" spans="6:8" ht="15.75" customHeight="1" x14ac:dyDescent="0.2">
      <c r="F473" s="24"/>
      <c r="G473" s="7"/>
      <c r="H473" s="7"/>
    </row>
    <row r="474" spans="6:8" ht="15.75" customHeight="1" x14ac:dyDescent="0.2">
      <c r="F474" s="24"/>
      <c r="G474" s="7"/>
      <c r="H474" s="7"/>
    </row>
    <row r="475" spans="6:8" ht="15.75" customHeight="1" x14ac:dyDescent="0.2">
      <c r="F475" s="24"/>
      <c r="G475" s="7"/>
      <c r="H475" s="7"/>
    </row>
    <row r="476" spans="6:8" ht="15.75" customHeight="1" x14ac:dyDescent="0.2">
      <c r="F476" s="24"/>
      <c r="G476" s="7"/>
      <c r="H476" s="7"/>
    </row>
    <row r="477" spans="6:8" ht="15.75" customHeight="1" x14ac:dyDescent="0.2">
      <c r="F477" s="24"/>
      <c r="G477" s="7"/>
      <c r="H477" s="7"/>
    </row>
    <row r="478" spans="6:8" ht="15.75" customHeight="1" x14ac:dyDescent="0.2">
      <c r="F478" s="24"/>
      <c r="G478" s="7"/>
      <c r="H478" s="7"/>
    </row>
    <row r="479" spans="6:8" ht="15.75" customHeight="1" x14ac:dyDescent="0.2">
      <c r="F479" s="24"/>
      <c r="G479" s="7"/>
      <c r="H479" s="7"/>
    </row>
    <row r="480" spans="6:8" ht="15.75" customHeight="1" x14ac:dyDescent="0.2">
      <c r="F480" s="24"/>
      <c r="G480" s="7"/>
      <c r="H480" s="7"/>
    </row>
    <row r="481" spans="6:8" ht="15.75" customHeight="1" x14ac:dyDescent="0.2">
      <c r="F481" s="24"/>
      <c r="G481" s="7"/>
      <c r="H481" s="7"/>
    </row>
    <row r="482" spans="6:8" ht="15.75" customHeight="1" x14ac:dyDescent="0.2">
      <c r="F482" s="24"/>
      <c r="G482" s="7"/>
      <c r="H482" s="7"/>
    </row>
    <row r="483" spans="6:8" ht="15.75" customHeight="1" x14ac:dyDescent="0.2">
      <c r="F483" s="24"/>
      <c r="G483" s="7"/>
      <c r="H483" s="7"/>
    </row>
    <row r="484" spans="6:8" ht="15.75" customHeight="1" x14ac:dyDescent="0.2">
      <c r="F484" s="24"/>
      <c r="G484" s="7"/>
      <c r="H484" s="7"/>
    </row>
    <row r="485" spans="6:8" ht="15.75" customHeight="1" x14ac:dyDescent="0.2">
      <c r="F485" s="24"/>
      <c r="G485" s="7"/>
      <c r="H485" s="7"/>
    </row>
    <row r="486" spans="6:8" ht="15.75" customHeight="1" x14ac:dyDescent="0.2">
      <c r="F486" s="24"/>
      <c r="G486" s="7"/>
      <c r="H486" s="7"/>
    </row>
    <row r="487" spans="6:8" ht="15.75" customHeight="1" x14ac:dyDescent="0.2">
      <c r="F487" s="24"/>
      <c r="G487" s="7"/>
      <c r="H487" s="7"/>
    </row>
    <row r="488" spans="6:8" ht="15.75" customHeight="1" x14ac:dyDescent="0.2">
      <c r="F488" s="24"/>
      <c r="G488" s="7"/>
      <c r="H488" s="7"/>
    </row>
    <row r="489" spans="6:8" ht="15.75" customHeight="1" x14ac:dyDescent="0.2">
      <c r="F489" s="24"/>
      <c r="G489" s="7"/>
      <c r="H489" s="7"/>
    </row>
    <row r="490" spans="6:8" ht="15.75" customHeight="1" x14ac:dyDescent="0.2">
      <c r="F490" s="24"/>
      <c r="G490" s="7"/>
      <c r="H490" s="7"/>
    </row>
    <row r="491" spans="6:8" ht="15.75" customHeight="1" x14ac:dyDescent="0.2">
      <c r="F491" s="24"/>
      <c r="G491" s="7"/>
      <c r="H491" s="7"/>
    </row>
    <row r="492" spans="6:8" ht="15.75" customHeight="1" x14ac:dyDescent="0.2">
      <c r="F492" s="24"/>
      <c r="G492" s="7"/>
      <c r="H492" s="7"/>
    </row>
    <row r="493" spans="6:8" ht="15.75" customHeight="1" x14ac:dyDescent="0.2">
      <c r="F493" s="24"/>
      <c r="G493" s="7"/>
      <c r="H493" s="7"/>
    </row>
    <row r="494" spans="6:8" ht="15.75" customHeight="1" x14ac:dyDescent="0.2">
      <c r="F494" s="24"/>
      <c r="G494" s="7"/>
      <c r="H494" s="7"/>
    </row>
    <row r="495" spans="6:8" ht="15.75" customHeight="1" x14ac:dyDescent="0.2">
      <c r="F495" s="24"/>
      <c r="G495" s="7"/>
      <c r="H495" s="7"/>
    </row>
    <row r="496" spans="6:8" ht="15.75" customHeight="1" x14ac:dyDescent="0.2">
      <c r="F496" s="24"/>
      <c r="G496" s="7"/>
      <c r="H496" s="7"/>
    </row>
    <row r="497" spans="6:8" ht="15.75" customHeight="1" x14ac:dyDescent="0.2">
      <c r="F497" s="24"/>
      <c r="G497" s="7"/>
      <c r="H497" s="7"/>
    </row>
    <row r="498" spans="6:8" ht="15.75" customHeight="1" x14ac:dyDescent="0.2">
      <c r="F498" s="24"/>
      <c r="G498" s="7"/>
      <c r="H498" s="7"/>
    </row>
    <row r="499" spans="6:8" ht="15.75" customHeight="1" x14ac:dyDescent="0.2">
      <c r="F499" s="24"/>
      <c r="G499" s="7"/>
      <c r="H499" s="7"/>
    </row>
    <row r="500" spans="6:8" ht="15.75" customHeight="1" x14ac:dyDescent="0.2">
      <c r="F500" s="24"/>
      <c r="G500" s="7"/>
      <c r="H500" s="7"/>
    </row>
    <row r="501" spans="6:8" ht="15.75" customHeight="1" x14ac:dyDescent="0.2">
      <c r="F501" s="24"/>
      <c r="G501" s="7"/>
      <c r="H501" s="7"/>
    </row>
    <row r="502" spans="6:8" ht="15.75" customHeight="1" x14ac:dyDescent="0.2">
      <c r="F502" s="24"/>
      <c r="G502" s="7"/>
      <c r="H502" s="7"/>
    </row>
    <row r="503" spans="6:8" ht="15.75" customHeight="1" x14ac:dyDescent="0.2">
      <c r="F503" s="24"/>
      <c r="G503" s="7"/>
      <c r="H503" s="7"/>
    </row>
    <row r="504" spans="6:8" ht="15.75" customHeight="1" x14ac:dyDescent="0.2">
      <c r="F504" s="24"/>
      <c r="G504" s="7"/>
      <c r="H504" s="7"/>
    </row>
    <row r="505" spans="6:8" ht="15.75" customHeight="1" x14ac:dyDescent="0.2">
      <c r="F505" s="24"/>
      <c r="G505" s="7"/>
      <c r="H505" s="7"/>
    </row>
    <row r="506" spans="6:8" ht="15.75" customHeight="1" x14ac:dyDescent="0.2">
      <c r="F506" s="24"/>
      <c r="G506" s="7"/>
      <c r="H506" s="7"/>
    </row>
    <row r="507" spans="6:8" ht="15.75" customHeight="1" x14ac:dyDescent="0.2">
      <c r="F507" s="24"/>
      <c r="G507" s="7"/>
      <c r="H507" s="7"/>
    </row>
    <row r="508" spans="6:8" ht="15.75" customHeight="1" x14ac:dyDescent="0.2">
      <c r="F508" s="24"/>
      <c r="G508" s="7"/>
      <c r="H508" s="7"/>
    </row>
    <row r="509" spans="6:8" ht="15.75" customHeight="1" x14ac:dyDescent="0.2">
      <c r="F509" s="24"/>
      <c r="G509" s="7"/>
      <c r="H509" s="7"/>
    </row>
    <row r="510" spans="6:8" ht="15.75" customHeight="1" x14ac:dyDescent="0.2">
      <c r="F510" s="24"/>
      <c r="G510" s="7"/>
      <c r="H510" s="7"/>
    </row>
    <row r="511" spans="6:8" ht="15.75" customHeight="1" x14ac:dyDescent="0.2">
      <c r="F511" s="24"/>
      <c r="G511" s="7"/>
      <c r="H511" s="7"/>
    </row>
    <row r="512" spans="6:8" ht="15.75" customHeight="1" x14ac:dyDescent="0.2">
      <c r="F512" s="24"/>
      <c r="G512" s="7"/>
      <c r="H512" s="7"/>
    </row>
    <row r="513" spans="6:8" ht="15.75" customHeight="1" x14ac:dyDescent="0.2">
      <c r="F513" s="24"/>
      <c r="G513" s="7"/>
      <c r="H513" s="7"/>
    </row>
    <row r="514" spans="6:8" ht="15.75" customHeight="1" x14ac:dyDescent="0.2">
      <c r="F514" s="24"/>
      <c r="G514" s="7"/>
      <c r="H514" s="7"/>
    </row>
    <row r="515" spans="6:8" ht="15.75" customHeight="1" x14ac:dyDescent="0.2">
      <c r="F515" s="24"/>
      <c r="G515" s="7"/>
      <c r="H515" s="7"/>
    </row>
    <row r="516" spans="6:8" ht="15.75" customHeight="1" x14ac:dyDescent="0.2">
      <c r="F516" s="24"/>
      <c r="G516" s="7"/>
      <c r="H516" s="7"/>
    </row>
    <row r="517" spans="6:8" ht="15.75" customHeight="1" x14ac:dyDescent="0.2">
      <c r="F517" s="24"/>
      <c r="G517" s="7"/>
      <c r="H517" s="7"/>
    </row>
    <row r="518" spans="6:8" ht="15.75" customHeight="1" x14ac:dyDescent="0.2">
      <c r="F518" s="24"/>
      <c r="G518" s="7"/>
      <c r="H518" s="7"/>
    </row>
    <row r="519" spans="6:8" ht="15.75" customHeight="1" x14ac:dyDescent="0.2">
      <c r="F519" s="24"/>
      <c r="G519" s="7"/>
      <c r="H519" s="7"/>
    </row>
    <row r="520" spans="6:8" ht="15.75" customHeight="1" x14ac:dyDescent="0.2">
      <c r="F520" s="24"/>
      <c r="G520" s="7"/>
      <c r="H520" s="7"/>
    </row>
    <row r="521" spans="6:8" ht="15.75" customHeight="1" x14ac:dyDescent="0.2">
      <c r="F521" s="24"/>
      <c r="G521" s="7"/>
      <c r="H521" s="7"/>
    </row>
    <row r="522" spans="6:8" ht="15.75" customHeight="1" x14ac:dyDescent="0.2">
      <c r="F522" s="24"/>
      <c r="G522" s="7"/>
      <c r="H522" s="7"/>
    </row>
    <row r="523" spans="6:8" ht="15.75" customHeight="1" x14ac:dyDescent="0.2">
      <c r="F523" s="24"/>
      <c r="G523" s="7"/>
      <c r="H523" s="7"/>
    </row>
    <row r="524" spans="6:8" ht="15.75" customHeight="1" x14ac:dyDescent="0.2">
      <c r="F524" s="24"/>
      <c r="G524" s="7"/>
      <c r="H524" s="7"/>
    </row>
    <row r="525" spans="6:8" ht="15.75" customHeight="1" x14ac:dyDescent="0.2">
      <c r="F525" s="24"/>
      <c r="G525" s="7"/>
      <c r="H525" s="7"/>
    </row>
    <row r="526" spans="6:8" ht="15.75" customHeight="1" x14ac:dyDescent="0.2">
      <c r="F526" s="24"/>
      <c r="G526" s="7"/>
      <c r="H526" s="7"/>
    </row>
    <row r="527" spans="6:8" ht="15.75" customHeight="1" x14ac:dyDescent="0.2">
      <c r="F527" s="24"/>
      <c r="G527" s="7"/>
      <c r="H527" s="7"/>
    </row>
    <row r="528" spans="6:8" ht="15.75" customHeight="1" x14ac:dyDescent="0.2">
      <c r="F528" s="24"/>
      <c r="G528" s="7"/>
      <c r="H528" s="7"/>
    </row>
    <row r="529" spans="6:8" ht="15.75" customHeight="1" x14ac:dyDescent="0.2">
      <c r="F529" s="24"/>
      <c r="G529" s="7"/>
      <c r="H529" s="7"/>
    </row>
    <row r="530" spans="6:8" ht="15.75" customHeight="1" x14ac:dyDescent="0.2">
      <c r="F530" s="24"/>
      <c r="G530" s="7"/>
      <c r="H530" s="7"/>
    </row>
    <row r="531" spans="6:8" ht="15.75" customHeight="1" x14ac:dyDescent="0.2">
      <c r="F531" s="24"/>
      <c r="G531" s="7"/>
      <c r="H531" s="7"/>
    </row>
    <row r="532" spans="6:8" ht="15.75" customHeight="1" x14ac:dyDescent="0.2">
      <c r="F532" s="24"/>
      <c r="G532" s="7"/>
      <c r="H532" s="7"/>
    </row>
    <row r="533" spans="6:8" ht="15.75" customHeight="1" x14ac:dyDescent="0.2">
      <c r="F533" s="24"/>
      <c r="G533" s="7"/>
      <c r="H533" s="7"/>
    </row>
    <row r="534" spans="6:8" ht="15.75" customHeight="1" x14ac:dyDescent="0.2">
      <c r="F534" s="24"/>
      <c r="G534" s="7"/>
      <c r="H534" s="7"/>
    </row>
    <row r="535" spans="6:8" ht="15.75" customHeight="1" x14ac:dyDescent="0.2">
      <c r="F535" s="24"/>
      <c r="G535" s="7"/>
      <c r="H535" s="7"/>
    </row>
    <row r="536" spans="6:8" ht="15.75" customHeight="1" x14ac:dyDescent="0.2">
      <c r="F536" s="24"/>
      <c r="G536" s="7"/>
      <c r="H536" s="7"/>
    </row>
    <row r="537" spans="6:8" ht="15.75" customHeight="1" x14ac:dyDescent="0.2">
      <c r="F537" s="24"/>
      <c r="G537" s="7"/>
      <c r="H537" s="7"/>
    </row>
    <row r="538" spans="6:8" ht="15.75" customHeight="1" x14ac:dyDescent="0.2">
      <c r="F538" s="24"/>
      <c r="G538" s="7"/>
      <c r="H538" s="7"/>
    </row>
    <row r="539" spans="6:8" ht="15.75" customHeight="1" x14ac:dyDescent="0.2">
      <c r="F539" s="24"/>
      <c r="G539" s="7"/>
      <c r="H539" s="7"/>
    </row>
    <row r="540" spans="6:8" ht="15.75" customHeight="1" x14ac:dyDescent="0.2">
      <c r="F540" s="24"/>
      <c r="G540" s="7"/>
      <c r="H540" s="7"/>
    </row>
    <row r="541" spans="6:8" ht="15.75" customHeight="1" x14ac:dyDescent="0.2">
      <c r="F541" s="24"/>
      <c r="G541" s="7"/>
      <c r="H541" s="7"/>
    </row>
    <row r="542" spans="6:8" ht="15.75" customHeight="1" x14ac:dyDescent="0.2">
      <c r="F542" s="24"/>
      <c r="G542" s="7"/>
      <c r="H542" s="7"/>
    </row>
    <row r="543" spans="6:8" ht="15.75" customHeight="1" x14ac:dyDescent="0.2">
      <c r="F543" s="24"/>
      <c r="G543" s="7"/>
      <c r="H543" s="7"/>
    </row>
    <row r="544" spans="6:8" ht="15.75" customHeight="1" x14ac:dyDescent="0.2">
      <c r="F544" s="24"/>
      <c r="G544" s="7"/>
      <c r="H544" s="7"/>
    </row>
    <row r="545" spans="6:8" ht="15.75" customHeight="1" x14ac:dyDescent="0.2">
      <c r="F545" s="24"/>
      <c r="G545" s="7"/>
      <c r="H545" s="7"/>
    </row>
    <row r="546" spans="6:8" ht="15.75" customHeight="1" x14ac:dyDescent="0.2">
      <c r="F546" s="24"/>
      <c r="G546" s="7"/>
      <c r="H546" s="7"/>
    </row>
    <row r="547" spans="6:8" ht="15.75" customHeight="1" x14ac:dyDescent="0.2">
      <c r="F547" s="24"/>
      <c r="G547" s="7"/>
      <c r="H547" s="7"/>
    </row>
    <row r="548" spans="6:8" ht="15.75" customHeight="1" x14ac:dyDescent="0.2">
      <c r="F548" s="24"/>
      <c r="G548" s="7"/>
      <c r="H548" s="7"/>
    </row>
    <row r="549" spans="6:8" ht="15.75" customHeight="1" x14ac:dyDescent="0.2">
      <c r="F549" s="24"/>
      <c r="G549" s="7"/>
      <c r="H549" s="7"/>
    </row>
    <row r="550" spans="6:8" ht="15.75" customHeight="1" x14ac:dyDescent="0.2">
      <c r="F550" s="24"/>
      <c r="G550" s="7"/>
      <c r="H550" s="7"/>
    </row>
    <row r="551" spans="6:8" ht="15.75" customHeight="1" x14ac:dyDescent="0.2">
      <c r="F551" s="24"/>
      <c r="G551" s="7"/>
      <c r="H551" s="7"/>
    </row>
    <row r="552" spans="6:8" ht="15.75" customHeight="1" x14ac:dyDescent="0.2">
      <c r="F552" s="24"/>
      <c r="G552" s="7"/>
      <c r="H552" s="7"/>
    </row>
    <row r="553" spans="6:8" ht="15.75" customHeight="1" x14ac:dyDescent="0.2">
      <c r="F553" s="24"/>
      <c r="G553" s="7"/>
      <c r="H553" s="7"/>
    </row>
    <row r="554" spans="6:8" ht="15.75" customHeight="1" x14ac:dyDescent="0.2">
      <c r="F554" s="24"/>
      <c r="G554" s="7"/>
      <c r="H554" s="7"/>
    </row>
    <row r="555" spans="6:8" ht="15.75" customHeight="1" x14ac:dyDescent="0.2">
      <c r="F555" s="24"/>
      <c r="G555" s="7"/>
      <c r="H555" s="7"/>
    </row>
    <row r="556" spans="6:8" ht="15.75" customHeight="1" x14ac:dyDescent="0.2">
      <c r="F556" s="24"/>
      <c r="G556" s="7"/>
      <c r="H556" s="7"/>
    </row>
    <row r="557" spans="6:8" ht="15.75" customHeight="1" x14ac:dyDescent="0.2">
      <c r="F557" s="24"/>
      <c r="G557" s="7"/>
      <c r="H557" s="7"/>
    </row>
    <row r="558" spans="6:8" ht="15.75" customHeight="1" x14ac:dyDescent="0.2">
      <c r="F558" s="24"/>
      <c r="G558" s="7"/>
      <c r="H558" s="7"/>
    </row>
    <row r="559" spans="6:8" ht="15.75" customHeight="1" x14ac:dyDescent="0.2">
      <c r="F559" s="24"/>
      <c r="G559" s="7"/>
      <c r="H559" s="7"/>
    </row>
    <row r="560" spans="6:8" ht="15.75" customHeight="1" x14ac:dyDescent="0.2">
      <c r="F560" s="24"/>
      <c r="G560" s="7"/>
      <c r="H560" s="7"/>
    </row>
    <row r="561" spans="6:8" ht="15.75" customHeight="1" x14ac:dyDescent="0.2">
      <c r="F561" s="24"/>
      <c r="G561" s="7"/>
      <c r="H561" s="7"/>
    </row>
    <row r="562" spans="6:8" ht="15.75" customHeight="1" x14ac:dyDescent="0.2">
      <c r="F562" s="24"/>
      <c r="G562" s="7"/>
      <c r="H562" s="7"/>
    </row>
    <row r="563" spans="6:8" ht="15.75" customHeight="1" x14ac:dyDescent="0.2">
      <c r="F563" s="24"/>
      <c r="G563" s="7"/>
      <c r="H563" s="7"/>
    </row>
    <row r="564" spans="6:8" ht="15.75" customHeight="1" x14ac:dyDescent="0.2">
      <c r="F564" s="24"/>
      <c r="G564" s="7"/>
      <c r="H564" s="7"/>
    </row>
    <row r="565" spans="6:8" ht="15.75" customHeight="1" x14ac:dyDescent="0.2">
      <c r="F565" s="24"/>
      <c r="G565" s="7"/>
      <c r="H565" s="7"/>
    </row>
    <row r="566" spans="6:8" ht="15.75" customHeight="1" x14ac:dyDescent="0.2">
      <c r="F566" s="24"/>
      <c r="G566" s="7"/>
      <c r="H566" s="7"/>
    </row>
    <row r="567" spans="6:8" ht="15.75" customHeight="1" x14ac:dyDescent="0.2">
      <c r="F567" s="24"/>
      <c r="G567" s="7"/>
      <c r="H567" s="7"/>
    </row>
    <row r="568" spans="6:8" ht="15.75" customHeight="1" x14ac:dyDescent="0.2">
      <c r="F568" s="24"/>
      <c r="G568" s="7"/>
      <c r="H568" s="7"/>
    </row>
    <row r="569" spans="6:8" ht="15.75" customHeight="1" x14ac:dyDescent="0.2">
      <c r="F569" s="24"/>
      <c r="G569" s="7"/>
      <c r="H569" s="7"/>
    </row>
    <row r="570" spans="6:8" ht="15.75" customHeight="1" x14ac:dyDescent="0.2">
      <c r="F570" s="24"/>
      <c r="G570" s="7"/>
      <c r="H570" s="7"/>
    </row>
    <row r="571" spans="6:8" ht="15.75" customHeight="1" x14ac:dyDescent="0.2">
      <c r="F571" s="24"/>
      <c r="G571" s="7"/>
      <c r="H571" s="7"/>
    </row>
    <row r="572" spans="6:8" ht="15.75" customHeight="1" x14ac:dyDescent="0.2">
      <c r="F572" s="24"/>
      <c r="G572" s="7"/>
      <c r="H572" s="7"/>
    </row>
    <row r="573" spans="6:8" ht="15.75" customHeight="1" x14ac:dyDescent="0.2">
      <c r="F573" s="24"/>
      <c r="G573" s="7"/>
      <c r="H573" s="7"/>
    </row>
    <row r="574" spans="6:8" ht="15.75" customHeight="1" x14ac:dyDescent="0.2">
      <c r="F574" s="24"/>
      <c r="G574" s="7"/>
      <c r="H574" s="7"/>
    </row>
    <row r="575" spans="6:8" ht="15.75" customHeight="1" x14ac:dyDescent="0.2">
      <c r="F575" s="24"/>
      <c r="G575" s="7"/>
      <c r="H575" s="7"/>
    </row>
    <row r="576" spans="6:8" ht="15.75" customHeight="1" x14ac:dyDescent="0.2">
      <c r="F576" s="24"/>
      <c r="G576" s="7"/>
      <c r="H576" s="7"/>
    </row>
    <row r="577" spans="6:8" ht="15.75" customHeight="1" x14ac:dyDescent="0.2">
      <c r="F577" s="24"/>
      <c r="G577" s="7"/>
      <c r="H577" s="7"/>
    </row>
    <row r="578" spans="6:8" ht="15.75" customHeight="1" x14ac:dyDescent="0.2">
      <c r="F578" s="24"/>
      <c r="G578" s="7"/>
      <c r="H578" s="7"/>
    </row>
    <row r="579" spans="6:8" ht="15.75" customHeight="1" x14ac:dyDescent="0.2">
      <c r="F579" s="24"/>
      <c r="G579" s="7"/>
      <c r="H579" s="7"/>
    </row>
    <row r="580" spans="6:8" ht="15.75" customHeight="1" x14ac:dyDescent="0.2">
      <c r="F580" s="24"/>
      <c r="G580" s="7"/>
      <c r="H580" s="7"/>
    </row>
    <row r="581" spans="6:8" ht="15.75" customHeight="1" x14ac:dyDescent="0.2">
      <c r="F581" s="24"/>
      <c r="G581" s="7"/>
      <c r="H581" s="7"/>
    </row>
    <row r="582" spans="6:8" ht="15.75" customHeight="1" x14ac:dyDescent="0.2">
      <c r="F582" s="24"/>
      <c r="G582" s="7"/>
      <c r="H582" s="7"/>
    </row>
    <row r="583" spans="6:8" ht="15.75" customHeight="1" x14ac:dyDescent="0.2">
      <c r="F583" s="24"/>
      <c r="G583" s="7"/>
      <c r="H583" s="7"/>
    </row>
    <row r="584" spans="6:8" ht="15.75" customHeight="1" x14ac:dyDescent="0.2">
      <c r="F584" s="24"/>
      <c r="G584" s="7"/>
      <c r="H584" s="7"/>
    </row>
    <row r="585" spans="6:8" ht="15.75" customHeight="1" x14ac:dyDescent="0.2">
      <c r="F585" s="24"/>
      <c r="G585" s="7"/>
      <c r="H585" s="7"/>
    </row>
    <row r="586" spans="6:8" ht="15.75" customHeight="1" x14ac:dyDescent="0.2">
      <c r="F586" s="24"/>
      <c r="G586" s="7"/>
      <c r="H586" s="7"/>
    </row>
    <row r="587" spans="6:8" ht="15.75" customHeight="1" x14ac:dyDescent="0.2">
      <c r="F587" s="24"/>
      <c r="G587" s="7"/>
      <c r="H587" s="7"/>
    </row>
    <row r="588" spans="6:8" ht="15.75" customHeight="1" x14ac:dyDescent="0.2">
      <c r="F588" s="24"/>
      <c r="G588" s="7"/>
      <c r="H588" s="7"/>
    </row>
    <row r="589" spans="6:8" ht="15.75" customHeight="1" x14ac:dyDescent="0.2">
      <c r="F589" s="24"/>
      <c r="G589" s="7"/>
      <c r="H589" s="7"/>
    </row>
    <row r="590" spans="6:8" ht="15.75" customHeight="1" x14ac:dyDescent="0.2">
      <c r="F590" s="24"/>
      <c r="G590" s="7"/>
      <c r="H590" s="7"/>
    </row>
    <row r="591" spans="6:8" ht="15.75" customHeight="1" x14ac:dyDescent="0.2">
      <c r="F591" s="24"/>
      <c r="G591" s="7"/>
      <c r="H591" s="7"/>
    </row>
    <row r="592" spans="6:8" ht="15.75" customHeight="1" x14ac:dyDescent="0.2">
      <c r="F592" s="24"/>
      <c r="G592" s="7"/>
      <c r="H592" s="7"/>
    </row>
    <row r="593" spans="6:8" ht="15.75" customHeight="1" x14ac:dyDescent="0.2">
      <c r="F593" s="24"/>
      <c r="G593" s="7"/>
      <c r="H593" s="7"/>
    </row>
    <row r="594" spans="6:8" ht="15.75" customHeight="1" x14ac:dyDescent="0.2">
      <c r="F594" s="24"/>
      <c r="G594" s="7"/>
      <c r="H594" s="7"/>
    </row>
    <row r="595" spans="6:8" ht="15.75" customHeight="1" x14ac:dyDescent="0.2">
      <c r="F595" s="24"/>
      <c r="G595" s="7"/>
      <c r="H595" s="7"/>
    </row>
    <row r="596" spans="6:8" ht="15.75" customHeight="1" x14ac:dyDescent="0.2">
      <c r="F596" s="24"/>
      <c r="G596" s="7"/>
      <c r="H596" s="7"/>
    </row>
    <row r="597" spans="6:8" ht="15.75" customHeight="1" x14ac:dyDescent="0.2">
      <c r="F597" s="24"/>
      <c r="G597" s="7"/>
      <c r="H597" s="7"/>
    </row>
    <row r="598" spans="6:8" ht="15.75" customHeight="1" x14ac:dyDescent="0.2">
      <c r="F598" s="24"/>
      <c r="G598" s="7"/>
      <c r="H598" s="7"/>
    </row>
    <row r="599" spans="6:8" ht="15.75" customHeight="1" x14ac:dyDescent="0.2">
      <c r="F599" s="24"/>
      <c r="G599" s="7"/>
      <c r="H599" s="7"/>
    </row>
    <row r="600" spans="6:8" ht="15.75" customHeight="1" x14ac:dyDescent="0.2">
      <c r="F600" s="24"/>
      <c r="G600" s="7"/>
      <c r="H600" s="7"/>
    </row>
    <row r="601" spans="6:8" ht="15.75" customHeight="1" x14ac:dyDescent="0.2">
      <c r="F601" s="24"/>
      <c r="G601" s="7"/>
      <c r="H601" s="7"/>
    </row>
    <row r="602" spans="6:8" ht="15.75" customHeight="1" x14ac:dyDescent="0.2">
      <c r="F602" s="24"/>
      <c r="G602" s="7"/>
      <c r="H602" s="7"/>
    </row>
    <row r="603" spans="6:8" ht="15.75" customHeight="1" x14ac:dyDescent="0.2">
      <c r="F603" s="24"/>
      <c r="G603" s="7"/>
      <c r="H603" s="7"/>
    </row>
    <row r="604" spans="6:8" ht="15.75" customHeight="1" x14ac:dyDescent="0.2">
      <c r="F604" s="24"/>
      <c r="G604" s="7"/>
      <c r="H604" s="7"/>
    </row>
    <row r="605" spans="6:8" ht="15.75" customHeight="1" x14ac:dyDescent="0.2">
      <c r="F605" s="24"/>
      <c r="G605" s="7"/>
      <c r="H605" s="7"/>
    </row>
    <row r="606" spans="6:8" ht="15.75" customHeight="1" x14ac:dyDescent="0.2">
      <c r="F606" s="24"/>
      <c r="G606" s="7"/>
      <c r="H606" s="7"/>
    </row>
    <row r="607" spans="6:8" ht="15.75" customHeight="1" x14ac:dyDescent="0.2">
      <c r="F607" s="24"/>
      <c r="G607" s="7"/>
      <c r="H607" s="7"/>
    </row>
    <row r="608" spans="6:8" ht="15.75" customHeight="1" x14ac:dyDescent="0.2">
      <c r="F608" s="24"/>
      <c r="G608" s="7"/>
      <c r="H608" s="7"/>
    </row>
    <row r="609" spans="6:8" ht="15.75" customHeight="1" x14ac:dyDescent="0.2">
      <c r="F609" s="24"/>
      <c r="G609" s="7"/>
      <c r="H609" s="7"/>
    </row>
    <row r="610" spans="6:8" ht="15.75" customHeight="1" x14ac:dyDescent="0.2">
      <c r="F610" s="24"/>
      <c r="G610" s="7"/>
      <c r="H610" s="7"/>
    </row>
    <row r="611" spans="6:8" ht="15.75" customHeight="1" x14ac:dyDescent="0.2">
      <c r="F611" s="24"/>
      <c r="G611" s="7"/>
      <c r="H611" s="7"/>
    </row>
    <row r="612" spans="6:8" ht="15.75" customHeight="1" x14ac:dyDescent="0.2">
      <c r="F612" s="24"/>
      <c r="G612" s="7"/>
      <c r="H612" s="7"/>
    </row>
    <row r="613" spans="6:8" ht="15.75" customHeight="1" x14ac:dyDescent="0.2">
      <c r="F613" s="24"/>
      <c r="G613" s="7"/>
      <c r="H613" s="7"/>
    </row>
    <row r="614" spans="6:8" ht="15.75" customHeight="1" x14ac:dyDescent="0.2">
      <c r="F614" s="24"/>
      <c r="G614" s="7"/>
      <c r="H614" s="7"/>
    </row>
    <row r="615" spans="6:8" ht="15.75" customHeight="1" x14ac:dyDescent="0.2">
      <c r="F615" s="24"/>
      <c r="G615" s="7"/>
      <c r="H615" s="7"/>
    </row>
    <row r="616" spans="6:8" ht="15.75" customHeight="1" x14ac:dyDescent="0.2">
      <c r="F616" s="24"/>
      <c r="G616" s="7"/>
      <c r="H616" s="7"/>
    </row>
    <row r="617" spans="6:8" ht="15.75" customHeight="1" x14ac:dyDescent="0.2">
      <c r="F617" s="24"/>
      <c r="G617" s="7"/>
      <c r="H617" s="7"/>
    </row>
    <row r="618" spans="6:8" ht="15.75" customHeight="1" x14ac:dyDescent="0.2">
      <c r="F618" s="24"/>
      <c r="G618" s="7"/>
      <c r="H618" s="7"/>
    </row>
    <row r="619" spans="6:8" ht="15.75" customHeight="1" x14ac:dyDescent="0.2">
      <c r="F619" s="24"/>
      <c r="G619" s="7"/>
      <c r="H619" s="7"/>
    </row>
    <row r="620" spans="6:8" ht="15.75" customHeight="1" x14ac:dyDescent="0.2">
      <c r="F620" s="24"/>
      <c r="G620" s="7"/>
      <c r="H620" s="7"/>
    </row>
    <row r="621" spans="6:8" ht="15.75" customHeight="1" x14ac:dyDescent="0.2">
      <c r="F621" s="24"/>
      <c r="G621" s="7"/>
      <c r="H621" s="7"/>
    </row>
    <row r="622" spans="6:8" ht="15.75" customHeight="1" x14ac:dyDescent="0.2">
      <c r="F622" s="24"/>
      <c r="G622" s="7"/>
      <c r="H622" s="7"/>
    </row>
    <row r="623" spans="6:8" ht="15.75" customHeight="1" x14ac:dyDescent="0.2">
      <c r="F623" s="24"/>
      <c r="G623" s="7"/>
      <c r="H623" s="7"/>
    </row>
    <row r="624" spans="6:8" ht="15.75" customHeight="1" x14ac:dyDescent="0.2">
      <c r="F624" s="24"/>
      <c r="G624" s="7"/>
      <c r="H624" s="7"/>
    </row>
    <row r="625" spans="6:8" ht="15.75" customHeight="1" x14ac:dyDescent="0.2">
      <c r="F625" s="24"/>
      <c r="G625" s="7"/>
      <c r="H625" s="7"/>
    </row>
    <row r="626" spans="6:8" ht="15.75" customHeight="1" x14ac:dyDescent="0.2">
      <c r="F626" s="24"/>
      <c r="G626" s="7"/>
      <c r="H626" s="7"/>
    </row>
    <row r="627" spans="6:8" ht="15.75" customHeight="1" x14ac:dyDescent="0.2">
      <c r="F627" s="24"/>
      <c r="G627" s="7"/>
      <c r="H627" s="7"/>
    </row>
    <row r="628" spans="6:8" ht="15.75" customHeight="1" x14ac:dyDescent="0.2">
      <c r="F628" s="24"/>
      <c r="G628" s="7"/>
      <c r="H628" s="7"/>
    </row>
    <row r="629" spans="6:8" ht="15.75" customHeight="1" x14ac:dyDescent="0.2">
      <c r="F629" s="24"/>
      <c r="G629" s="7"/>
      <c r="H629" s="7"/>
    </row>
    <row r="630" spans="6:8" ht="15.75" customHeight="1" x14ac:dyDescent="0.2">
      <c r="F630" s="24"/>
      <c r="G630" s="7"/>
      <c r="H630" s="7"/>
    </row>
    <row r="631" spans="6:8" ht="15.75" customHeight="1" x14ac:dyDescent="0.2">
      <c r="F631" s="24"/>
      <c r="G631" s="7"/>
      <c r="H631" s="7"/>
    </row>
    <row r="632" spans="6:8" ht="15.75" customHeight="1" x14ac:dyDescent="0.2">
      <c r="F632" s="24"/>
      <c r="G632" s="7"/>
      <c r="H632" s="7"/>
    </row>
    <row r="633" spans="6:8" ht="15.75" customHeight="1" x14ac:dyDescent="0.2">
      <c r="F633" s="24"/>
      <c r="G633" s="7"/>
      <c r="H633" s="7"/>
    </row>
    <row r="634" spans="6:8" ht="15.75" customHeight="1" x14ac:dyDescent="0.2">
      <c r="F634" s="24"/>
      <c r="G634" s="7"/>
      <c r="H634" s="7"/>
    </row>
    <row r="635" spans="6:8" ht="15.75" customHeight="1" x14ac:dyDescent="0.2">
      <c r="F635" s="24"/>
      <c r="G635" s="7"/>
      <c r="H635" s="7"/>
    </row>
    <row r="636" spans="6:8" ht="15.75" customHeight="1" x14ac:dyDescent="0.2">
      <c r="F636" s="24"/>
      <c r="G636" s="7"/>
      <c r="H636" s="7"/>
    </row>
    <row r="637" spans="6:8" ht="15.75" customHeight="1" x14ac:dyDescent="0.2">
      <c r="F637" s="24"/>
      <c r="G637" s="7"/>
      <c r="H637" s="7"/>
    </row>
    <row r="638" spans="6:8" ht="15.75" customHeight="1" x14ac:dyDescent="0.2">
      <c r="F638" s="24"/>
      <c r="G638" s="7"/>
      <c r="H638" s="7"/>
    </row>
    <row r="639" spans="6:8" ht="15.75" customHeight="1" x14ac:dyDescent="0.2">
      <c r="F639" s="24"/>
      <c r="G639" s="7"/>
      <c r="H639" s="7"/>
    </row>
    <row r="640" spans="6:8" ht="15.75" customHeight="1" x14ac:dyDescent="0.2">
      <c r="F640" s="24"/>
      <c r="G640" s="7"/>
      <c r="H640" s="7"/>
    </row>
    <row r="641" spans="6:8" ht="15.75" customHeight="1" x14ac:dyDescent="0.2">
      <c r="F641" s="24"/>
      <c r="G641" s="7"/>
      <c r="H641" s="7"/>
    </row>
    <row r="642" spans="6:8" ht="15.75" customHeight="1" x14ac:dyDescent="0.2">
      <c r="F642" s="24"/>
      <c r="G642" s="7"/>
      <c r="H642" s="7"/>
    </row>
    <row r="643" spans="6:8" ht="15.75" customHeight="1" x14ac:dyDescent="0.2">
      <c r="F643" s="24"/>
      <c r="G643" s="7"/>
      <c r="H643" s="7"/>
    </row>
    <row r="644" spans="6:8" ht="15.75" customHeight="1" x14ac:dyDescent="0.2">
      <c r="F644" s="24"/>
      <c r="G644" s="7"/>
      <c r="H644" s="7"/>
    </row>
    <row r="645" spans="6:8" ht="15.75" customHeight="1" x14ac:dyDescent="0.2">
      <c r="F645" s="24"/>
      <c r="G645" s="7"/>
      <c r="H645" s="7"/>
    </row>
    <row r="646" spans="6:8" ht="15.75" customHeight="1" x14ac:dyDescent="0.2">
      <c r="F646" s="24"/>
      <c r="G646" s="7"/>
      <c r="H646" s="7"/>
    </row>
    <row r="647" spans="6:8" ht="15.75" customHeight="1" x14ac:dyDescent="0.2">
      <c r="F647" s="24"/>
      <c r="G647" s="7"/>
      <c r="H647" s="7"/>
    </row>
    <row r="648" spans="6:8" ht="15.75" customHeight="1" x14ac:dyDescent="0.2">
      <c r="F648" s="24"/>
      <c r="G648" s="7"/>
      <c r="H648" s="7"/>
    </row>
    <row r="649" spans="6:8" ht="15.75" customHeight="1" x14ac:dyDescent="0.2">
      <c r="F649" s="24"/>
      <c r="G649" s="7"/>
      <c r="H649" s="7"/>
    </row>
    <row r="650" spans="6:8" ht="15.75" customHeight="1" x14ac:dyDescent="0.2">
      <c r="F650" s="24"/>
      <c r="G650" s="7"/>
      <c r="H650" s="7"/>
    </row>
    <row r="651" spans="6:8" ht="15.75" customHeight="1" x14ac:dyDescent="0.2">
      <c r="F651" s="24"/>
      <c r="G651" s="7"/>
      <c r="H651" s="7"/>
    </row>
    <row r="652" spans="6:8" ht="15.75" customHeight="1" x14ac:dyDescent="0.2">
      <c r="F652" s="24"/>
      <c r="G652" s="7"/>
      <c r="H652" s="7"/>
    </row>
    <row r="653" spans="6:8" ht="15.75" customHeight="1" x14ac:dyDescent="0.2">
      <c r="F653" s="24"/>
      <c r="G653" s="7"/>
      <c r="H653" s="7"/>
    </row>
    <row r="654" spans="6:8" ht="15.75" customHeight="1" x14ac:dyDescent="0.2">
      <c r="F654" s="24"/>
      <c r="G654" s="7"/>
      <c r="H654" s="7"/>
    </row>
    <row r="655" spans="6:8" ht="15.75" customHeight="1" x14ac:dyDescent="0.2">
      <c r="F655" s="24"/>
      <c r="G655" s="7"/>
      <c r="H655" s="7"/>
    </row>
    <row r="656" spans="6:8" ht="15.75" customHeight="1" x14ac:dyDescent="0.2">
      <c r="F656" s="24"/>
      <c r="G656" s="7"/>
      <c r="H656" s="7"/>
    </row>
    <row r="657" spans="6:8" ht="15.75" customHeight="1" x14ac:dyDescent="0.2">
      <c r="F657" s="24"/>
      <c r="G657" s="7"/>
      <c r="H657" s="7"/>
    </row>
    <row r="658" spans="6:8" ht="15.75" customHeight="1" x14ac:dyDescent="0.2">
      <c r="F658" s="24"/>
      <c r="G658" s="7"/>
      <c r="H658" s="7"/>
    </row>
    <row r="659" spans="6:8" ht="15.75" customHeight="1" x14ac:dyDescent="0.2">
      <c r="F659" s="24"/>
      <c r="G659" s="7"/>
      <c r="H659" s="7"/>
    </row>
    <row r="660" spans="6:8" ht="15.75" customHeight="1" x14ac:dyDescent="0.2">
      <c r="F660" s="24"/>
      <c r="G660" s="7"/>
      <c r="H660" s="7"/>
    </row>
    <row r="661" spans="6:8" ht="15.75" customHeight="1" x14ac:dyDescent="0.2">
      <c r="F661" s="24"/>
      <c r="G661" s="7"/>
      <c r="H661" s="7"/>
    </row>
    <row r="662" spans="6:8" ht="15.75" customHeight="1" x14ac:dyDescent="0.2">
      <c r="F662" s="24"/>
      <c r="G662" s="7"/>
      <c r="H662" s="7"/>
    </row>
    <row r="663" spans="6:8" ht="15.75" customHeight="1" x14ac:dyDescent="0.2">
      <c r="F663" s="24"/>
      <c r="G663" s="7"/>
      <c r="H663" s="7"/>
    </row>
    <row r="664" spans="6:8" ht="15.75" customHeight="1" x14ac:dyDescent="0.2">
      <c r="F664" s="24"/>
      <c r="G664" s="7"/>
      <c r="H664" s="7"/>
    </row>
    <row r="665" spans="6:8" ht="15.75" customHeight="1" x14ac:dyDescent="0.2">
      <c r="F665" s="24"/>
      <c r="G665" s="7"/>
      <c r="H665" s="7"/>
    </row>
    <row r="666" spans="6:8" ht="15.75" customHeight="1" x14ac:dyDescent="0.2">
      <c r="F666" s="24"/>
      <c r="G666" s="7"/>
      <c r="H666" s="7"/>
    </row>
    <row r="667" spans="6:8" ht="15.75" customHeight="1" x14ac:dyDescent="0.2">
      <c r="F667" s="24"/>
      <c r="G667" s="7"/>
      <c r="H667" s="7"/>
    </row>
    <row r="668" spans="6:8" ht="15.75" customHeight="1" x14ac:dyDescent="0.2">
      <c r="F668" s="24"/>
      <c r="G668" s="7"/>
      <c r="H668" s="7"/>
    </row>
    <row r="669" spans="6:8" ht="15.75" customHeight="1" x14ac:dyDescent="0.2">
      <c r="F669" s="24"/>
      <c r="G669" s="7"/>
      <c r="H669" s="7"/>
    </row>
    <row r="670" spans="6:8" ht="15.75" customHeight="1" x14ac:dyDescent="0.2">
      <c r="F670" s="24"/>
      <c r="G670" s="7"/>
      <c r="H670" s="7"/>
    </row>
    <row r="671" spans="6:8" ht="15.75" customHeight="1" x14ac:dyDescent="0.2">
      <c r="F671" s="24"/>
      <c r="G671" s="7"/>
      <c r="H671" s="7"/>
    </row>
    <row r="672" spans="6:8" ht="15.75" customHeight="1" x14ac:dyDescent="0.2">
      <c r="F672" s="24"/>
      <c r="G672" s="7"/>
      <c r="H672" s="7"/>
    </row>
    <row r="673" spans="6:8" ht="15.75" customHeight="1" x14ac:dyDescent="0.2">
      <c r="F673" s="24"/>
      <c r="G673" s="7"/>
      <c r="H673" s="7"/>
    </row>
    <row r="674" spans="6:8" ht="15.75" customHeight="1" x14ac:dyDescent="0.2">
      <c r="F674" s="24"/>
      <c r="G674" s="7"/>
      <c r="H674" s="7"/>
    </row>
    <row r="675" spans="6:8" ht="15.75" customHeight="1" x14ac:dyDescent="0.2">
      <c r="F675" s="24"/>
      <c r="G675" s="7"/>
      <c r="H675" s="7"/>
    </row>
    <row r="676" spans="6:8" ht="15.75" customHeight="1" x14ac:dyDescent="0.2">
      <c r="F676" s="24"/>
      <c r="G676" s="7"/>
      <c r="H676" s="7"/>
    </row>
    <row r="677" spans="6:8" ht="15.75" customHeight="1" x14ac:dyDescent="0.2">
      <c r="F677" s="24"/>
      <c r="G677" s="7"/>
      <c r="H677" s="7"/>
    </row>
    <row r="678" spans="6:8" ht="15.75" customHeight="1" x14ac:dyDescent="0.2">
      <c r="F678" s="24"/>
      <c r="G678" s="7"/>
      <c r="H678" s="7"/>
    </row>
    <row r="679" spans="6:8" ht="15.75" customHeight="1" x14ac:dyDescent="0.2">
      <c r="F679" s="24"/>
      <c r="G679" s="7"/>
      <c r="H679" s="7"/>
    </row>
    <row r="680" spans="6:8" ht="15.75" customHeight="1" x14ac:dyDescent="0.2">
      <c r="F680" s="24"/>
      <c r="G680" s="7"/>
      <c r="H680" s="7"/>
    </row>
    <row r="681" spans="6:8" ht="15.75" customHeight="1" x14ac:dyDescent="0.2">
      <c r="F681" s="24"/>
      <c r="G681" s="7"/>
      <c r="H681" s="7"/>
    </row>
    <row r="682" spans="6:8" ht="15.75" customHeight="1" x14ac:dyDescent="0.2">
      <c r="F682" s="24"/>
      <c r="G682" s="7"/>
      <c r="H682" s="7"/>
    </row>
    <row r="683" spans="6:8" ht="15.75" customHeight="1" x14ac:dyDescent="0.2">
      <c r="F683" s="24"/>
      <c r="G683" s="7"/>
      <c r="H683" s="7"/>
    </row>
    <row r="684" spans="6:8" ht="15.75" customHeight="1" x14ac:dyDescent="0.2">
      <c r="F684" s="24"/>
      <c r="G684" s="7"/>
      <c r="H684" s="7"/>
    </row>
    <row r="685" spans="6:8" ht="15.75" customHeight="1" x14ac:dyDescent="0.2">
      <c r="F685" s="24"/>
      <c r="G685" s="7"/>
      <c r="H685" s="7"/>
    </row>
    <row r="686" spans="6:8" ht="15.75" customHeight="1" x14ac:dyDescent="0.2">
      <c r="F686" s="24"/>
      <c r="G686" s="7"/>
      <c r="H686" s="7"/>
    </row>
    <row r="687" spans="6:8" ht="15.75" customHeight="1" x14ac:dyDescent="0.2">
      <c r="F687" s="24"/>
      <c r="G687" s="7"/>
      <c r="H687" s="7"/>
    </row>
    <row r="688" spans="6:8" ht="15.75" customHeight="1" x14ac:dyDescent="0.2">
      <c r="F688" s="24"/>
      <c r="G688" s="7"/>
      <c r="H688" s="7"/>
    </row>
    <row r="689" spans="6:8" ht="15.75" customHeight="1" x14ac:dyDescent="0.2">
      <c r="F689" s="24"/>
      <c r="G689" s="7"/>
      <c r="H689" s="7"/>
    </row>
    <row r="690" spans="6:8" ht="15.75" customHeight="1" x14ac:dyDescent="0.2">
      <c r="F690" s="24"/>
      <c r="G690" s="7"/>
      <c r="H690" s="7"/>
    </row>
    <row r="691" spans="6:8" ht="15.75" customHeight="1" x14ac:dyDescent="0.2">
      <c r="F691" s="24"/>
      <c r="G691" s="7"/>
      <c r="H691" s="7"/>
    </row>
    <row r="692" spans="6:8" ht="15.75" customHeight="1" x14ac:dyDescent="0.2">
      <c r="F692" s="24"/>
      <c r="G692" s="7"/>
      <c r="H692" s="7"/>
    </row>
    <row r="693" spans="6:8" ht="15.75" customHeight="1" x14ac:dyDescent="0.2">
      <c r="F693" s="24"/>
      <c r="G693" s="7"/>
      <c r="H693" s="7"/>
    </row>
    <row r="694" spans="6:8" ht="15.75" customHeight="1" x14ac:dyDescent="0.2">
      <c r="F694" s="24"/>
      <c r="G694" s="7"/>
      <c r="H694" s="7"/>
    </row>
    <row r="695" spans="6:8" ht="15.75" customHeight="1" x14ac:dyDescent="0.2">
      <c r="F695" s="24"/>
      <c r="G695" s="7"/>
      <c r="H695" s="7"/>
    </row>
    <row r="696" spans="6:8" ht="15.75" customHeight="1" x14ac:dyDescent="0.2">
      <c r="F696" s="24"/>
      <c r="G696" s="7"/>
      <c r="H696" s="7"/>
    </row>
    <row r="697" spans="6:8" ht="15.75" customHeight="1" x14ac:dyDescent="0.2">
      <c r="F697" s="24"/>
      <c r="G697" s="7"/>
      <c r="H697" s="7"/>
    </row>
    <row r="698" spans="6:8" ht="15.75" customHeight="1" x14ac:dyDescent="0.2">
      <c r="F698" s="24"/>
      <c r="G698" s="7"/>
      <c r="H698" s="7"/>
    </row>
    <row r="699" spans="6:8" ht="15.75" customHeight="1" x14ac:dyDescent="0.2">
      <c r="F699" s="24"/>
      <c r="G699" s="7"/>
      <c r="H699" s="7"/>
    </row>
    <row r="700" spans="6:8" ht="15.75" customHeight="1" x14ac:dyDescent="0.2">
      <c r="F700" s="24"/>
      <c r="G700" s="7"/>
      <c r="H700" s="7"/>
    </row>
    <row r="701" spans="6:8" ht="15.75" customHeight="1" x14ac:dyDescent="0.2">
      <c r="F701" s="24"/>
      <c r="G701" s="7"/>
      <c r="H701" s="7"/>
    </row>
    <row r="702" spans="6:8" ht="15.75" customHeight="1" x14ac:dyDescent="0.2">
      <c r="F702" s="24"/>
      <c r="G702" s="7"/>
      <c r="H702" s="7"/>
    </row>
    <row r="703" spans="6:8" ht="15.75" customHeight="1" x14ac:dyDescent="0.2">
      <c r="F703" s="24"/>
      <c r="G703" s="7"/>
      <c r="H703" s="7"/>
    </row>
    <row r="704" spans="6:8" ht="15.75" customHeight="1" x14ac:dyDescent="0.2">
      <c r="F704" s="24"/>
      <c r="G704" s="7"/>
      <c r="H704" s="7"/>
    </row>
    <row r="705" spans="6:8" ht="15.75" customHeight="1" x14ac:dyDescent="0.2">
      <c r="F705" s="24"/>
      <c r="G705" s="7"/>
      <c r="H705" s="7"/>
    </row>
    <row r="706" spans="6:8" ht="15.75" customHeight="1" x14ac:dyDescent="0.2">
      <c r="F706" s="24"/>
      <c r="G706" s="7"/>
      <c r="H706" s="7"/>
    </row>
    <row r="707" spans="6:8" ht="15.75" customHeight="1" x14ac:dyDescent="0.2">
      <c r="F707" s="24"/>
      <c r="G707" s="7"/>
      <c r="H707" s="7"/>
    </row>
    <row r="708" spans="6:8" ht="15.75" customHeight="1" x14ac:dyDescent="0.2">
      <c r="F708" s="24"/>
      <c r="G708" s="7"/>
      <c r="H708" s="7"/>
    </row>
    <row r="709" spans="6:8" ht="15.75" customHeight="1" x14ac:dyDescent="0.2">
      <c r="F709" s="24"/>
      <c r="G709" s="7"/>
      <c r="H709" s="7"/>
    </row>
    <row r="710" spans="6:8" ht="15.75" customHeight="1" x14ac:dyDescent="0.2">
      <c r="F710" s="24"/>
      <c r="G710" s="7"/>
      <c r="H710" s="7"/>
    </row>
    <row r="711" spans="6:8" ht="15.75" customHeight="1" x14ac:dyDescent="0.2">
      <c r="F711" s="24"/>
      <c r="G711" s="7"/>
      <c r="H711" s="7"/>
    </row>
    <row r="712" spans="6:8" ht="15.75" customHeight="1" x14ac:dyDescent="0.2">
      <c r="F712" s="24"/>
      <c r="G712" s="7"/>
      <c r="H712" s="7"/>
    </row>
    <row r="713" spans="6:8" ht="15.75" customHeight="1" x14ac:dyDescent="0.2">
      <c r="F713" s="24"/>
      <c r="G713" s="7"/>
      <c r="H713" s="7"/>
    </row>
    <row r="714" spans="6:8" ht="15.75" customHeight="1" x14ac:dyDescent="0.2">
      <c r="F714" s="24"/>
      <c r="G714" s="7"/>
      <c r="H714" s="7"/>
    </row>
    <row r="715" spans="6:8" ht="15.75" customHeight="1" x14ac:dyDescent="0.2">
      <c r="F715" s="24"/>
      <c r="G715" s="7"/>
      <c r="H715" s="7"/>
    </row>
    <row r="716" spans="6:8" ht="15.75" customHeight="1" x14ac:dyDescent="0.2">
      <c r="F716" s="24"/>
      <c r="G716" s="7"/>
      <c r="H716" s="7"/>
    </row>
    <row r="717" spans="6:8" ht="15.75" customHeight="1" x14ac:dyDescent="0.2">
      <c r="F717" s="24"/>
      <c r="G717" s="7"/>
      <c r="H717" s="7"/>
    </row>
    <row r="718" spans="6:8" ht="15.75" customHeight="1" x14ac:dyDescent="0.2">
      <c r="F718" s="24"/>
      <c r="G718" s="7"/>
      <c r="H718" s="7"/>
    </row>
    <row r="719" spans="6:8" ht="15.75" customHeight="1" x14ac:dyDescent="0.2">
      <c r="F719" s="24"/>
      <c r="G719" s="7"/>
      <c r="H719" s="7"/>
    </row>
    <row r="720" spans="6:8" ht="15.75" customHeight="1" x14ac:dyDescent="0.2">
      <c r="F720" s="24"/>
      <c r="G720" s="7"/>
      <c r="H720" s="7"/>
    </row>
    <row r="721" spans="6:8" ht="15.75" customHeight="1" x14ac:dyDescent="0.2">
      <c r="F721" s="24"/>
      <c r="G721" s="7"/>
      <c r="H721" s="7"/>
    </row>
    <row r="722" spans="6:8" ht="15.75" customHeight="1" x14ac:dyDescent="0.2">
      <c r="F722" s="24"/>
      <c r="G722" s="7"/>
      <c r="H722" s="7"/>
    </row>
    <row r="723" spans="6:8" ht="15.75" customHeight="1" x14ac:dyDescent="0.2">
      <c r="F723" s="24"/>
      <c r="G723" s="7"/>
      <c r="H723" s="7"/>
    </row>
    <row r="724" spans="6:8" ht="15.75" customHeight="1" x14ac:dyDescent="0.2">
      <c r="F724" s="24"/>
      <c r="G724" s="7"/>
      <c r="H724" s="7"/>
    </row>
    <row r="725" spans="6:8" ht="15.75" customHeight="1" x14ac:dyDescent="0.2">
      <c r="F725" s="24"/>
      <c r="G725" s="7"/>
      <c r="H725" s="7"/>
    </row>
    <row r="726" spans="6:8" ht="15.75" customHeight="1" x14ac:dyDescent="0.2">
      <c r="F726" s="24"/>
      <c r="G726" s="7"/>
      <c r="H726" s="7"/>
    </row>
    <row r="727" spans="6:8" ht="15.75" customHeight="1" x14ac:dyDescent="0.2">
      <c r="F727" s="24"/>
      <c r="G727" s="7"/>
      <c r="H727" s="7"/>
    </row>
    <row r="728" spans="6:8" ht="15.75" customHeight="1" x14ac:dyDescent="0.2">
      <c r="F728" s="24"/>
      <c r="G728" s="7"/>
      <c r="H728" s="7"/>
    </row>
    <row r="729" spans="6:8" ht="15.75" customHeight="1" x14ac:dyDescent="0.2">
      <c r="F729" s="24"/>
      <c r="G729" s="7"/>
      <c r="H729" s="7"/>
    </row>
    <row r="730" spans="6:8" ht="15.75" customHeight="1" x14ac:dyDescent="0.2">
      <c r="F730" s="24"/>
      <c r="G730" s="7"/>
      <c r="H730" s="7"/>
    </row>
    <row r="731" spans="6:8" ht="15.75" customHeight="1" x14ac:dyDescent="0.2">
      <c r="F731" s="24"/>
      <c r="G731" s="7"/>
      <c r="H731" s="7"/>
    </row>
    <row r="732" spans="6:8" ht="15.75" customHeight="1" x14ac:dyDescent="0.2">
      <c r="F732" s="24"/>
      <c r="G732" s="7"/>
      <c r="H732" s="7"/>
    </row>
    <row r="733" spans="6:8" ht="15.75" customHeight="1" x14ac:dyDescent="0.2">
      <c r="F733" s="24"/>
      <c r="G733" s="7"/>
      <c r="H733" s="7"/>
    </row>
    <row r="734" spans="6:8" ht="15.75" customHeight="1" x14ac:dyDescent="0.2">
      <c r="F734" s="24"/>
      <c r="G734" s="7"/>
      <c r="H734" s="7"/>
    </row>
    <row r="735" spans="6:8" ht="15.75" customHeight="1" x14ac:dyDescent="0.2">
      <c r="F735" s="24"/>
      <c r="G735" s="7"/>
      <c r="H735" s="7"/>
    </row>
    <row r="736" spans="6:8" ht="15.75" customHeight="1" x14ac:dyDescent="0.2">
      <c r="F736" s="24"/>
      <c r="G736" s="7"/>
      <c r="H736" s="7"/>
    </row>
    <row r="737" spans="6:8" ht="15.75" customHeight="1" x14ac:dyDescent="0.2">
      <c r="F737" s="24"/>
      <c r="G737" s="7"/>
      <c r="H737" s="7"/>
    </row>
    <row r="738" spans="6:8" ht="15.75" customHeight="1" x14ac:dyDescent="0.2">
      <c r="F738" s="24"/>
      <c r="G738" s="7"/>
      <c r="H738" s="7"/>
    </row>
    <row r="739" spans="6:8" ht="15.75" customHeight="1" x14ac:dyDescent="0.2">
      <c r="F739" s="24"/>
      <c r="G739" s="7"/>
      <c r="H739" s="7"/>
    </row>
    <row r="740" spans="6:8" ht="15.75" customHeight="1" x14ac:dyDescent="0.2">
      <c r="F740" s="24"/>
      <c r="G740" s="7"/>
      <c r="H740" s="7"/>
    </row>
    <row r="741" spans="6:8" ht="15.75" customHeight="1" x14ac:dyDescent="0.2">
      <c r="F741" s="24"/>
      <c r="G741" s="7"/>
      <c r="H741" s="7"/>
    </row>
    <row r="742" spans="6:8" ht="15.75" customHeight="1" x14ac:dyDescent="0.2">
      <c r="F742" s="24"/>
      <c r="G742" s="7"/>
      <c r="H742" s="7"/>
    </row>
    <row r="743" spans="6:8" ht="15.75" customHeight="1" x14ac:dyDescent="0.2">
      <c r="F743" s="24"/>
      <c r="G743" s="7"/>
      <c r="H743" s="7"/>
    </row>
    <row r="744" spans="6:8" ht="15.75" customHeight="1" x14ac:dyDescent="0.2">
      <c r="F744" s="24"/>
      <c r="G744" s="7"/>
      <c r="H744" s="7"/>
    </row>
    <row r="745" spans="6:8" ht="15.75" customHeight="1" x14ac:dyDescent="0.2">
      <c r="F745" s="24"/>
      <c r="G745" s="7"/>
      <c r="H745" s="7"/>
    </row>
    <row r="746" spans="6:8" ht="15.75" customHeight="1" x14ac:dyDescent="0.2">
      <c r="F746" s="24"/>
      <c r="G746" s="7"/>
      <c r="H746" s="7"/>
    </row>
    <row r="747" spans="6:8" ht="15.75" customHeight="1" x14ac:dyDescent="0.2">
      <c r="F747" s="24"/>
      <c r="G747" s="7"/>
      <c r="H747" s="7"/>
    </row>
    <row r="748" spans="6:8" ht="15.75" customHeight="1" x14ac:dyDescent="0.2">
      <c r="F748" s="24"/>
      <c r="G748" s="7"/>
      <c r="H748" s="7"/>
    </row>
    <row r="749" spans="6:8" ht="15.75" customHeight="1" x14ac:dyDescent="0.2">
      <c r="F749" s="24"/>
      <c r="G749" s="7"/>
      <c r="H749" s="7"/>
    </row>
    <row r="750" spans="6:8" ht="15.75" customHeight="1" x14ac:dyDescent="0.2">
      <c r="F750" s="24"/>
      <c r="G750" s="7"/>
      <c r="H750" s="7"/>
    </row>
    <row r="751" spans="6:8" ht="15.75" customHeight="1" x14ac:dyDescent="0.2">
      <c r="F751" s="24"/>
      <c r="G751" s="7"/>
      <c r="H751" s="7"/>
    </row>
    <row r="752" spans="6:8" ht="15.75" customHeight="1" x14ac:dyDescent="0.2">
      <c r="F752" s="24"/>
      <c r="G752" s="7"/>
      <c r="H752" s="7"/>
    </row>
    <row r="753" spans="6:8" ht="15.75" customHeight="1" x14ac:dyDescent="0.2">
      <c r="F753" s="24"/>
      <c r="G753" s="7"/>
      <c r="H753" s="7"/>
    </row>
    <row r="754" spans="6:8" ht="15.75" customHeight="1" x14ac:dyDescent="0.2">
      <c r="F754" s="24"/>
      <c r="G754" s="7"/>
      <c r="H754" s="7"/>
    </row>
    <row r="755" spans="6:8" ht="15.75" customHeight="1" x14ac:dyDescent="0.2">
      <c r="F755" s="24"/>
      <c r="G755" s="7"/>
      <c r="H755" s="7"/>
    </row>
    <row r="756" spans="6:8" ht="15.75" customHeight="1" x14ac:dyDescent="0.2">
      <c r="F756" s="24"/>
      <c r="G756" s="7"/>
      <c r="H756" s="7"/>
    </row>
    <row r="757" spans="6:8" ht="15.75" customHeight="1" x14ac:dyDescent="0.2">
      <c r="F757" s="24"/>
      <c r="G757" s="7"/>
      <c r="H757" s="7"/>
    </row>
    <row r="758" spans="6:8" ht="15.75" customHeight="1" x14ac:dyDescent="0.2">
      <c r="F758" s="24"/>
      <c r="G758" s="7"/>
      <c r="H758" s="7"/>
    </row>
    <row r="759" spans="6:8" ht="15.75" customHeight="1" x14ac:dyDescent="0.2">
      <c r="F759" s="24"/>
      <c r="G759" s="7"/>
      <c r="H759" s="7"/>
    </row>
    <row r="760" spans="6:8" ht="15.75" customHeight="1" x14ac:dyDescent="0.2">
      <c r="F760" s="24"/>
      <c r="G760" s="7"/>
      <c r="H760" s="7"/>
    </row>
    <row r="761" spans="6:8" ht="15.75" customHeight="1" x14ac:dyDescent="0.2">
      <c r="F761" s="24"/>
      <c r="G761" s="7"/>
      <c r="H761" s="7"/>
    </row>
    <row r="762" spans="6:8" ht="15.75" customHeight="1" x14ac:dyDescent="0.2">
      <c r="F762" s="24"/>
      <c r="G762" s="7"/>
      <c r="H762" s="7"/>
    </row>
    <row r="763" spans="6:8" ht="15.75" customHeight="1" x14ac:dyDescent="0.2">
      <c r="F763" s="24"/>
      <c r="G763" s="7"/>
      <c r="H763" s="7"/>
    </row>
    <row r="764" spans="6:8" ht="15.75" customHeight="1" x14ac:dyDescent="0.2">
      <c r="F764" s="24"/>
      <c r="G764" s="7"/>
      <c r="H764" s="7"/>
    </row>
    <row r="765" spans="6:8" ht="15.75" customHeight="1" x14ac:dyDescent="0.2">
      <c r="F765" s="24"/>
      <c r="G765" s="7"/>
      <c r="H765" s="7"/>
    </row>
    <row r="766" spans="6:8" ht="15.75" customHeight="1" x14ac:dyDescent="0.2">
      <c r="F766" s="24"/>
      <c r="G766" s="7"/>
      <c r="H766" s="7"/>
    </row>
    <row r="767" spans="6:8" ht="15.75" customHeight="1" x14ac:dyDescent="0.2">
      <c r="F767" s="24"/>
      <c r="G767" s="7"/>
      <c r="H767" s="7"/>
    </row>
    <row r="768" spans="6:8" ht="15.75" customHeight="1" x14ac:dyDescent="0.2">
      <c r="F768" s="24"/>
      <c r="G768" s="7"/>
      <c r="H768" s="7"/>
    </row>
    <row r="769" spans="6:8" ht="15.75" customHeight="1" x14ac:dyDescent="0.2">
      <c r="F769" s="24"/>
      <c r="G769" s="7"/>
      <c r="H769" s="7"/>
    </row>
    <row r="770" spans="6:8" ht="15.75" customHeight="1" x14ac:dyDescent="0.2">
      <c r="F770" s="24"/>
      <c r="G770" s="7"/>
      <c r="H770" s="7"/>
    </row>
    <row r="771" spans="6:8" ht="15.75" customHeight="1" x14ac:dyDescent="0.2">
      <c r="F771" s="24"/>
      <c r="G771" s="7"/>
      <c r="H771" s="7"/>
    </row>
    <row r="772" spans="6:8" ht="15.75" customHeight="1" x14ac:dyDescent="0.2">
      <c r="F772" s="24"/>
      <c r="G772" s="7"/>
      <c r="H772" s="7"/>
    </row>
    <row r="773" spans="6:8" ht="15.75" customHeight="1" x14ac:dyDescent="0.2">
      <c r="F773" s="24"/>
      <c r="G773" s="7"/>
      <c r="H773" s="7"/>
    </row>
    <row r="774" spans="6:8" ht="15.75" customHeight="1" x14ac:dyDescent="0.2">
      <c r="F774" s="24"/>
      <c r="G774" s="7"/>
      <c r="H774" s="7"/>
    </row>
    <row r="775" spans="6:8" ht="15.75" customHeight="1" x14ac:dyDescent="0.2">
      <c r="F775" s="24"/>
      <c r="G775" s="7"/>
      <c r="H775" s="7"/>
    </row>
    <row r="776" spans="6:8" ht="15.75" customHeight="1" x14ac:dyDescent="0.2">
      <c r="F776" s="24"/>
      <c r="G776" s="7"/>
      <c r="H776" s="7"/>
    </row>
    <row r="777" spans="6:8" ht="15.75" customHeight="1" x14ac:dyDescent="0.2">
      <c r="F777" s="24"/>
      <c r="G777" s="7"/>
      <c r="H777" s="7"/>
    </row>
    <row r="778" spans="6:8" ht="15.75" customHeight="1" x14ac:dyDescent="0.2">
      <c r="F778" s="24"/>
      <c r="G778" s="7"/>
      <c r="H778" s="7"/>
    </row>
    <row r="779" spans="6:8" ht="15.75" customHeight="1" x14ac:dyDescent="0.2">
      <c r="F779" s="24"/>
      <c r="G779" s="7"/>
      <c r="H779" s="7"/>
    </row>
    <row r="780" spans="6:8" ht="15.75" customHeight="1" x14ac:dyDescent="0.2">
      <c r="F780" s="24"/>
      <c r="G780" s="7"/>
      <c r="H780" s="7"/>
    </row>
    <row r="781" spans="6:8" ht="15.75" customHeight="1" x14ac:dyDescent="0.2">
      <c r="F781" s="24"/>
      <c r="G781" s="7"/>
      <c r="H781" s="7"/>
    </row>
    <row r="782" spans="6:8" ht="15.75" customHeight="1" x14ac:dyDescent="0.2">
      <c r="F782" s="24"/>
      <c r="G782" s="7"/>
      <c r="H782" s="7"/>
    </row>
    <row r="783" spans="6:8" ht="15.75" customHeight="1" x14ac:dyDescent="0.2">
      <c r="F783" s="24"/>
      <c r="G783" s="7"/>
      <c r="H783" s="7"/>
    </row>
    <row r="784" spans="6:8" ht="15.75" customHeight="1" x14ac:dyDescent="0.2">
      <c r="F784" s="24"/>
      <c r="G784" s="7"/>
      <c r="H784" s="7"/>
    </row>
    <row r="785" spans="6:8" ht="15.75" customHeight="1" x14ac:dyDescent="0.2">
      <c r="F785" s="24"/>
      <c r="G785" s="7"/>
      <c r="H785" s="7"/>
    </row>
    <row r="786" spans="6:8" ht="15.75" customHeight="1" x14ac:dyDescent="0.2">
      <c r="F786" s="24"/>
      <c r="G786" s="7"/>
      <c r="H786" s="7"/>
    </row>
    <row r="787" spans="6:8" ht="15.75" customHeight="1" x14ac:dyDescent="0.2">
      <c r="F787" s="24"/>
      <c r="G787" s="7"/>
      <c r="H787" s="7"/>
    </row>
    <row r="788" spans="6:8" ht="15.75" customHeight="1" x14ac:dyDescent="0.2">
      <c r="F788" s="24"/>
      <c r="G788" s="7"/>
      <c r="H788" s="7"/>
    </row>
    <row r="789" spans="6:8" ht="15.75" customHeight="1" x14ac:dyDescent="0.2">
      <c r="F789" s="24"/>
      <c r="G789" s="7"/>
      <c r="H789" s="7"/>
    </row>
    <row r="790" spans="6:8" ht="15.75" customHeight="1" x14ac:dyDescent="0.2">
      <c r="F790" s="24"/>
      <c r="G790" s="7"/>
      <c r="H790" s="7"/>
    </row>
    <row r="791" spans="6:8" ht="15.75" customHeight="1" x14ac:dyDescent="0.2">
      <c r="F791" s="24"/>
      <c r="G791" s="7"/>
      <c r="H791" s="7"/>
    </row>
    <row r="792" spans="6:8" ht="15.75" customHeight="1" x14ac:dyDescent="0.2">
      <c r="F792" s="24"/>
      <c r="G792" s="7"/>
      <c r="H792" s="7"/>
    </row>
    <row r="793" spans="6:8" ht="15.75" customHeight="1" x14ac:dyDescent="0.2">
      <c r="F793" s="24"/>
      <c r="G793" s="7"/>
      <c r="H793" s="7"/>
    </row>
    <row r="794" spans="6:8" ht="15.75" customHeight="1" x14ac:dyDescent="0.2">
      <c r="F794" s="24"/>
      <c r="G794" s="7"/>
      <c r="H794" s="7"/>
    </row>
    <row r="795" spans="6:8" ht="15.75" customHeight="1" x14ac:dyDescent="0.2">
      <c r="F795" s="24"/>
      <c r="G795" s="7"/>
      <c r="H795" s="7"/>
    </row>
    <row r="796" spans="6:8" ht="15.75" customHeight="1" x14ac:dyDescent="0.2">
      <c r="F796" s="24"/>
      <c r="G796" s="7"/>
      <c r="H796" s="7"/>
    </row>
    <row r="797" spans="6:8" ht="15.75" customHeight="1" x14ac:dyDescent="0.2">
      <c r="F797" s="24"/>
      <c r="G797" s="7"/>
      <c r="H797" s="7"/>
    </row>
    <row r="798" spans="6:8" ht="15.75" customHeight="1" x14ac:dyDescent="0.2">
      <c r="F798" s="24"/>
      <c r="G798" s="7"/>
      <c r="H798" s="7"/>
    </row>
    <row r="799" spans="6:8" ht="15.75" customHeight="1" x14ac:dyDescent="0.2">
      <c r="F799" s="24"/>
      <c r="G799" s="7"/>
      <c r="H799" s="7"/>
    </row>
    <row r="800" spans="6:8" ht="15.75" customHeight="1" x14ac:dyDescent="0.2">
      <c r="F800" s="24"/>
      <c r="G800" s="7"/>
      <c r="H800" s="7"/>
    </row>
    <row r="801" spans="6:8" ht="15.75" customHeight="1" x14ac:dyDescent="0.2">
      <c r="F801" s="24"/>
      <c r="G801" s="7"/>
      <c r="H801" s="7"/>
    </row>
    <row r="802" spans="6:8" ht="15.75" customHeight="1" x14ac:dyDescent="0.2">
      <c r="F802" s="24"/>
      <c r="G802" s="7"/>
      <c r="H802" s="7"/>
    </row>
    <row r="803" spans="6:8" ht="15.75" customHeight="1" x14ac:dyDescent="0.2">
      <c r="F803" s="24"/>
      <c r="G803" s="7"/>
      <c r="H803" s="7"/>
    </row>
    <row r="804" spans="6:8" ht="15.75" customHeight="1" x14ac:dyDescent="0.2">
      <c r="F804" s="24"/>
      <c r="G804" s="7"/>
      <c r="H804" s="7"/>
    </row>
    <row r="805" spans="6:8" ht="15.75" customHeight="1" x14ac:dyDescent="0.2">
      <c r="F805" s="24"/>
      <c r="G805" s="7"/>
      <c r="H805" s="7"/>
    </row>
    <row r="806" spans="6:8" ht="15.75" customHeight="1" x14ac:dyDescent="0.2">
      <c r="F806" s="24"/>
      <c r="G806" s="7"/>
      <c r="H806" s="7"/>
    </row>
    <row r="807" spans="6:8" ht="15.75" customHeight="1" x14ac:dyDescent="0.2">
      <c r="F807" s="24"/>
      <c r="G807" s="7"/>
      <c r="H807" s="7"/>
    </row>
    <row r="808" spans="6:8" ht="15.75" customHeight="1" x14ac:dyDescent="0.2">
      <c r="F808" s="24"/>
      <c r="G808" s="7"/>
      <c r="H808" s="7"/>
    </row>
    <row r="809" spans="6:8" ht="15.75" customHeight="1" x14ac:dyDescent="0.2">
      <c r="F809" s="24"/>
      <c r="G809" s="7"/>
      <c r="H809" s="7"/>
    </row>
    <row r="810" spans="6:8" ht="15.75" customHeight="1" x14ac:dyDescent="0.2">
      <c r="F810" s="24"/>
      <c r="G810" s="7"/>
      <c r="H810" s="7"/>
    </row>
    <row r="811" spans="6:8" ht="15.75" customHeight="1" x14ac:dyDescent="0.2">
      <c r="F811" s="24"/>
      <c r="G811" s="7"/>
      <c r="H811" s="7"/>
    </row>
    <row r="812" spans="6:8" ht="15.75" customHeight="1" x14ac:dyDescent="0.2">
      <c r="F812" s="24"/>
      <c r="G812" s="7"/>
      <c r="H812" s="7"/>
    </row>
    <row r="813" spans="6:8" ht="15.75" customHeight="1" x14ac:dyDescent="0.2">
      <c r="F813" s="24"/>
      <c r="G813" s="7"/>
      <c r="H813" s="7"/>
    </row>
    <row r="814" spans="6:8" ht="15.75" customHeight="1" x14ac:dyDescent="0.2">
      <c r="F814" s="24"/>
      <c r="G814" s="7"/>
      <c r="H814" s="7"/>
    </row>
    <row r="815" spans="6:8" ht="15.75" customHeight="1" x14ac:dyDescent="0.2">
      <c r="F815" s="24"/>
      <c r="G815" s="7"/>
      <c r="H815" s="7"/>
    </row>
    <row r="816" spans="6:8" ht="15.75" customHeight="1" x14ac:dyDescent="0.2">
      <c r="F816" s="24"/>
      <c r="G816" s="7"/>
      <c r="H816" s="7"/>
    </row>
    <row r="817" spans="6:8" ht="15.75" customHeight="1" x14ac:dyDescent="0.2">
      <c r="F817" s="24"/>
      <c r="G817" s="7"/>
      <c r="H817" s="7"/>
    </row>
    <row r="818" spans="6:8" ht="15.75" customHeight="1" x14ac:dyDescent="0.2">
      <c r="F818" s="24"/>
      <c r="G818" s="7"/>
      <c r="H818" s="7"/>
    </row>
    <row r="819" spans="6:8" ht="15.75" customHeight="1" x14ac:dyDescent="0.2">
      <c r="F819" s="24"/>
      <c r="G819" s="7"/>
      <c r="H819" s="7"/>
    </row>
    <row r="820" spans="6:8" ht="15.75" customHeight="1" x14ac:dyDescent="0.2">
      <c r="F820" s="24"/>
      <c r="G820" s="7"/>
      <c r="H820" s="7"/>
    </row>
    <row r="821" spans="6:8" ht="15.75" customHeight="1" x14ac:dyDescent="0.2">
      <c r="F821" s="24"/>
      <c r="G821" s="7"/>
      <c r="H821" s="7"/>
    </row>
    <row r="822" spans="6:8" ht="15.75" customHeight="1" x14ac:dyDescent="0.2">
      <c r="F822" s="24"/>
      <c r="G822" s="7"/>
      <c r="H822" s="7"/>
    </row>
    <row r="823" spans="6:8" ht="15.75" customHeight="1" x14ac:dyDescent="0.2">
      <c r="F823" s="24"/>
      <c r="G823" s="7"/>
      <c r="H823" s="7"/>
    </row>
    <row r="824" spans="6:8" ht="15.75" customHeight="1" x14ac:dyDescent="0.2">
      <c r="F824" s="24"/>
      <c r="G824" s="7"/>
      <c r="H824" s="7"/>
    </row>
    <row r="825" spans="6:8" ht="15.75" customHeight="1" x14ac:dyDescent="0.2">
      <c r="F825" s="24"/>
      <c r="G825" s="7"/>
      <c r="H825" s="7"/>
    </row>
    <row r="826" spans="6:8" ht="15.75" customHeight="1" x14ac:dyDescent="0.2">
      <c r="F826" s="24"/>
      <c r="G826" s="7"/>
      <c r="H826" s="7"/>
    </row>
    <row r="827" spans="6:8" ht="15.75" customHeight="1" x14ac:dyDescent="0.2">
      <c r="F827" s="24"/>
      <c r="G827" s="7"/>
      <c r="H827" s="7"/>
    </row>
    <row r="828" spans="6:8" ht="15.75" customHeight="1" x14ac:dyDescent="0.2">
      <c r="F828" s="24"/>
      <c r="G828" s="7"/>
      <c r="H828" s="7"/>
    </row>
    <row r="829" spans="6:8" ht="15.75" customHeight="1" x14ac:dyDescent="0.2">
      <c r="F829" s="24"/>
      <c r="G829" s="7"/>
      <c r="H829" s="7"/>
    </row>
    <row r="830" spans="6:8" ht="15.75" customHeight="1" x14ac:dyDescent="0.2">
      <c r="F830" s="24"/>
      <c r="G830" s="7"/>
      <c r="H830" s="7"/>
    </row>
    <row r="831" spans="6:8" ht="15.75" customHeight="1" x14ac:dyDescent="0.2">
      <c r="F831" s="24"/>
      <c r="G831" s="7"/>
      <c r="H831" s="7"/>
    </row>
    <row r="832" spans="6:8" ht="15.75" customHeight="1" x14ac:dyDescent="0.2">
      <c r="F832" s="24"/>
      <c r="G832" s="7"/>
      <c r="H832" s="7"/>
    </row>
    <row r="833" spans="6:8" ht="15.75" customHeight="1" x14ac:dyDescent="0.2">
      <c r="F833" s="24"/>
      <c r="G833" s="7"/>
      <c r="H833" s="7"/>
    </row>
    <row r="834" spans="6:8" ht="15.75" customHeight="1" x14ac:dyDescent="0.2">
      <c r="F834" s="24"/>
      <c r="G834" s="7"/>
      <c r="H834" s="7"/>
    </row>
    <row r="835" spans="6:8" ht="15.75" customHeight="1" x14ac:dyDescent="0.2">
      <c r="F835" s="24"/>
      <c r="G835" s="7"/>
      <c r="H835" s="7"/>
    </row>
    <row r="836" spans="6:8" ht="15.75" customHeight="1" x14ac:dyDescent="0.2">
      <c r="F836" s="24"/>
      <c r="G836" s="7"/>
      <c r="H836" s="7"/>
    </row>
    <row r="837" spans="6:8" ht="15.75" customHeight="1" x14ac:dyDescent="0.2">
      <c r="F837" s="24"/>
      <c r="G837" s="7"/>
      <c r="H837" s="7"/>
    </row>
    <row r="838" spans="6:8" ht="15.75" customHeight="1" x14ac:dyDescent="0.2">
      <c r="F838" s="24"/>
      <c r="G838" s="7"/>
      <c r="H838" s="7"/>
    </row>
    <row r="839" spans="6:8" ht="15.75" customHeight="1" x14ac:dyDescent="0.2">
      <c r="F839" s="24"/>
      <c r="G839" s="7"/>
      <c r="H839" s="7"/>
    </row>
    <row r="840" spans="6:8" ht="15.75" customHeight="1" x14ac:dyDescent="0.2">
      <c r="F840" s="24"/>
      <c r="G840" s="7"/>
      <c r="H840" s="7"/>
    </row>
    <row r="841" spans="6:8" ht="15.75" customHeight="1" x14ac:dyDescent="0.2">
      <c r="F841" s="24"/>
      <c r="G841" s="7"/>
      <c r="H841" s="7"/>
    </row>
    <row r="842" spans="6:8" ht="15.75" customHeight="1" x14ac:dyDescent="0.2">
      <c r="F842" s="24"/>
      <c r="G842" s="7"/>
      <c r="H842" s="7"/>
    </row>
    <row r="843" spans="6:8" ht="15.75" customHeight="1" x14ac:dyDescent="0.2">
      <c r="F843" s="24"/>
      <c r="G843" s="7"/>
      <c r="H843" s="7"/>
    </row>
    <row r="844" spans="6:8" ht="15.75" customHeight="1" x14ac:dyDescent="0.2">
      <c r="F844" s="24"/>
      <c r="G844" s="7"/>
      <c r="H844" s="7"/>
    </row>
    <row r="845" spans="6:8" ht="15.75" customHeight="1" x14ac:dyDescent="0.2">
      <c r="F845" s="24"/>
      <c r="G845" s="7"/>
      <c r="H845" s="7"/>
    </row>
    <row r="846" spans="6:8" ht="15.75" customHeight="1" x14ac:dyDescent="0.2">
      <c r="F846" s="24"/>
      <c r="G846" s="7"/>
      <c r="H846" s="7"/>
    </row>
    <row r="847" spans="6:8" ht="15.75" customHeight="1" x14ac:dyDescent="0.2">
      <c r="F847" s="24"/>
      <c r="G847" s="7"/>
      <c r="H847" s="7"/>
    </row>
    <row r="848" spans="6:8" ht="15.75" customHeight="1" x14ac:dyDescent="0.2">
      <c r="F848" s="24"/>
      <c r="G848" s="7"/>
      <c r="H848" s="7"/>
    </row>
    <row r="849" spans="6:8" ht="15.75" customHeight="1" x14ac:dyDescent="0.2">
      <c r="F849" s="24"/>
      <c r="G849" s="7"/>
      <c r="H849" s="7"/>
    </row>
    <row r="850" spans="6:8" ht="15.75" customHeight="1" x14ac:dyDescent="0.2">
      <c r="F850" s="24"/>
      <c r="G850" s="7"/>
      <c r="H850" s="7"/>
    </row>
    <row r="851" spans="6:8" ht="15.75" customHeight="1" x14ac:dyDescent="0.2">
      <c r="F851" s="24"/>
      <c r="G851" s="7"/>
      <c r="H851" s="7"/>
    </row>
    <row r="852" spans="6:8" ht="15.75" customHeight="1" x14ac:dyDescent="0.2">
      <c r="F852" s="24"/>
      <c r="G852" s="7"/>
      <c r="H852" s="7"/>
    </row>
    <row r="853" spans="6:8" ht="15.75" customHeight="1" x14ac:dyDescent="0.2">
      <c r="F853" s="24"/>
      <c r="G853" s="7"/>
      <c r="H853" s="7"/>
    </row>
    <row r="854" spans="6:8" ht="15.75" customHeight="1" x14ac:dyDescent="0.2">
      <c r="F854" s="24"/>
      <c r="G854" s="7"/>
      <c r="H854" s="7"/>
    </row>
    <row r="855" spans="6:8" ht="15.75" customHeight="1" x14ac:dyDescent="0.2">
      <c r="F855" s="24"/>
      <c r="G855" s="7"/>
      <c r="H855" s="7"/>
    </row>
    <row r="856" spans="6:8" ht="15.75" customHeight="1" x14ac:dyDescent="0.2">
      <c r="F856" s="24"/>
      <c r="G856" s="7"/>
      <c r="H856" s="7"/>
    </row>
    <row r="857" spans="6:8" ht="15.75" customHeight="1" x14ac:dyDescent="0.2">
      <c r="F857" s="24"/>
      <c r="G857" s="7"/>
      <c r="H857" s="7"/>
    </row>
    <row r="858" spans="6:8" ht="15.75" customHeight="1" x14ac:dyDescent="0.2">
      <c r="F858" s="24"/>
      <c r="G858" s="7"/>
      <c r="H858" s="7"/>
    </row>
    <row r="859" spans="6:8" ht="15.75" customHeight="1" x14ac:dyDescent="0.2">
      <c r="F859" s="24"/>
      <c r="G859" s="7"/>
      <c r="H859" s="7"/>
    </row>
    <row r="860" spans="6:8" ht="15.75" customHeight="1" x14ac:dyDescent="0.2">
      <c r="F860" s="24"/>
      <c r="G860" s="7"/>
      <c r="H860" s="7"/>
    </row>
    <row r="861" spans="6:8" ht="15.75" customHeight="1" x14ac:dyDescent="0.2">
      <c r="F861" s="24"/>
      <c r="G861" s="7"/>
      <c r="H861" s="7"/>
    </row>
    <row r="862" spans="6:8" ht="15.75" customHeight="1" x14ac:dyDescent="0.2">
      <c r="F862" s="24"/>
      <c r="G862" s="7"/>
      <c r="H862" s="7"/>
    </row>
    <row r="863" spans="6:8" ht="15.75" customHeight="1" x14ac:dyDescent="0.2">
      <c r="F863" s="24"/>
      <c r="G863" s="7"/>
      <c r="H863" s="7"/>
    </row>
    <row r="864" spans="6:8" ht="15.75" customHeight="1" x14ac:dyDescent="0.2">
      <c r="F864" s="24"/>
      <c r="G864" s="7"/>
      <c r="H864" s="7"/>
    </row>
    <row r="865" spans="6:8" ht="15.75" customHeight="1" x14ac:dyDescent="0.2">
      <c r="F865" s="24"/>
      <c r="G865" s="7"/>
      <c r="H865" s="7"/>
    </row>
    <row r="866" spans="6:8" ht="15.75" customHeight="1" x14ac:dyDescent="0.2">
      <c r="F866" s="24"/>
      <c r="G866" s="7"/>
      <c r="H866" s="7"/>
    </row>
    <row r="867" spans="6:8" ht="15.75" customHeight="1" x14ac:dyDescent="0.2">
      <c r="F867" s="24"/>
      <c r="G867" s="7"/>
      <c r="H867" s="7"/>
    </row>
    <row r="868" spans="6:8" ht="15.75" customHeight="1" x14ac:dyDescent="0.2">
      <c r="F868" s="24"/>
      <c r="G868" s="7"/>
      <c r="H868" s="7"/>
    </row>
    <row r="869" spans="6:8" ht="15.75" customHeight="1" x14ac:dyDescent="0.2">
      <c r="F869" s="24"/>
      <c r="G869" s="7"/>
      <c r="H869" s="7"/>
    </row>
    <row r="870" spans="6:8" ht="15.75" customHeight="1" x14ac:dyDescent="0.2">
      <c r="F870" s="24"/>
      <c r="G870" s="7"/>
      <c r="H870" s="7"/>
    </row>
    <row r="871" spans="6:8" ht="15.75" customHeight="1" x14ac:dyDescent="0.2">
      <c r="F871" s="24"/>
      <c r="G871" s="7"/>
      <c r="H871" s="7"/>
    </row>
    <row r="872" spans="6:8" ht="15.75" customHeight="1" x14ac:dyDescent="0.2">
      <c r="F872" s="24"/>
      <c r="G872" s="7"/>
      <c r="H872" s="7"/>
    </row>
    <row r="873" spans="6:8" ht="15.75" customHeight="1" x14ac:dyDescent="0.2">
      <c r="F873" s="24"/>
      <c r="G873" s="7"/>
      <c r="H873" s="7"/>
    </row>
    <row r="874" spans="6:8" ht="15.75" customHeight="1" x14ac:dyDescent="0.2">
      <c r="F874" s="24"/>
      <c r="G874" s="7"/>
      <c r="H874" s="7"/>
    </row>
    <row r="875" spans="6:8" ht="15.75" customHeight="1" x14ac:dyDescent="0.2">
      <c r="F875" s="24"/>
      <c r="G875" s="7"/>
      <c r="H875" s="7"/>
    </row>
    <row r="876" spans="6:8" ht="15.75" customHeight="1" x14ac:dyDescent="0.2">
      <c r="F876" s="24"/>
      <c r="G876" s="7"/>
      <c r="H876" s="7"/>
    </row>
    <row r="877" spans="6:8" ht="15.75" customHeight="1" x14ac:dyDescent="0.2">
      <c r="F877" s="24"/>
      <c r="G877" s="7"/>
      <c r="H877" s="7"/>
    </row>
    <row r="878" spans="6:8" ht="15.75" customHeight="1" x14ac:dyDescent="0.2">
      <c r="F878" s="24"/>
      <c r="G878" s="7"/>
      <c r="H878" s="7"/>
    </row>
    <row r="879" spans="6:8" ht="15.75" customHeight="1" x14ac:dyDescent="0.2">
      <c r="F879" s="24"/>
      <c r="G879" s="7"/>
      <c r="H879" s="7"/>
    </row>
    <row r="880" spans="6:8" ht="15.75" customHeight="1" x14ac:dyDescent="0.2">
      <c r="F880" s="24"/>
      <c r="G880" s="7"/>
      <c r="H880" s="7"/>
    </row>
    <row r="881" spans="6:8" ht="15.75" customHeight="1" x14ac:dyDescent="0.2">
      <c r="F881" s="24"/>
      <c r="G881" s="7"/>
      <c r="H881" s="7"/>
    </row>
    <row r="882" spans="6:8" ht="15.75" customHeight="1" x14ac:dyDescent="0.2">
      <c r="F882" s="24"/>
      <c r="G882" s="7"/>
      <c r="H882" s="7"/>
    </row>
    <row r="883" spans="6:8" ht="15.75" customHeight="1" x14ac:dyDescent="0.2">
      <c r="F883" s="24"/>
      <c r="G883" s="7"/>
      <c r="H883" s="7"/>
    </row>
    <row r="884" spans="6:8" ht="15.75" customHeight="1" x14ac:dyDescent="0.2">
      <c r="F884" s="24"/>
      <c r="G884" s="7"/>
      <c r="H884" s="7"/>
    </row>
    <row r="885" spans="6:8" ht="15.75" customHeight="1" x14ac:dyDescent="0.2">
      <c r="F885" s="24"/>
      <c r="G885" s="7"/>
      <c r="H885" s="7"/>
    </row>
    <row r="886" spans="6:8" ht="15.75" customHeight="1" x14ac:dyDescent="0.2">
      <c r="F886" s="24"/>
      <c r="G886" s="7"/>
      <c r="H886" s="7"/>
    </row>
    <row r="887" spans="6:8" ht="15.75" customHeight="1" x14ac:dyDescent="0.2">
      <c r="F887" s="24"/>
      <c r="G887" s="7"/>
      <c r="H887" s="7"/>
    </row>
    <row r="888" spans="6:8" ht="15.75" customHeight="1" x14ac:dyDescent="0.2">
      <c r="F888" s="24"/>
      <c r="G888" s="7"/>
      <c r="H888" s="7"/>
    </row>
    <row r="889" spans="6:8" ht="15.75" customHeight="1" x14ac:dyDescent="0.2">
      <c r="F889" s="24"/>
      <c r="G889" s="7"/>
      <c r="H889" s="7"/>
    </row>
    <row r="890" spans="6:8" ht="15.75" customHeight="1" x14ac:dyDescent="0.2">
      <c r="F890" s="24"/>
      <c r="G890" s="7"/>
      <c r="H890" s="7"/>
    </row>
    <row r="891" spans="6:8" ht="15.75" customHeight="1" x14ac:dyDescent="0.2">
      <c r="F891" s="24"/>
      <c r="G891" s="7"/>
      <c r="H891" s="7"/>
    </row>
    <row r="892" spans="6:8" ht="15.75" customHeight="1" x14ac:dyDescent="0.2">
      <c r="F892" s="24"/>
      <c r="G892" s="7"/>
      <c r="H892" s="7"/>
    </row>
    <row r="893" spans="6:8" ht="15.75" customHeight="1" x14ac:dyDescent="0.2">
      <c r="F893" s="24"/>
      <c r="G893" s="7"/>
      <c r="H893" s="7"/>
    </row>
    <row r="894" spans="6:8" ht="15.75" customHeight="1" x14ac:dyDescent="0.2">
      <c r="F894" s="24"/>
      <c r="G894" s="7"/>
      <c r="H894" s="7"/>
    </row>
    <row r="895" spans="6:8" ht="15.75" customHeight="1" x14ac:dyDescent="0.2">
      <c r="F895" s="24"/>
      <c r="G895" s="7"/>
      <c r="H895" s="7"/>
    </row>
    <row r="896" spans="6:8" ht="15.75" customHeight="1" x14ac:dyDescent="0.2">
      <c r="F896" s="24"/>
      <c r="G896" s="7"/>
      <c r="H896" s="7"/>
    </row>
    <row r="897" spans="6:8" ht="15.75" customHeight="1" x14ac:dyDescent="0.2">
      <c r="F897" s="24"/>
      <c r="G897" s="7"/>
      <c r="H897" s="7"/>
    </row>
    <row r="898" spans="6:8" ht="15.75" customHeight="1" x14ac:dyDescent="0.2">
      <c r="F898" s="24"/>
      <c r="G898" s="7"/>
      <c r="H898" s="7"/>
    </row>
    <row r="899" spans="6:8" ht="15.75" customHeight="1" x14ac:dyDescent="0.2">
      <c r="F899" s="24"/>
      <c r="G899" s="7"/>
      <c r="H899" s="7"/>
    </row>
    <row r="900" spans="6:8" ht="15.75" customHeight="1" x14ac:dyDescent="0.2">
      <c r="F900" s="24"/>
      <c r="G900" s="7"/>
      <c r="H900" s="7"/>
    </row>
    <row r="901" spans="6:8" ht="15.75" customHeight="1" x14ac:dyDescent="0.2">
      <c r="F901" s="24"/>
      <c r="G901" s="7"/>
      <c r="H901" s="7"/>
    </row>
    <row r="902" spans="6:8" ht="15.75" customHeight="1" x14ac:dyDescent="0.2">
      <c r="F902" s="24"/>
      <c r="G902" s="7"/>
      <c r="H902" s="7"/>
    </row>
    <row r="903" spans="6:8" ht="15.75" customHeight="1" x14ac:dyDescent="0.2">
      <c r="F903" s="24"/>
      <c r="G903" s="7"/>
      <c r="H903" s="7"/>
    </row>
    <row r="904" spans="6:8" ht="15.75" customHeight="1" x14ac:dyDescent="0.2">
      <c r="F904" s="24"/>
      <c r="G904" s="7"/>
      <c r="H904" s="7"/>
    </row>
    <row r="905" spans="6:8" ht="15.75" customHeight="1" x14ac:dyDescent="0.2">
      <c r="F905" s="24"/>
      <c r="G905" s="7"/>
      <c r="H905" s="7"/>
    </row>
    <row r="906" spans="6:8" ht="15.75" customHeight="1" x14ac:dyDescent="0.2">
      <c r="F906" s="24"/>
      <c r="G906" s="7"/>
      <c r="H906" s="7"/>
    </row>
    <row r="907" spans="6:8" ht="15.75" customHeight="1" x14ac:dyDescent="0.2">
      <c r="F907" s="24"/>
      <c r="G907" s="7"/>
      <c r="H907" s="7"/>
    </row>
    <row r="908" spans="6:8" ht="15.75" customHeight="1" x14ac:dyDescent="0.2">
      <c r="F908" s="24"/>
      <c r="G908" s="7"/>
      <c r="H908" s="7"/>
    </row>
    <row r="909" spans="6:8" ht="15.75" customHeight="1" x14ac:dyDescent="0.2">
      <c r="F909" s="24"/>
      <c r="G909" s="7"/>
      <c r="H909" s="7"/>
    </row>
    <row r="910" spans="6:8" ht="15.75" customHeight="1" x14ac:dyDescent="0.2">
      <c r="F910" s="24"/>
      <c r="G910" s="7"/>
      <c r="H910" s="7"/>
    </row>
    <row r="911" spans="6:8" ht="15.75" customHeight="1" x14ac:dyDescent="0.2">
      <c r="F911" s="24"/>
      <c r="G911" s="7"/>
      <c r="H911" s="7"/>
    </row>
    <row r="912" spans="6:8" ht="15.75" customHeight="1" x14ac:dyDescent="0.2">
      <c r="F912" s="24"/>
      <c r="G912" s="7"/>
      <c r="H912" s="7"/>
    </row>
    <row r="913" spans="6:8" ht="15.75" customHeight="1" x14ac:dyDescent="0.2">
      <c r="F913" s="24"/>
      <c r="G913" s="7"/>
      <c r="H913" s="7"/>
    </row>
    <row r="914" spans="6:8" ht="15.75" customHeight="1" x14ac:dyDescent="0.2">
      <c r="F914" s="24"/>
      <c r="G914" s="7"/>
      <c r="H914" s="7"/>
    </row>
    <row r="915" spans="6:8" ht="15.75" customHeight="1" x14ac:dyDescent="0.2">
      <c r="F915" s="24"/>
      <c r="G915" s="7"/>
      <c r="H915" s="7"/>
    </row>
    <row r="916" spans="6:8" ht="15.75" customHeight="1" x14ac:dyDescent="0.2">
      <c r="F916" s="24"/>
      <c r="G916" s="7"/>
      <c r="H916" s="7"/>
    </row>
    <row r="917" spans="6:8" ht="15.75" customHeight="1" x14ac:dyDescent="0.2">
      <c r="F917" s="24"/>
      <c r="G917" s="7"/>
      <c r="H917" s="7"/>
    </row>
    <row r="918" spans="6:8" ht="15.75" customHeight="1" x14ac:dyDescent="0.2">
      <c r="F918" s="24"/>
      <c r="G918" s="7"/>
      <c r="H918" s="7"/>
    </row>
    <row r="919" spans="6:8" ht="15.75" customHeight="1" x14ac:dyDescent="0.2">
      <c r="F919" s="24"/>
      <c r="G919" s="7"/>
      <c r="H919" s="7"/>
    </row>
    <row r="920" spans="6:8" ht="15.75" customHeight="1" x14ac:dyDescent="0.2">
      <c r="F920" s="24"/>
      <c r="G920" s="7"/>
      <c r="H920" s="7"/>
    </row>
    <row r="921" spans="6:8" ht="15.75" customHeight="1" x14ac:dyDescent="0.2">
      <c r="F921" s="24"/>
      <c r="G921" s="7"/>
      <c r="H921" s="7"/>
    </row>
    <row r="922" spans="6:8" ht="15.75" customHeight="1" x14ac:dyDescent="0.2">
      <c r="F922" s="24"/>
      <c r="G922" s="7"/>
      <c r="H922" s="7"/>
    </row>
    <row r="923" spans="6:8" ht="15.75" customHeight="1" x14ac:dyDescent="0.2">
      <c r="F923" s="24"/>
      <c r="G923" s="7"/>
      <c r="H923" s="7"/>
    </row>
    <row r="924" spans="6:8" ht="15.75" customHeight="1" x14ac:dyDescent="0.2">
      <c r="F924" s="24"/>
      <c r="G924" s="7"/>
      <c r="H924" s="7"/>
    </row>
    <row r="925" spans="6:8" ht="15.75" customHeight="1" x14ac:dyDescent="0.2">
      <c r="F925" s="24"/>
      <c r="G925" s="7"/>
      <c r="H925" s="7"/>
    </row>
    <row r="926" spans="6:8" ht="15.75" customHeight="1" x14ac:dyDescent="0.2">
      <c r="F926" s="24"/>
      <c r="G926" s="7"/>
      <c r="H926" s="7"/>
    </row>
    <row r="927" spans="6:8" ht="15.75" customHeight="1" x14ac:dyDescent="0.2">
      <c r="F927" s="24"/>
      <c r="G927" s="7"/>
      <c r="H927" s="7"/>
    </row>
    <row r="928" spans="6:8" ht="15.75" customHeight="1" x14ac:dyDescent="0.2">
      <c r="F928" s="24"/>
      <c r="G928" s="7"/>
      <c r="H928" s="7"/>
    </row>
    <row r="929" spans="6:8" ht="15.75" customHeight="1" x14ac:dyDescent="0.2">
      <c r="F929" s="24"/>
      <c r="G929" s="7"/>
      <c r="H929" s="7"/>
    </row>
    <row r="930" spans="6:8" ht="15.75" customHeight="1" x14ac:dyDescent="0.2">
      <c r="F930" s="24"/>
      <c r="G930" s="7"/>
      <c r="H930" s="7"/>
    </row>
    <row r="931" spans="6:8" ht="15.75" customHeight="1" x14ac:dyDescent="0.2">
      <c r="F931" s="24"/>
      <c r="G931" s="7"/>
      <c r="H931" s="7"/>
    </row>
    <row r="932" spans="6:8" ht="15.75" customHeight="1" x14ac:dyDescent="0.2">
      <c r="F932" s="24"/>
      <c r="G932" s="7"/>
      <c r="H932" s="7"/>
    </row>
    <row r="933" spans="6:8" ht="15.75" customHeight="1" x14ac:dyDescent="0.2">
      <c r="F933" s="24"/>
      <c r="G933" s="7"/>
      <c r="H933" s="7"/>
    </row>
    <row r="934" spans="6:8" ht="15.75" customHeight="1" x14ac:dyDescent="0.2">
      <c r="F934" s="24"/>
      <c r="G934" s="7"/>
      <c r="H934" s="7"/>
    </row>
    <row r="935" spans="6:8" ht="15.75" customHeight="1" x14ac:dyDescent="0.2">
      <c r="F935" s="24"/>
      <c r="G935" s="7"/>
      <c r="H935" s="7"/>
    </row>
    <row r="936" spans="6:8" ht="15.75" customHeight="1" x14ac:dyDescent="0.2">
      <c r="F936" s="24"/>
      <c r="G936" s="7"/>
      <c r="H936" s="7"/>
    </row>
    <row r="937" spans="6:8" ht="15.75" customHeight="1" x14ac:dyDescent="0.2">
      <c r="F937" s="24"/>
      <c r="G937" s="7"/>
      <c r="H937" s="7"/>
    </row>
    <row r="938" spans="6:8" ht="15.75" customHeight="1" x14ac:dyDescent="0.2">
      <c r="F938" s="24"/>
      <c r="G938" s="7"/>
      <c r="H938" s="7"/>
    </row>
    <row r="939" spans="6:8" ht="15.75" customHeight="1" x14ac:dyDescent="0.2">
      <c r="F939" s="24"/>
      <c r="G939" s="7"/>
      <c r="H939" s="7"/>
    </row>
    <row r="940" spans="6:8" ht="15.75" customHeight="1" x14ac:dyDescent="0.2">
      <c r="F940" s="24"/>
      <c r="G940" s="7"/>
      <c r="H940" s="7"/>
    </row>
    <row r="941" spans="6:8" ht="15.75" customHeight="1" x14ac:dyDescent="0.2">
      <c r="F941" s="24"/>
      <c r="G941" s="7"/>
      <c r="H941" s="7"/>
    </row>
    <row r="942" spans="6:8" ht="15.75" customHeight="1" x14ac:dyDescent="0.2">
      <c r="F942" s="24"/>
      <c r="G942" s="7"/>
      <c r="H942" s="7"/>
    </row>
    <row r="943" spans="6:8" ht="15.75" customHeight="1" x14ac:dyDescent="0.2">
      <c r="F943" s="24"/>
      <c r="G943" s="7"/>
      <c r="H943" s="7"/>
    </row>
    <row r="944" spans="6:8" ht="15.75" customHeight="1" x14ac:dyDescent="0.2">
      <c r="F944" s="24"/>
      <c r="G944" s="7"/>
      <c r="H944" s="7"/>
    </row>
    <row r="945" spans="6:8" ht="15.75" customHeight="1" x14ac:dyDescent="0.2">
      <c r="F945" s="24"/>
      <c r="G945" s="7"/>
      <c r="H945" s="7"/>
    </row>
    <row r="946" spans="6:8" ht="15.75" customHeight="1" x14ac:dyDescent="0.2">
      <c r="F946" s="24"/>
      <c r="G946" s="7"/>
      <c r="H946" s="7"/>
    </row>
    <row r="947" spans="6:8" ht="15.75" customHeight="1" x14ac:dyDescent="0.2">
      <c r="F947" s="24"/>
      <c r="G947" s="7"/>
      <c r="H947" s="7"/>
    </row>
    <row r="948" spans="6:8" ht="15.75" customHeight="1" x14ac:dyDescent="0.2">
      <c r="F948" s="24"/>
      <c r="G948" s="7"/>
      <c r="H948" s="7"/>
    </row>
    <row r="949" spans="6:8" ht="15.75" customHeight="1" x14ac:dyDescent="0.2">
      <c r="F949" s="24"/>
      <c r="G949" s="7"/>
      <c r="H949" s="7"/>
    </row>
    <row r="950" spans="6:8" ht="15.75" customHeight="1" x14ac:dyDescent="0.2">
      <c r="F950" s="24"/>
      <c r="G950" s="7"/>
      <c r="H950" s="7"/>
    </row>
    <row r="951" spans="6:8" ht="15.75" customHeight="1" x14ac:dyDescent="0.2">
      <c r="F951" s="24"/>
      <c r="G951" s="7"/>
      <c r="H951" s="7"/>
    </row>
    <row r="952" spans="6:8" ht="15.75" customHeight="1" x14ac:dyDescent="0.2">
      <c r="F952" s="24"/>
      <c r="G952" s="7"/>
      <c r="H952" s="7"/>
    </row>
    <row r="953" spans="6:8" ht="15.75" customHeight="1" x14ac:dyDescent="0.2">
      <c r="F953" s="24"/>
      <c r="G953" s="7"/>
      <c r="H953" s="7"/>
    </row>
    <row r="954" spans="6:8" ht="15.75" customHeight="1" x14ac:dyDescent="0.2">
      <c r="F954" s="24"/>
      <c r="G954" s="7"/>
      <c r="H954" s="7"/>
    </row>
    <row r="955" spans="6:8" ht="15.75" customHeight="1" x14ac:dyDescent="0.2">
      <c r="F955" s="24"/>
      <c r="G955" s="7"/>
      <c r="H955" s="7"/>
    </row>
    <row r="956" spans="6:8" ht="15.75" customHeight="1" x14ac:dyDescent="0.2">
      <c r="F956" s="24"/>
      <c r="G956" s="7"/>
      <c r="H956" s="7"/>
    </row>
    <row r="957" spans="6:8" ht="15.75" customHeight="1" x14ac:dyDescent="0.2">
      <c r="F957" s="24"/>
      <c r="G957" s="7"/>
      <c r="H957" s="7"/>
    </row>
    <row r="958" spans="6:8" ht="15.75" customHeight="1" x14ac:dyDescent="0.2">
      <c r="F958" s="24"/>
      <c r="G958" s="7"/>
      <c r="H958" s="7"/>
    </row>
    <row r="959" spans="6:8" ht="15.75" customHeight="1" x14ac:dyDescent="0.2">
      <c r="F959" s="24"/>
      <c r="G959" s="7"/>
      <c r="H959" s="7"/>
    </row>
    <row r="960" spans="6:8" ht="15.75" customHeight="1" x14ac:dyDescent="0.2">
      <c r="F960" s="24"/>
      <c r="G960" s="7"/>
      <c r="H960" s="7"/>
    </row>
    <row r="961" spans="6:8" ht="15.75" customHeight="1" x14ac:dyDescent="0.2">
      <c r="F961" s="24"/>
      <c r="G961" s="7"/>
      <c r="H961" s="7"/>
    </row>
    <row r="962" spans="6:8" ht="15.75" customHeight="1" x14ac:dyDescent="0.2">
      <c r="F962" s="24"/>
      <c r="G962" s="7"/>
      <c r="H962" s="7"/>
    </row>
    <row r="963" spans="6:8" ht="15.75" customHeight="1" x14ac:dyDescent="0.2">
      <c r="F963" s="24"/>
      <c r="G963" s="7"/>
      <c r="H963" s="7"/>
    </row>
    <row r="964" spans="6:8" ht="15.75" customHeight="1" x14ac:dyDescent="0.2">
      <c r="F964" s="24"/>
      <c r="G964" s="7"/>
      <c r="H964" s="7"/>
    </row>
    <row r="965" spans="6:8" ht="15.75" customHeight="1" x14ac:dyDescent="0.2">
      <c r="F965" s="24"/>
      <c r="G965" s="7"/>
      <c r="H965" s="7"/>
    </row>
    <row r="966" spans="6:8" ht="15.75" customHeight="1" x14ac:dyDescent="0.2">
      <c r="F966" s="24"/>
      <c r="G966" s="7"/>
      <c r="H966" s="7"/>
    </row>
    <row r="967" spans="6:8" ht="15.75" customHeight="1" x14ac:dyDescent="0.2">
      <c r="F967" s="24"/>
      <c r="G967" s="7"/>
      <c r="H967" s="7"/>
    </row>
    <row r="968" spans="6:8" ht="15.75" customHeight="1" x14ac:dyDescent="0.2">
      <c r="F968" s="24"/>
      <c r="G968" s="7"/>
      <c r="H968" s="7"/>
    </row>
    <row r="969" spans="6:8" ht="15.75" customHeight="1" x14ac:dyDescent="0.2">
      <c r="F969" s="24"/>
      <c r="G969" s="7"/>
      <c r="H969" s="7"/>
    </row>
    <row r="970" spans="6:8" ht="15.75" customHeight="1" x14ac:dyDescent="0.2">
      <c r="F970" s="24"/>
      <c r="G970" s="7"/>
      <c r="H970" s="7"/>
    </row>
    <row r="971" spans="6:8" ht="15.75" customHeight="1" x14ac:dyDescent="0.2">
      <c r="F971" s="24"/>
      <c r="G971" s="7"/>
      <c r="H971" s="7"/>
    </row>
    <row r="972" spans="6:8" ht="15.75" customHeight="1" x14ac:dyDescent="0.2">
      <c r="F972" s="24"/>
      <c r="G972" s="7"/>
      <c r="H972" s="7"/>
    </row>
    <row r="973" spans="6:8" ht="15.75" customHeight="1" x14ac:dyDescent="0.2">
      <c r="F973" s="24"/>
      <c r="G973" s="7"/>
      <c r="H973" s="7"/>
    </row>
    <row r="974" spans="6:8" ht="15.75" customHeight="1" x14ac:dyDescent="0.2">
      <c r="F974" s="24"/>
      <c r="G974" s="7"/>
      <c r="H974" s="7"/>
    </row>
    <row r="975" spans="6:8" ht="15.75" customHeight="1" x14ac:dyDescent="0.2">
      <c r="F975" s="24"/>
      <c r="G975" s="7"/>
      <c r="H975" s="7"/>
    </row>
    <row r="976" spans="6:8" ht="15.75" customHeight="1" x14ac:dyDescent="0.2">
      <c r="F976" s="24"/>
      <c r="G976" s="7"/>
      <c r="H976" s="7"/>
    </row>
    <row r="977" spans="6:8" ht="15.75" customHeight="1" x14ac:dyDescent="0.2">
      <c r="F977" s="24"/>
      <c r="G977" s="7"/>
      <c r="H977" s="7"/>
    </row>
    <row r="978" spans="6:8" ht="15.75" customHeight="1" x14ac:dyDescent="0.2">
      <c r="F978" s="24"/>
      <c r="G978" s="7"/>
      <c r="H978" s="7"/>
    </row>
    <row r="979" spans="6:8" ht="15.75" customHeight="1" x14ac:dyDescent="0.2">
      <c r="F979" s="24"/>
      <c r="G979" s="7"/>
      <c r="H979" s="7"/>
    </row>
    <row r="980" spans="6:8" ht="15.75" customHeight="1" x14ac:dyDescent="0.2">
      <c r="F980" s="24"/>
      <c r="G980" s="7"/>
      <c r="H980" s="7"/>
    </row>
    <row r="981" spans="6:8" ht="15.75" customHeight="1" x14ac:dyDescent="0.2">
      <c r="F981" s="24"/>
      <c r="G981" s="7"/>
      <c r="H981" s="7"/>
    </row>
    <row r="982" spans="6:8" ht="15.75" customHeight="1" x14ac:dyDescent="0.2">
      <c r="F982" s="24"/>
      <c r="G982" s="7"/>
      <c r="H982" s="7"/>
    </row>
    <row r="983" spans="6:8" ht="15.75" customHeight="1" x14ac:dyDescent="0.2">
      <c r="F983" s="24"/>
      <c r="G983" s="7"/>
      <c r="H983" s="7"/>
    </row>
    <row r="984" spans="6:8" ht="15.75" customHeight="1" x14ac:dyDescent="0.2">
      <c r="F984" s="24"/>
      <c r="G984" s="7"/>
      <c r="H984" s="7"/>
    </row>
    <row r="985" spans="6:8" ht="15.75" customHeight="1" x14ac:dyDescent="0.2">
      <c r="F985" s="24"/>
      <c r="G985" s="7"/>
      <c r="H985" s="7"/>
    </row>
    <row r="986" spans="6:8" ht="15.75" customHeight="1" x14ac:dyDescent="0.2">
      <c r="F986" s="24"/>
      <c r="G986" s="7"/>
      <c r="H986" s="7"/>
    </row>
    <row r="987" spans="6:8" ht="15.75" customHeight="1" x14ac:dyDescent="0.2">
      <c r="F987" s="24"/>
      <c r="G987" s="7"/>
      <c r="H987" s="7"/>
    </row>
    <row r="988" spans="6:8" ht="15.75" customHeight="1" x14ac:dyDescent="0.2">
      <c r="F988" s="24"/>
      <c r="G988" s="7"/>
      <c r="H988" s="7"/>
    </row>
    <row r="989" spans="6:8" ht="15.75" customHeight="1" x14ac:dyDescent="0.2">
      <c r="F989" s="24"/>
      <c r="G989" s="7"/>
      <c r="H989" s="7"/>
    </row>
    <row r="990" spans="6:8" ht="15.75" customHeight="1" x14ac:dyDescent="0.2">
      <c r="F990" s="24"/>
      <c r="G990" s="7"/>
      <c r="H990" s="7"/>
    </row>
    <row r="991" spans="6:8" ht="15.75" customHeight="1" x14ac:dyDescent="0.2">
      <c r="F991" s="24"/>
      <c r="G991" s="7"/>
      <c r="H991" s="7"/>
    </row>
    <row r="992" spans="6:8" ht="15.75" customHeight="1" x14ac:dyDescent="0.2">
      <c r="F992" s="24"/>
      <c r="G992" s="7"/>
      <c r="H992" s="7"/>
    </row>
    <row r="993" spans="6:8" ht="15.75" customHeight="1" x14ac:dyDescent="0.2">
      <c r="F993" s="24"/>
      <c r="G993" s="7"/>
      <c r="H993" s="7"/>
    </row>
    <row r="994" spans="6:8" ht="15.75" customHeight="1" x14ac:dyDescent="0.2">
      <c r="F994" s="24"/>
      <c r="G994" s="7"/>
      <c r="H994" s="7"/>
    </row>
    <row r="995" spans="6:8" ht="15.75" customHeight="1" x14ac:dyDescent="0.2">
      <c r="F995" s="24"/>
      <c r="G995" s="7"/>
      <c r="H995" s="7"/>
    </row>
    <row r="996" spans="6:8" ht="15.75" customHeight="1" x14ac:dyDescent="0.2">
      <c r="F996" s="24"/>
      <c r="G996" s="7"/>
      <c r="H996" s="7"/>
    </row>
    <row r="997" spans="6:8" ht="15.75" customHeight="1" x14ac:dyDescent="0.2">
      <c r="F997" s="24"/>
      <c r="G997" s="7"/>
      <c r="H997" s="7"/>
    </row>
    <row r="998" spans="6:8" ht="15.75" customHeight="1" x14ac:dyDescent="0.2">
      <c r="F998" s="24"/>
      <c r="G998" s="7"/>
      <c r="H998" s="7"/>
    </row>
    <row r="999" spans="6:8" ht="15.75" customHeight="1" x14ac:dyDescent="0.2">
      <c r="F999" s="24"/>
      <c r="G999" s="7"/>
      <c r="H999" s="7"/>
    </row>
    <row r="1000" spans="6:8" ht="15.75" customHeight="1" x14ac:dyDescent="0.2">
      <c r="F1000" s="24"/>
      <c r="G1000" s="7"/>
      <c r="H1000" s="7"/>
    </row>
    <row r="1001" spans="6:8" ht="15.75" customHeight="1" x14ac:dyDescent="0.2">
      <c r="F1001" s="24"/>
      <c r="G1001" s="7"/>
      <c r="H1001" s="7"/>
    </row>
    <row r="1002" spans="6:8" ht="15.75" customHeight="1" x14ac:dyDescent="0.2">
      <c r="F1002" s="24"/>
      <c r="G1002" s="7"/>
      <c r="H1002" s="7"/>
    </row>
    <row r="1003" spans="6:8" ht="15.75" customHeight="1" x14ac:dyDescent="0.2">
      <c r="F1003" s="24"/>
      <c r="G1003" s="7"/>
      <c r="H1003" s="7"/>
    </row>
    <row r="1004" spans="6:8" ht="15.75" customHeight="1" x14ac:dyDescent="0.2">
      <c r="F1004" s="24"/>
      <c r="G1004" s="7"/>
      <c r="H1004" s="7"/>
    </row>
    <row r="1005" spans="6:8" ht="15.75" customHeight="1" x14ac:dyDescent="0.2">
      <c r="F1005" s="24"/>
      <c r="G1005" s="7"/>
      <c r="H1005" s="7"/>
    </row>
    <row r="1006" spans="6:8" ht="15.75" customHeight="1" x14ac:dyDescent="0.2">
      <c r="F1006" s="24"/>
      <c r="G1006" s="7"/>
      <c r="H1006" s="7"/>
    </row>
    <row r="1007" spans="6:8" ht="15.75" customHeight="1" x14ac:dyDescent="0.2">
      <c r="F1007" s="24"/>
      <c r="G1007" s="7"/>
      <c r="H1007" s="7"/>
    </row>
    <row r="1008" spans="6:8" ht="15.75" customHeight="1" x14ac:dyDescent="0.2">
      <c r="F1008" s="24"/>
      <c r="G1008" s="7"/>
      <c r="H1008" s="7"/>
    </row>
    <row r="1009" spans="6:8" ht="15.75" customHeight="1" x14ac:dyDescent="0.2">
      <c r="F1009" s="24"/>
      <c r="G1009" s="7"/>
      <c r="H1009" s="7"/>
    </row>
    <row r="1010" spans="6:8" ht="15.75" customHeight="1" x14ac:dyDescent="0.2">
      <c r="F1010" s="24"/>
      <c r="G1010" s="7"/>
      <c r="H1010" s="7"/>
    </row>
    <row r="1011" spans="6:8" ht="15.75" customHeight="1" x14ac:dyDescent="0.2">
      <c r="F1011" s="24"/>
      <c r="G1011" s="7"/>
      <c r="H1011" s="7"/>
    </row>
    <row r="1012" spans="6:8" ht="15.75" customHeight="1" x14ac:dyDescent="0.2">
      <c r="F1012" s="24"/>
      <c r="G1012" s="7"/>
      <c r="H1012" s="7"/>
    </row>
    <row r="1013" spans="6:8" ht="15.75" customHeight="1" x14ac:dyDescent="0.2">
      <c r="F1013" s="24"/>
      <c r="G1013" s="7"/>
      <c r="H1013" s="7"/>
    </row>
    <row r="1014" spans="6:8" ht="15.75" customHeight="1" x14ac:dyDescent="0.2">
      <c r="F1014" s="24"/>
      <c r="G1014" s="7"/>
      <c r="H1014" s="7"/>
    </row>
    <row r="1015" spans="6:8" ht="15.75" customHeight="1" x14ac:dyDescent="0.2">
      <c r="F1015" s="24"/>
      <c r="G1015" s="7"/>
      <c r="H1015" s="7"/>
    </row>
    <row r="1016" spans="6:8" ht="15.75" customHeight="1" x14ac:dyDescent="0.2">
      <c r="F1016" s="24"/>
      <c r="G1016" s="7"/>
      <c r="H1016" s="7"/>
    </row>
    <row r="1017" spans="6:8" ht="15.75" customHeight="1" x14ac:dyDescent="0.2">
      <c r="F1017" s="24"/>
      <c r="G1017" s="7"/>
      <c r="H1017" s="7"/>
    </row>
    <row r="1018" spans="6:8" ht="15.75" customHeight="1" x14ac:dyDescent="0.2">
      <c r="F1018" s="24"/>
      <c r="G1018" s="7"/>
      <c r="H1018" s="7"/>
    </row>
    <row r="1019" spans="6:8" ht="15.75" customHeight="1" x14ac:dyDescent="0.2">
      <c r="F1019" s="24"/>
      <c r="G1019" s="7"/>
      <c r="H1019" s="7"/>
    </row>
    <row r="1020" spans="6:8" ht="15.75" customHeight="1" x14ac:dyDescent="0.2">
      <c r="F1020" s="24"/>
      <c r="G1020" s="7"/>
      <c r="H1020" s="7"/>
    </row>
    <row r="1021" spans="6:8" ht="15.75" customHeight="1" x14ac:dyDescent="0.2">
      <c r="F1021" s="24"/>
      <c r="G1021" s="7"/>
      <c r="H1021" s="7"/>
    </row>
    <row r="1022" spans="6:8" ht="15.75" customHeight="1" x14ac:dyDescent="0.2">
      <c r="F1022" s="24"/>
      <c r="G1022" s="7"/>
      <c r="H1022" s="7"/>
    </row>
    <row r="1023" spans="6:8" ht="15.75" customHeight="1" x14ac:dyDescent="0.2">
      <c r="F1023" s="24"/>
      <c r="G1023" s="7"/>
      <c r="H1023" s="7"/>
    </row>
    <row r="1024" spans="6:8" ht="15.75" customHeight="1" x14ac:dyDescent="0.2">
      <c r="F1024" s="24"/>
      <c r="G1024" s="7"/>
      <c r="H1024" s="7"/>
    </row>
    <row r="1025" spans="6:8" ht="15.75" customHeight="1" x14ac:dyDescent="0.2">
      <c r="F1025" s="24"/>
      <c r="G1025" s="7"/>
      <c r="H1025" s="7"/>
    </row>
    <row r="1026" spans="6:8" ht="15.75" customHeight="1" x14ac:dyDescent="0.2">
      <c r="F1026" s="24"/>
      <c r="G1026" s="7"/>
      <c r="H1026" s="7"/>
    </row>
    <row r="1027" spans="6:8" ht="15.75" customHeight="1" x14ac:dyDescent="0.2">
      <c r="F1027" s="24"/>
      <c r="G1027" s="7"/>
      <c r="H1027" s="7"/>
    </row>
    <row r="1028" spans="6:8" ht="15.75" customHeight="1" x14ac:dyDescent="0.2">
      <c r="F1028" s="24"/>
      <c r="G1028" s="7"/>
      <c r="H1028" s="7"/>
    </row>
    <row r="1029" spans="6:8" ht="15.75" customHeight="1" x14ac:dyDescent="0.2">
      <c r="F1029" s="24"/>
      <c r="G1029" s="7"/>
      <c r="H1029" s="7"/>
    </row>
    <row r="1030" spans="6:8" ht="15.75" customHeight="1" x14ac:dyDescent="0.2">
      <c r="F1030" s="24"/>
      <c r="G1030" s="7"/>
      <c r="H1030" s="7"/>
    </row>
    <row r="1031" spans="6:8" ht="15.75" customHeight="1" x14ac:dyDescent="0.2">
      <c r="F1031" s="24"/>
      <c r="G1031" s="7"/>
      <c r="H1031" s="7"/>
    </row>
    <row r="1032" spans="6:8" ht="15.75" customHeight="1" x14ac:dyDescent="0.2">
      <c r="F1032" s="24"/>
      <c r="G1032" s="7"/>
      <c r="H1032" s="7"/>
    </row>
    <row r="1033" spans="6:8" ht="15.75" customHeight="1" x14ac:dyDescent="0.2">
      <c r="F1033" s="24"/>
      <c r="G1033" s="7"/>
      <c r="H1033" s="7"/>
    </row>
    <row r="1034" spans="6:8" ht="15.75" customHeight="1" x14ac:dyDescent="0.2">
      <c r="F1034" s="24"/>
      <c r="G1034" s="7"/>
      <c r="H1034" s="7"/>
    </row>
    <row r="1035" spans="6:8" ht="15.75" customHeight="1" x14ac:dyDescent="0.2">
      <c r="F1035" s="24"/>
      <c r="G1035" s="7"/>
      <c r="H1035" s="7"/>
    </row>
    <row r="1036" spans="6:8" ht="15.75" customHeight="1" x14ac:dyDescent="0.2">
      <c r="F1036" s="24"/>
      <c r="G1036" s="7"/>
      <c r="H1036" s="7"/>
    </row>
    <row r="1037" spans="6:8" ht="15.75" customHeight="1" x14ac:dyDescent="0.2">
      <c r="F1037" s="24"/>
      <c r="G1037" s="7"/>
      <c r="H1037" s="7"/>
    </row>
    <row r="1038" spans="6:8" ht="15.75" customHeight="1" x14ac:dyDescent="0.2">
      <c r="F1038" s="24"/>
      <c r="G1038" s="7"/>
      <c r="H1038" s="7"/>
    </row>
    <row r="1039" spans="6:8" ht="15.75" customHeight="1" x14ac:dyDescent="0.2">
      <c r="F1039" s="24"/>
      <c r="G1039" s="7"/>
      <c r="H1039" s="7"/>
    </row>
    <row r="1040" spans="6:8" ht="15.75" customHeight="1" x14ac:dyDescent="0.2">
      <c r="F1040" s="24"/>
      <c r="G1040" s="7"/>
      <c r="H1040" s="7"/>
    </row>
    <row r="1041" spans="6:8" ht="15.75" customHeight="1" x14ac:dyDescent="0.2">
      <c r="F1041" s="24"/>
      <c r="G1041" s="7"/>
      <c r="H1041" s="7"/>
    </row>
    <row r="1042" spans="6:8" ht="15.75" customHeight="1" x14ac:dyDescent="0.2">
      <c r="F1042" s="24"/>
      <c r="G1042" s="7"/>
      <c r="H1042" s="7"/>
    </row>
    <row r="1043" spans="6:8" ht="15.75" customHeight="1" x14ac:dyDescent="0.2">
      <c r="F1043" s="24"/>
      <c r="G1043" s="7"/>
      <c r="H1043" s="7"/>
    </row>
    <row r="1044" spans="6:8" ht="15.75" customHeight="1" x14ac:dyDescent="0.2">
      <c r="F1044" s="24"/>
      <c r="G1044" s="7"/>
      <c r="H1044" s="7"/>
    </row>
    <row r="1045" spans="6:8" ht="15.75" customHeight="1" x14ac:dyDescent="0.2">
      <c r="F1045" s="24"/>
      <c r="G1045" s="7"/>
      <c r="H1045" s="7"/>
    </row>
    <row r="1046" spans="6:8" ht="15.75" customHeight="1" x14ac:dyDescent="0.2">
      <c r="F1046" s="24"/>
      <c r="G1046" s="7"/>
      <c r="H1046" s="7"/>
    </row>
    <row r="1047" spans="6:8" ht="15.75" customHeight="1" x14ac:dyDescent="0.2">
      <c r="F1047" s="24"/>
      <c r="G1047" s="7"/>
      <c r="H1047" s="7"/>
    </row>
    <row r="1048" spans="6:8" ht="15.75" customHeight="1" x14ac:dyDescent="0.2">
      <c r="F1048" s="24"/>
      <c r="G1048" s="7"/>
      <c r="H1048" s="7"/>
    </row>
    <row r="1049" spans="6:8" ht="15.75" customHeight="1" x14ac:dyDescent="0.2">
      <c r="F1049" s="24"/>
      <c r="G1049" s="7"/>
      <c r="H1049" s="7"/>
    </row>
    <row r="1050" spans="6:8" ht="15.75" customHeight="1" x14ac:dyDescent="0.2">
      <c r="F1050" s="24"/>
      <c r="G1050" s="7"/>
      <c r="H1050" s="7"/>
    </row>
    <row r="1051" spans="6:8" ht="15.75" customHeight="1" x14ac:dyDescent="0.2">
      <c r="F1051" s="24"/>
      <c r="G1051" s="7"/>
      <c r="H1051" s="7"/>
    </row>
    <row r="1052" spans="6:8" ht="15.75" customHeight="1" x14ac:dyDescent="0.2">
      <c r="F1052" s="24"/>
      <c r="G1052" s="7"/>
      <c r="H1052" s="7"/>
    </row>
    <row r="1053" spans="6:8" ht="15.75" customHeight="1" x14ac:dyDescent="0.2">
      <c r="F1053" s="24"/>
      <c r="G1053" s="7"/>
      <c r="H1053" s="7"/>
    </row>
    <row r="1054" spans="6:8" ht="15.75" customHeight="1" x14ac:dyDescent="0.2">
      <c r="F1054" s="24"/>
      <c r="G1054" s="7"/>
      <c r="H1054" s="7"/>
    </row>
    <row r="1055" spans="6:8" ht="15.75" customHeight="1" x14ac:dyDescent="0.2">
      <c r="F1055" s="24"/>
      <c r="G1055" s="7"/>
      <c r="H1055" s="7"/>
    </row>
    <row r="1056" spans="6:8" ht="15.75" customHeight="1" x14ac:dyDescent="0.2">
      <c r="F1056" s="24"/>
      <c r="G1056" s="7"/>
      <c r="H1056" s="7"/>
    </row>
    <row r="1057" spans="6:8" ht="15.75" customHeight="1" x14ac:dyDescent="0.2">
      <c r="F1057" s="24"/>
      <c r="G1057" s="7"/>
      <c r="H1057" s="7"/>
    </row>
    <row r="1058" spans="6:8" ht="15.75" customHeight="1" x14ac:dyDescent="0.2">
      <c r="F1058" s="24"/>
      <c r="G1058" s="7"/>
      <c r="H1058" s="7"/>
    </row>
    <row r="1059" spans="6:8" ht="15.75" customHeight="1" x14ac:dyDescent="0.2">
      <c r="F1059" s="24"/>
      <c r="G1059" s="7"/>
      <c r="H1059" s="7"/>
    </row>
    <row r="1060" spans="6:8" ht="15.75" customHeight="1" x14ac:dyDescent="0.2">
      <c r="F1060" s="24"/>
      <c r="G1060" s="7"/>
      <c r="H1060" s="7"/>
    </row>
    <row r="1061" spans="6:8" ht="15.75" customHeight="1" x14ac:dyDescent="0.2">
      <c r="F1061" s="24"/>
      <c r="G1061" s="7"/>
      <c r="H1061" s="7"/>
    </row>
    <row r="1062" spans="6:8" ht="15.75" customHeight="1" x14ac:dyDescent="0.2">
      <c r="F1062" s="24"/>
      <c r="G1062" s="7"/>
      <c r="H1062" s="7"/>
    </row>
    <row r="1063" spans="6:8" ht="15.75" customHeight="1" x14ac:dyDescent="0.2">
      <c r="F1063" s="24"/>
      <c r="G1063" s="7"/>
      <c r="H1063" s="7"/>
    </row>
    <row r="1064" spans="6:8" ht="15.75" customHeight="1" x14ac:dyDescent="0.2">
      <c r="F1064" s="24"/>
      <c r="G1064" s="7"/>
      <c r="H1064" s="7"/>
    </row>
    <row r="1065" spans="6:8" ht="15.75" customHeight="1" x14ac:dyDescent="0.2">
      <c r="F1065" s="24"/>
      <c r="G1065" s="7"/>
      <c r="H1065" s="7"/>
    </row>
    <row r="1066" spans="6:8" ht="15.75" customHeight="1" x14ac:dyDescent="0.2">
      <c r="F1066" s="24"/>
      <c r="G1066" s="7"/>
      <c r="H1066" s="7"/>
    </row>
    <row r="1067" spans="6:8" ht="15.75" customHeight="1" x14ac:dyDescent="0.2">
      <c r="F1067" s="24"/>
      <c r="G1067" s="7"/>
      <c r="H1067" s="7"/>
    </row>
    <row r="1068" spans="6:8" ht="15.75" customHeight="1" x14ac:dyDescent="0.2">
      <c r="F1068" s="24"/>
      <c r="G1068" s="7"/>
      <c r="H1068" s="7"/>
    </row>
    <row r="1069" spans="6:8" ht="15.75" customHeight="1" x14ac:dyDescent="0.2">
      <c r="F1069" s="24"/>
      <c r="G1069" s="7"/>
      <c r="H1069" s="7"/>
    </row>
    <row r="1070" spans="6:8" ht="15.75" customHeight="1" x14ac:dyDescent="0.2">
      <c r="F1070" s="24"/>
      <c r="G1070" s="7"/>
      <c r="H1070" s="7"/>
    </row>
    <row r="1071" spans="6:8" ht="15.75" customHeight="1" x14ac:dyDescent="0.2">
      <c r="F1071" s="24"/>
      <c r="G1071" s="7"/>
      <c r="H1071" s="7"/>
    </row>
    <row r="1072" spans="6:8" ht="15.75" customHeight="1" x14ac:dyDescent="0.2">
      <c r="F1072" s="24"/>
      <c r="G1072" s="7"/>
      <c r="H1072" s="7"/>
    </row>
    <row r="1073" spans="6:8" ht="15.75" customHeight="1" x14ac:dyDescent="0.2">
      <c r="F1073" s="24"/>
      <c r="G1073" s="7"/>
      <c r="H1073" s="7"/>
    </row>
    <row r="1074" spans="6:8" ht="15.75" customHeight="1" x14ac:dyDescent="0.2">
      <c r="F1074" s="24"/>
      <c r="G1074" s="7"/>
      <c r="H1074" s="7"/>
    </row>
    <row r="1075" spans="6:8" ht="15.75" customHeight="1" x14ac:dyDescent="0.2">
      <c r="F1075" s="24"/>
      <c r="G1075" s="7"/>
      <c r="H1075" s="7"/>
    </row>
    <row r="1076" spans="6:8" ht="15.75" customHeight="1" x14ac:dyDescent="0.2">
      <c r="F1076" s="24"/>
      <c r="G1076" s="7"/>
      <c r="H1076" s="7"/>
    </row>
    <row r="1077" spans="6:8" ht="15.75" customHeight="1" x14ac:dyDescent="0.2">
      <c r="F1077" s="24"/>
      <c r="G1077" s="7"/>
      <c r="H1077" s="7"/>
    </row>
    <row r="1078" spans="6:8" ht="15.75" customHeight="1" x14ac:dyDescent="0.2">
      <c r="F1078" s="24"/>
      <c r="G1078" s="7"/>
      <c r="H1078" s="7"/>
    </row>
    <row r="1079" spans="6:8" ht="15.75" customHeight="1" x14ac:dyDescent="0.2">
      <c r="F1079" s="24"/>
      <c r="G1079" s="7"/>
      <c r="H1079" s="7"/>
    </row>
    <row r="1080" spans="6:8" ht="15.75" customHeight="1" x14ac:dyDescent="0.2">
      <c r="F1080" s="24"/>
      <c r="G1080" s="7"/>
      <c r="H1080" s="7"/>
    </row>
    <row r="1081" spans="6:8" ht="15.75" customHeight="1" x14ac:dyDescent="0.2">
      <c r="F1081" s="24"/>
      <c r="G1081" s="7"/>
      <c r="H1081" s="7"/>
    </row>
    <row r="1082" spans="6:8" ht="15.75" customHeight="1" x14ac:dyDescent="0.2">
      <c r="F1082" s="24"/>
      <c r="G1082" s="7"/>
      <c r="H1082" s="7"/>
    </row>
    <row r="1083" spans="6:8" ht="15.75" customHeight="1" x14ac:dyDescent="0.2">
      <c r="F1083" s="24"/>
      <c r="G1083" s="7"/>
      <c r="H1083" s="7"/>
    </row>
    <row r="1084" spans="6:8" ht="15.75" customHeight="1" x14ac:dyDescent="0.2">
      <c r="F1084" s="24"/>
      <c r="G1084" s="7"/>
      <c r="H1084" s="7"/>
    </row>
    <row r="1085" spans="6:8" ht="15.75" customHeight="1" x14ac:dyDescent="0.2">
      <c r="F1085" s="24"/>
      <c r="G1085" s="7"/>
      <c r="H1085" s="7"/>
    </row>
    <row r="1086" spans="6:8" ht="15.75" customHeight="1" x14ac:dyDescent="0.2">
      <c r="F1086" s="24"/>
      <c r="G1086" s="7"/>
      <c r="H1086" s="7"/>
    </row>
    <row r="1087" spans="6:8" ht="15.75" customHeight="1" x14ac:dyDescent="0.2">
      <c r="F1087" s="24"/>
      <c r="G1087" s="7"/>
      <c r="H1087" s="7"/>
    </row>
    <row r="1088" spans="6:8" ht="15.75" customHeight="1" x14ac:dyDescent="0.2">
      <c r="F1088" s="24"/>
      <c r="G1088" s="7"/>
      <c r="H1088" s="7"/>
    </row>
    <row r="1089" spans="6:8" ht="15.75" customHeight="1" x14ac:dyDescent="0.2">
      <c r="F1089" s="24"/>
      <c r="G1089" s="7"/>
      <c r="H1089" s="7"/>
    </row>
    <row r="1090" spans="6:8" ht="15.75" customHeight="1" x14ac:dyDescent="0.2">
      <c r="F1090" s="24"/>
      <c r="G1090" s="7"/>
      <c r="H1090" s="7"/>
    </row>
    <row r="1091" spans="6:8" ht="15.75" customHeight="1" x14ac:dyDescent="0.2">
      <c r="F1091" s="24"/>
      <c r="G1091" s="7"/>
      <c r="H1091" s="7"/>
    </row>
    <row r="1092" spans="6:8" ht="15.75" customHeight="1" x14ac:dyDescent="0.2">
      <c r="F1092" s="24"/>
      <c r="G1092" s="7"/>
      <c r="H1092" s="7"/>
    </row>
    <row r="1093" spans="6:8" ht="15.75" customHeight="1" x14ac:dyDescent="0.2">
      <c r="F1093" s="24"/>
      <c r="G1093" s="7"/>
      <c r="H1093" s="7"/>
    </row>
    <row r="1094" spans="6:8" ht="15.75" customHeight="1" x14ac:dyDescent="0.2">
      <c r="F1094" s="24"/>
      <c r="G1094" s="7"/>
      <c r="H1094" s="7"/>
    </row>
    <row r="1095" spans="6:8" ht="15.75" customHeight="1" x14ac:dyDescent="0.2">
      <c r="F1095" s="24"/>
      <c r="G1095" s="7"/>
      <c r="H1095" s="7"/>
    </row>
    <row r="1096" spans="6:8" ht="15.75" customHeight="1" x14ac:dyDescent="0.2">
      <c r="F1096" s="24"/>
      <c r="G1096" s="7"/>
      <c r="H1096" s="7"/>
    </row>
    <row r="1097" spans="6:8" ht="15.75" customHeight="1" x14ac:dyDescent="0.2">
      <c r="F1097" s="24"/>
      <c r="G1097" s="7"/>
      <c r="H1097" s="7"/>
    </row>
    <row r="1098" spans="6:8" ht="15.75" customHeight="1" x14ac:dyDescent="0.2">
      <c r="F1098" s="24"/>
      <c r="G1098" s="7"/>
      <c r="H1098" s="7"/>
    </row>
    <row r="1099" spans="6:8" ht="15.75" customHeight="1" x14ac:dyDescent="0.2">
      <c r="F1099" s="24"/>
      <c r="G1099" s="7"/>
      <c r="H1099" s="7"/>
    </row>
    <row r="1100" spans="6:8" ht="15.75" customHeight="1" x14ac:dyDescent="0.2">
      <c r="F1100" s="24"/>
      <c r="G1100" s="7"/>
      <c r="H1100" s="7"/>
    </row>
    <row r="1101" spans="6:8" ht="15.75" customHeight="1" x14ac:dyDescent="0.2">
      <c r="F1101" s="24"/>
      <c r="G1101" s="7"/>
      <c r="H1101" s="7"/>
    </row>
    <row r="1102" spans="6:8" ht="15.75" customHeight="1" x14ac:dyDescent="0.2">
      <c r="F1102" s="24"/>
      <c r="G1102" s="7"/>
      <c r="H1102" s="7"/>
    </row>
    <row r="1103" spans="6:8" ht="15.75" customHeight="1" x14ac:dyDescent="0.2">
      <c r="F1103" s="24"/>
      <c r="G1103" s="7"/>
      <c r="H1103" s="7"/>
    </row>
    <row r="1104" spans="6:8" ht="15.75" customHeight="1" x14ac:dyDescent="0.2">
      <c r="F1104" s="24"/>
      <c r="G1104" s="7"/>
      <c r="H1104" s="7"/>
    </row>
    <row r="1105" spans="6:8" ht="15.75" customHeight="1" x14ac:dyDescent="0.2">
      <c r="F1105" s="24"/>
      <c r="G1105" s="7"/>
      <c r="H1105" s="7"/>
    </row>
    <row r="1106" spans="6:8" ht="15.75" customHeight="1" x14ac:dyDescent="0.2">
      <c r="F1106" s="24"/>
      <c r="G1106" s="7"/>
      <c r="H1106" s="7"/>
    </row>
    <row r="1107" spans="6:8" ht="15.75" customHeight="1" x14ac:dyDescent="0.2">
      <c r="F1107" s="24"/>
      <c r="G1107" s="7"/>
      <c r="H1107" s="7"/>
    </row>
    <row r="1108" spans="6:8" ht="15.75" customHeight="1" x14ac:dyDescent="0.2">
      <c r="F1108" s="24"/>
      <c r="G1108" s="7"/>
      <c r="H1108" s="7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25"/>
  <sheetViews>
    <sheetView tabSelected="1" workbookViewId="0">
      <pane xSplit="2" ySplit="1" topLeftCell="C607" activePane="bottomRight" state="frozen"/>
      <selection pane="topRight" activeCell="C1" sqref="C1"/>
      <selection pane="bottomLeft" activeCell="A2" sqref="A2"/>
      <selection pane="bottomRight" activeCell="J693" sqref="J693"/>
    </sheetView>
  </sheetViews>
  <sheetFormatPr baseColWidth="10" defaultColWidth="11.1640625" defaultRowHeight="15" customHeight="1" x14ac:dyDescent="0.2"/>
  <cols>
    <col min="1" max="1" width="7.6640625" customWidth="1"/>
    <col min="2" max="2" width="8.6640625" customWidth="1"/>
    <col min="3" max="3" width="10.5" style="209" customWidth="1"/>
    <col min="4" max="4" width="10.5" customWidth="1"/>
    <col min="5" max="5" width="6.5" customWidth="1"/>
    <col min="6" max="6" width="10.83203125" style="188" customWidth="1"/>
    <col min="7" max="7" width="10.5" style="186" customWidth="1"/>
    <col min="8" max="8" width="10.83203125" style="186" customWidth="1"/>
    <col min="9" max="26" width="10.5" customWidth="1"/>
  </cols>
  <sheetData>
    <row r="1" spans="1:26" ht="33.75" customHeight="1" x14ac:dyDescent="0.2">
      <c r="A1" s="3"/>
      <c r="B1" s="3" t="s">
        <v>49</v>
      </c>
      <c r="C1" s="208" t="s">
        <v>50</v>
      </c>
      <c r="D1" s="3" t="s">
        <v>51</v>
      </c>
      <c r="E1" s="3" t="s">
        <v>52</v>
      </c>
      <c r="F1" s="40" t="s">
        <v>53</v>
      </c>
      <c r="G1" s="7" t="s">
        <v>54</v>
      </c>
      <c r="H1" s="41" t="s">
        <v>55</v>
      </c>
      <c r="I1" s="2" t="s">
        <v>56</v>
      </c>
      <c r="J1" s="2" t="s">
        <v>57</v>
      </c>
      <c r="K1" s="2" t="s">
        <v>58</v>
      </c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/>
      <c r="B2" s="25" t="s">
        <v>15</v>
      </c>
      <c r="F2" s="24"/>
      <c r="H2" s="7"/>
      <c r="K2" s="4"/>
      <c r="L2" s="4"/>
      <c r="M2" s="4"/>
    </row>
    <row r="3" spans="1:26" ht="15.75" customHeight="1" x14ac:dyDescent="0.2">
      <c r="A3" s="4"/>
      <c r="B3" s="25" t="s">
        <v>59</v>
      </c>
      <c r="C3" s="210"/>
      <c r="D3" s="4"/>
      <c r="E3" s="4"/>
      <c r="F3" s="22"/>
      <c r="G3" s="10"/>
      <c r="H3" s="23"/>
      <c r="I3" s="4"/>
      <c r="J3" s="4"/>
      <c r="K3" s="4"/>
      <c r="L3" s="4"/>
      <c r="M3" s="4"/>
    </row>
    <row r="4" spans="1:26" ht="15.75" customHeight="1" x14ac:dyDescent="0.2">
      <c r="A4" s="4" t="s">
        <v>60</v>
      </c>
      <c r="B4" s="25">
        <v>36</v>
      </c>
      <c r="C4" s="210"/>
      <c r="D4" s="4"/>
      <c r="E4" s="4"/>
      <c r="F4" s="22"/>
      <c r="G4" s="10"/>
      <c r="H4" s="23"/>
      <c r="I4" s="4"/>
      <c r="J4" s="4"/>
      <c r="K4" s="4"/>
      <c r="L4" s="4"/>
      <c r="M4" s="4"/>
    </row>
    <row r="5" spans="1:26" ht="15.75" customHeight="1" x14ac:dyDescent="0.2">
      <c r="A5" s="4"/>
      <c r="B5" s="26" t="s">
        <v>62</v>
      </c>
      <c r="C5" s="210"/>
      <c r="D5" s="4"/>
      <c r="E5" s="4"/>
      <c r="F5" s="22"/>
      <c r="G5" s="10"/>
      <c r="H5" s="23"/>
      <c r="I5" s="4"/>
      <c r="J5" s="4"/>
      <c r="K5" s="4"/>
      <c r="L5" s="4"/>
      <c r="M5" s="4"/>
    </row>
    <row r="6" spans="1:26" ht="15.75" customHeight="1" x14ac:dyDescent="0.2">
      <c r="A6" s="4"/>
      <c r="B6" s="26"/>
      <c r="C6" s="210">
        <v>45524</v>
      </c>
      <c r="D6" s="8">
        <v>0.53125</v>
      </c>
      <c r="E6" s="4"/>
      <c r="F6" s="22"/>
      <c r="G6" s="10"/>
      <c r="H6" s="23"/>
      <c r="I6" s="4"/>
      <c r="J6" s="4">
        <v>9.5</v>
      </c>
      <c r="K6" s="4">
        <v>11.5</v>
      </c>
      <c r="L6" s="4"/>
      <c r="M6" s="4"/>
    </row>
    <row r="7" spans="1:26" ht="15.75" customHeight="1" x14ac:dyDescent="0.2">
      <c r="A7" s="4"/>
      <c r="B7" s="26"/>
      <c r="C7" s="210">
        <v>45524</v>
      </c>
      <c r="D7" s="8">
        <v>0.53819444444444442</v>
      </c>
      <c r="E7" s="4">
        <v>0.1</v>
      </c>
      <c r="F7" s="22">
        <v>9.1</v>
      </c>
      <c r="G7" s="10">
        <v>103.8</v>
      </c>
      <c r="H7" s="23">
        <v>21.9</v>
      </c>
      <c r="I7" s="4"/>
      <c r="J7" s="4"/>
      <c r="K7" s="4"/>
      <c r="L7" s="4"/>
      <c r="M7" s="4"/>
    </row>
    <row r="8" spans="1:26" ht="15.75" customHeight="1" x14ac:dyDescent="0.2">
      <c r="A8" s="4"/>
      <c r="B8" s="26"/>
      <c r="C8" s="210">
        <v>45524</v>
      </c>
      <c r="D8" s="8">
        <v>0.53819444444444442</v>
      </c>
      <c r="E8" s="4">
        <v>1</v>
      </c>
      <c r="F8" s="22">
        <v>9.08</v>
      </c>
      <c r="G8" s="10">
        <v>103.7</v>
      </c>
      <c r="H8" s="23">
        <v>21.9</v>
      </c>
      <c r="I8" s="4"/>
      <c r="J8" s="4"/>
      <c r="K8" s="4"/>
      <c r="L8" s="4"/>
      <c r="M8" s="4"/>
    </row>
    <row r="9" spans="1:26" ht="15.75" customHeight="1" x14ac:dyDescent="0.2">
      <c r="A9" s="4"/>
      <c r="B9" s="26"/>
      <c r="C9" s="210">
        <v>45524</v>
      </c>
      <c r="D9" s="8">
        <v>0.53819444444444442</v>
      </c>
      <c r="E9" s="4">
        <v>2</v>
      </c>
      <c r="F9" s="22">
        <v>9.07</v>
      </c>
      <c r="G9" s="10">
        <v>103.5</v>
      </c>
      <c r="H9" s="23">
        <v>21.9</v>
      </c>
      <c r="I9" s="4"/>
      <c r="J9" s="4"/>
      <c r="K9" s="4"/>
      <c r="L9" s="4"/>
      <c r="M9" s="4"/>
    </row>
    <row r="10" spans="1:26" ht="15.75" customHeight="1" x14ac:dyDescent="0.2">
      <c r="A10" s="4"/>
      <c r="B10" s="26"/>
      <c r="C10" s="210">
        <v>45524</v>
      </c>
      <c r="D10" s="8">
        <v>0.53819444444444442</v>
      </c>
      <c r="E10" s="4">
        <v>3</v>
      </c>
      <c r="F10" s="22">
        <v>9.07</v>
      </c>
      <c r="G10" s="10">
        <v>103.3</v>
      </c>
      <c r="H10" s="23">
        <v>21.8</v>
      </c>
      <c r="I10" s="4"/>
      <c r="J10" s="4"/>
      <c r="K10" s="4"/>
      <c r="L10" s="4"/>
      <c r="M10" s="4"/>
    </row>
    <row r="11" spans="1:26" ht="15.75" customHeight="1" x14ac:dyDescent="0.2">
      <c r="A11" s="4"/>
      <c r="B11" s="26"/>
      <c r="C11" s="210">
        <v>45524</v>
      </c>
      <c r="D11" s="8">
        <v>0.53819444444444442</v>
      </c>
      <c r="E11" s="4">
        <v>4</v>
      </c>
      <c r="F11" s="22">
        <v>9.0500000000000007</v>
      </c>
      <c r="G11" s="10">
        <v>103.2</v>
      </c>
      <c r="H11" s="23">
        <v>21.8</v>
      </c>
      <c r="I11" s="4"/>
      <c r="J11" s="4"/>
      <c r="K11" s="4"/>
      <c r="L11" s="4"/>
      <c r="M11" s="4"/>
    </row>
    <row r="12" spans="1:26" ht="15.75" customHeight="1" x14ac:dyDescent="0.2">
      <c r="A12" s="4"/>
      <c r="B12" s="26"/>
      <c r="C12" s="210">
        <v>45524</v>
      </c>
      <c r="D12" s="8">
        <v>0.53819444444444442</v>
      </c>
      <c r="E12" s="4">
        <v>5</v>
      </c>
      <c r="F12" s="22">
        <v>9.0500000000000007</v>
      </c>
      <c r="G12" s="10">
        <v>102.9</v>
      </c>
      <c r="H12" s="23">
        <v>21.7</v>
      </c>
      <c r="I12" s="4"/>
      <c r="J12" s="4"/>
      <c r="K12" s="4"/>
      <c r="L12" s="4"/>
      <c r="M12" s="4"/>
    </row>
    <row r="13" spans="1:26" ht="15.75" customHeight="1" x14ac:dyDescent="0.2">
      <c r="A13" s="4"/>
      <c r="B13" s="26"/>
      <c r="C13" s="210">
        <v>45524</v>
      </c>
      <c r="D13" s="8">
        <v>0.53819444444444442</v>
      </c>
      <c r="E13" s="4">
        <v>6</v>
      </c>
      <c r="F13" s="22">
        <v>9.0500000000000007</v>
      </c>
      <c r="G13" s="10">
        <v>102.7</v>
      </c>
      <c r="H13" s="23">
        <v>21.6</v>
      </c>
      <c r="I13" s="4"/>
      <c r="J13" s="4"/>
      <c r="K13" s="4"/>
      <c r="L13" s="4"/>
      <c r="M13" s="4"/>
    </row>
    <row r="14" spans="1:26" ht="15.75" customHeight="1" x14ac:dyDescent="0.2">
      <c r="A14" s="4"/>
      <c r="B14" s="26"/>
      <c r="C14" s="210">
        <v>45524</v>
      </c>
      <c r="D14" s="8">
        <v>0.53819444444444442</v>
      </c>
      <c r="E14" s="4">
        <v>7</v>
      </c>
      <c r="F14" s="22">
        <v>9.0500000000000007</v>
      </c>
      <c r="G14" s="10">
        <v>102.6</v>
      </c>
      <c r="H14" s="23">
        <v>21.5</v>
      </c>
      <c r="I14" s="4"/>
      <c r="J14" s="4"/>
      <c r="K14" s="4"/>
      <c r="L14" s="4"/>
      <c r="M14" s="4"/>
    </row>
    <row r="15" spans="1:26" ht="15.75" customHeight="1" x14ac:dyDescent="0.2">
      <c r="A15" s="4"/>
      <c r="B15" s="26"/>
      <c r="C15" s="210">
        <v>45524</v>
      </c>
      <c r="D15" s="8">
        <v>0.53819444444444442</v>
      </c>
      <c r="E15" s="4">
        <v>8</v>
      </c>
      <c r="F15" s="22">
        <v>9.0399999999999991</v>
      </c>
      <c r="G15" s="10">
        <v>102.4</v>
      </c>
      <c r="H15" s="23">
        <v>21.5</v>
      </c>
      <c r="I15" s="4"/>
      <c r="J15" s="4"/>
      <c r="K15" s="4"/>
      <c r="L15" s="4"/>
      <c r="M15" s="4"/>
    </row>
    <row r="16" spans="1:26" ht="15.75" customHeight="1" x14ac:dyDescent="0.2">
      <c r="A16" s="4"/>
      <c r="B16" s="26"/>
      <c r="C16" s="210">
        <v>45524</v>
      </c>
      <c r="D16" s="8">
        <v>0.53819444444444442</v>
      </c>
      <c r="E16" s="4">
        <v>9</v>
      </c>
      <c r="F16" s="22">
        <v>9.1999999999999993</v>
      </c>
      <c r="G16" s="10">
        <v>103.4</v>
      </c>
      <c r="H16" s="23">
        <v>21.1</v>
      </c>
      <c r="I16" s="4"/>
      <c r="J16" s="4"/>
      <c r="K16" s="4"/>
      <c r="L16" s="4"/>
      <c r="M16" s="4"/>
    </row>
    <row r="17" spans="1:13" ht="15.75" customHeight="1" x14ac:dyDescent="0.2">
      <c r="A17" s="4"/>
      <c r="B17" s="26"/>
      <c r="C17" s="210">
        <v>45524</v>
      </c>
      <c r="D17" s="8">
        <v>0.53819444444444442</v>
      </c>
      <c r="E17" s="4">
        <v>10</v>
      </c>
      <c r="F17" s="22">
        <v>9.24</v>
      </c>
      <c r="G17" s="10">
        <v>103.5</v>
      </c>
      <c r="H17" s="23">
        <v>21.1</v>
      </c>
      <c r="I17" s="4"/>
      <c r="J17" s="4"/>
      <c r="K17" s="4"/>
      <c r="L17" s="4"/>
      <c r="M17" s="4"/>
    </row>
    <row r="18" spans="1:13" ht="15.75" customHeight="1" x14ac:dyDescent="0.2">
      <c r="A18" s="4"/>
      <c r="B18" s="26"/>
      <c r="C18" s="210">
        <v>45524</v>
      </c>
      <c r="D18" s="8">
        <v>0.53819444444444442</v>
      </c>
      <c r="E18" s="4">
        <v>11</v>
      </c>
      <c r="F18" s="22">
        <v>11.14</v>
      </c>
      <c r="G18" s="10">
        <v>110.9</v>
      </c>
      <c r="H18" s="23">
        <v>15.1</v>
      </c>
      <c r="I18" s="4"/>
      <c r="J18" s="4"/>
      <c r="K18" s="4"/>
      <c r="L18" s="4"/>
      <c r="M18" s="4"/>
    </row>
    <row r="19" spans="1:13" ht="15.75" customHeight="1" x14ac:dyDescent="0.2">
      <c r="A19" s="4"/>
      <c r="B19" s="26"/>
      <c r="C19" s="210">
        <v>45524</v>
      </c>
      <c r="D19" s="8">
        <v>0.53819444444444442</v>
      </c>
      <c r="E19" s="4">
        <v>12</v>
      </c>
      <c r="F19" s="22">
        <v>11.41</v>
      </c>
      <c r="G19" s="10">
        <v>109.1</v>
      </c>
      <c r="H19" s="23">
        <v>13.4</v>
      </c>
      <c r="I19" s="4"/>
      <c r="J19" s="4"/>
      <c r="K19" s="4"/>
      <c r="L19" s="4"/>
      <c r="M19" s="4"/>
    </row>
    <row r="20" spans="1:13" ht="15.75" customHeight="1" x14ac:dyDescent="0.2">
      <c r="A20" s="4"/>
      <c r="B20" s="26"/>
      <c r="C20" s="210">
        <v>45524</v>
      </c>
      <c r="D20" s="8">
        <v>0.53819444444444442</v>
      </c>
      <c r="E20" s="4">
        <v>13</v>
      </c>
      <c r="F20" s="22">
        <v>11.43</v>
      </c>
      <c r="G20" s="10">
        <v>106.7</v>
      </c>
      <c r="H20" s="23">
        <v>12.4</v>
      </c>
      <c r="I20" s="4"/>
      <c r="J20" s="4"/>
      <c r="K20" s="4"/>
      <c r="L20" s="4"/>
      <c r="M20" s="4"/>
    </row>
    <row r="21" spans="1:13" ht="15.75" customHeight="1" x14ac:dyDescent="0.2">
      <c r="A21" s="4"/>
      <c r="B21" s="26"/>
      <c r="C21" s="210">
        <v>45524</v>
      </c>
      <c r="D21" s="8">
        <v>0.53819444444444442</v>
      </c>
      <c r="E21" s="4">
        <v>14</v>
      </c>
      <c r="F21" s="22">
        <v>11.5</v>
      </c>
      <c r="G21" s="10">
        <v>102.8</v>
      </c>
      <c r="H21" s="23">
        <v>11</v>
      </c>
      <c r="I21" s="4"/>
      <c r="J21" s="4"/>
      <c r="K21" s="4"/>
      <c r="L21" s="4"/>
      <c r="M21" s="4"/>
    </row>
    <row r="22" spans="1:13" ht="15.75" customHeight="1" x14ac:dyDescent="0.2">
      <c r="A22" s="4"/>
      <c r="B22" s="26"/>
      <c r="C22" s="210">
        <v>45524</v>
      </c>
      <c r="D22" s="8">
        <v>0.53819444444444442</v>
      </c>
      <c r="E22" s="4">
        <v>15</v>
      </c>
      <c r="F22" s="22">
        <v>11.34</v>
      </c>
      <c r="G22" s="10">
        <v>101.2</v>
      </c>
      <c r="H22" s="23">
        <v>10.3</v>
      </c>
      <c r="I22" s="4"/>
      <c r="J22" s="4"/>
      <c r="K22" s="4"/>
      <c r="L22" s="4"/>
      <c r="M22" s="4"/>
    </row>
    <row r="23" spans="1:13" ht="15.75" customHeight="1" x14ac:dyDescent="0.2">
      <c r="A23" s="4"/>
      <c r="B23" s="26"/>
      <c r="C23" s="210">
        <v>45524</v>
      </c>
      <c r="D23" s="8">
        <v>0.53819444444444442</v>
      </c>
      <c r="E23" s="4">
        <v>20</v>
      </c>
      <c r="F23" s="22">
        <v>10.96</v>
      </c>
      <c r="G23" s="10">
        <v>91.9</v>
      </c>
      <c r="H23" s="23">
        <v>7.9</v>
      </c>
      <c r="I23" s="4"/>
      <c r="J23" s="4"/>
      <c r="K23" s="4"/>
      <c r="L23" s="4"/>
      <c r="M23" s="4"/>
    </row>
    <row r="24" spans="1:13" ht="15.75" customHeight="1" x14ac:dyDescent="0.2">
      <c r="A24" s="4"/>
      <c r="B24" s="26"/>
      <c r="C24" s="210">
        <v>45524</v>
      </c>
      <c r="D24" s="8">
        <v>0.53819444444444442</v>
      </c>
      <c r="E24" s="4">
        <v>25</v>
      </c>
      <c r="F24" s="22">
        <v>10.67</v>
      </c>
      <c r="G24" s="10">
        <v>87.3</v>
      </c>
      <c r="H24" s="23">
        <v>6.9</v>
      </c>
      <c r="I24" s="4"/>
      <c r="J24" s="4"/>
      <c r="K24" s="4"/>
      <c r="L24" s="4"/>
      <c r="M24" s="4"/>
    </row>
    <row r="25" spans="1:13" ht="15.75" customHeight="1" x14ac:dyDescent="0.2">
      <c r="A25" s="4"/>
      <c r="B25" s="26"/>
      <c r="C25" s="210">
        <v>45524</v>
      </c>
      <c r="D25" s="8">
        <v>0.53819444444444442</v>
      </c>
      <c r="E25" s="4">
        <v>30</v>
      </c>
      <c r="F25" s="22">
        <v>10.5</v>
      </c>
      <c r="G25" s="10">
        <v>85.3</v>
      </c>
      <c r="H25" s="23">
        <v>6.5</v>
      </c>
      <c r="I25" s="4"/>
      <c r="J25" s="4"/>
      <c r="K25" s="4"/>
      <c r="L25" s="4"/>
      <c r="M25" s="4"/>
    </row>
    <row r="26" spans="1:13" ht="15.75" customHeight="1" x14ac:dyDescent="0.2">
      <c r="A26" s="4"/>
      <c r="B26" s="26"/>
      <c r="C26" s="210">
        <v>45524</v>
      </c>
      <c r="D26" s="8">
        <v>0.53819444444444442</v>
      </c>
      <c r="E26" s="4">
        <v>35</v>
      </c>
      <c r="F26" s="22">
        <v>10.42</v>
      </c>
      <c r="G26" s="10">
        <v>83.5</v>
      </c>
      <c r="H26" s="23">
        <v>5.9</v>
      </c>
      <c r="I26" s="4"/>
      <c r="J26" s="4"/>
      <c r="K26" s="4"/>
      <c r="L26" s="4"/>
      <c r="M26" s="4"/>
    </row>
    <row r="27" spans="1:13" ht="15.75" customHeight="1" x14ac:dyDescent="0.2">
      <c r="A27" s="4"/>
      <c r="B27" s="26"/>
      <c r="C27" s="210"/>
      <c r="D27" s="4"/>
      <c r="E27" s="4"/>
      <c r="F27" s="22"/>
      <c r="G27" s="10"/>
      <c r="H27" s="23"/>
      <c r="I27" s="4"/>
      <c r="J27" s="4"/>
      <c r="K27" s="4"/>
      <c r="L27" s="4"/>
      <c r="M27" s="4"/>
    </row>
    <row r="28" spans="1:13" ht="15.75" customHeight="1" x14ac:dyDescent="0.2">
      <c r="A28" s="4"/>
      <c r="B28" s="25"/>
      <c r="C28" s="210">
        <v>45496</v>
      </c>
      <c r="D28" s="8">
        <v>0.53472222222222221</v>
      </c>
      <c r="E28" s="4"/>
      <c r="F28" s="22"/>
      <c r="G28" s="10"/>
      <c r="H28" s="23"/>
      <c r="I28" s="4"/>
      <c r="J28" s="4">
        <v>9</v>
      </c>
      <c r="K28" s="4">
        <v>11.5</v>
      </c>
      <c r="L28" s="4"/>
      <c r="M28" s="4"/>
    </row>
    <row r="29" spans="1:13" ht="15.75" customHeight="1" x14ac:dyDescent="0.2">
      <c r="A29" s="4"/>
      <c r="B29" s="25"/>
      <c r="C29" s="210">
        <v>45496</v>
      </c>
      <c r="D29" s="8">
        <v>0.54166666666666663</v>
      </c>
      <c r="E29" s="4">
        <v>0.1</v>
      </c>
      <c r="F29" s="22">
        <v>8.92</v>
      </c>
      <c r="G29" s="10">
        <v>107.1</v>
      </c>
      <c r="H29" s="23">
        <v>24.6</v>
      </c>
      <c r="I29" s="4"/>
      <c r="J29" s="4"/>
      <c r="K29" s="4"/>
      <c r="L29" s="4"/>
      <c r="M29" s="4"/>
    </row>
    <row r="30" spans="1:13" ht="15.75" customHeight="1" x14ac:dyDescent="0.2">
      <c r="A30" s="4"/>
      <c r="B30" s="25"/>
      <c r="C30" s="210">
        <v>45496</v>
      </c>
      <c r="D30" s="8">
        <v>0.54166666666666663</v>
      </c>
      <c r="E30" s="4">
        <v>1</v>
      </c>
      <c r="F30" s="22">
        <v>8.9499999999999993</v>
      </c>
      <c r="G30" s="10">
        <v>106.4</v>
      </c>
      <c r="H30" s="23">
        <v>24.4</v>
      </c>
      <c r="I30" s="4"/>
      <c r="J30" s="4"/>
      <c r="K30" s="4"/>
      <c r="L30" s="4"/>
      <c r="M30" s="4"/>
    </row>
    <row r="31" spans="1:13" ht="15.75" customHeight="1" x14ac:dyDescent="0.2">
      <c r="A31" s="4"/>
      <c r="B31" s="25"/>
      <c r="C31" s="210">
        <v>45496</v>
      </c>
      <c r="D31" s="8">
        <v>0.54166666666666663</v>
      </c>
      <c r="E31" s="4">
        <v>2</v>
      </c>
      <c r="F31" s="22">
        <v>8.92</v>
      </c>
      <c r="G31" s="10">
        <v>107.3</v>
      </c>
      <c r="H31" s="23">
        <v>23.6</v>
      </c>
      <c r="I31" s="4"/>
      <c r="J31" s="4"/>
      <c r="K31" s="4"/>
      <c r="L31" s="4"/>
      <c r="M31" s="4"/>
    </row>
    <row r="32" spans="1:13" ht="15.75" customHeight="1" x14ac:dyDescent="0.2">
      <c r="A32" s="4"/>
      <c r="B32" s="25"/>
      <c r="C32" s="210">
        <v>45496</v>
      </c>
      <c r="D32" s="8">
        <v>0.54166666666666663</v>
      </c>
      <c r="E32" s="4">
        <v>3</v>
      </c>
      <c r="F32" s="22">
        <v>9.3800000000000008</v>
      </c>
      <c r="G32" s="10">
        <v>107.9</v>
      </c>
      <c r="H32" s="23">
        <v>23.6</v>
      </c>
      <c r="I32" s="4"/>
      <c r="J32" s="4"/>
      <c r="K32" s="4"/>
      <c r="L32" s="4"/>
      <c r="M32" s="4"/>
    </row>
    <row r="33" spans="1:13" ht="15.75" customHeight="1" x14ac:dyDescent="0.2">
      <c r="A33" s="4"/>
      <c r="B33" s="25"/>
      <c r="C33" s="210">
        <v>45496</v>
      </c>
      <c r="D33" s="8">
        <v>0.54166666666666663</v>
      </c>
      <c r="E33" s="4">
        <v>4</v>
      </c>
      <c r="F33" s="22">
        <v>10.039999999999999</v>
      </c>
      <c r="G33" s="10">
        <v>110.4</v>
      </c>
      <c r="H33" s="23">
        <v>20.7</v>
      </c>
      <c r="I33" s="4"/>
      <c r="J33" s="4"/>
      <c r="K33" s="4"/>
      <c r="L33" s="4"/>
      <c r="M33" s="4"/>
    </row>
    <row r="34" spans="1:13" ht="15.75" customHeight="1" x14ac:dyDescent="0.2">
      <c r="A34" s="4"/>
      <c r="B34" s="25"/>
      <c r="C34" s="210">
        <v>45496</v>
      </c>
      <c r="D34" s="8">
        <v>0.54166666666666663</v>
      </c>
      <c r="E34" s="4">
        <v>5</v>
      </c>
      <c r="F34" s="22">
        <v>10.41</v>
      </c>
      <c r="G34" s="10">
        <v>113.8</v>
      </c>
      <c r="H34" s="23">
        <v>19.8</v>
      </c>
      <c r="I34" s="4"/>
      <c r="J34" s="4"/>
      <c r="K34" s="4"/>
      <c r="L34" s="4"/>
      <c r="M34" s="4"/>
    </row>
    <row r="35" spans="1:13" ht="15.75" customHeight="1" x14ac:dyDescent="0.2">
      <c r="A35" s="4"/>
      <c r="B35" s="25"/>
      <c r="C35" s="210">
        <v>45496</v>
      </c>
      <c r="D35" s="8">
        <v>0.54166666666666663</v>
      </c>
      <c r="E35" s="4">
        <v>6</v>
      </c>
      <c r="F35" s="22">
        <v>10.64</v>
      </c>
      <c r="G35" s="10">
        <v>114.6</v>
      </c>
      <c r="H35" s="23">
        <v>19.100000000000001</v>
      </c>
      <c r="I35" s="4"/>
      <c r="J35" s="4"/>
      <c r="K35" s="4"/>
      <c r="L35" s="4"/>
      <c r="M35" s="4"/>
    </row>
    <row r="36" spans="1:13" ht="15.75" customHeight="1" x14ac:dyDescent="0.2">
      <c r="A36" s="4"/>
      <c r="B36" s="25"/>
      <c r="C36" s="210">
        <v>45496</v>
      </c>
      <c r="D36" s="8">
        <v>0.54166666666666663</v>
      </c>
      <c r="E36" s="4">
        <v>7</v>
      </c>
      <c r="F36" s="22">
        <v>10.8</v>
      </c>
      <c r="G36" s="10">
        <v>114.4</v>
      </c>
      <c r="H36" s="23">
        <v>18.3</v>
      </c>
      <c r="I36" s="4"/>
      <c r="J36" s="4"/>
      <c r="K36" s="4"/>
      <c r="L36" s="4"/>
      <c r="M36" s="4"/>
    </row>
    <row r="37" spans="1:13" ht="15.75" customHeight="1" x14ac:dyDescent="0.2">
      <c r="A37" s="4"/>
      <c r="B37" s="25"/>
      <c r="C37" s="210">
        <v>45496</v>
      </c>
      <c r="D37" s="8">
        <v>0.54166666666666663</v>
      </c>
      <c r="E37" s="4">
        <v>8</v>
      </c>
      <c r="F37" s="22">
        <v>10.85</v>
      </c>
      <c r="G37" s="10">
        <v>113.5</v>
      </c>
      <c r="H37" s="23">
        <v>17.600000000000001</v>
      </c>
      <c r="I37" s="4"/>
      <c r="J37" s="4"/>
      <c r="K37" s="4"/>
      <c r="L37" s="4"/>
      <c r="M37" s="4"/>
    </row>
    <row r="38" spans="1:13" ht="15.75" customHeight="1" x14ac:dyDescent="0.2">
      <c r="A38" s="4"/>
      <c r="B38" s="25"/>
      <c r="C38" s="210">
        <v>45496</v>
      </c>
      <c r="D38" s="8">
        <v>0.54166666666666663</v>
      </c>
      <c r="E38" s="4">
        <v>9</v>
      </c>
      <c r="F38" s="22">
        <v>10.96</v>
      </c>
      <c r="G38" s="10">
        <v>111.4</v>
      </c>
      <c r="H38" s="23">
        <v>16.3</v>
      </c>
      <c r="I38" s="4"/>
      <c r="J38" s="4"/>
      <c r="K38" s="4"/>
      <c r="L38" s="4"/>
      <c r="M38" s="4"/>
    </row>
    <row r="39" spans="1:13" ht="15.75" customHeight="1" x14ac:dyDescent="0.2">
      <c r="A39" s="4"/>
      <c r="B39" s="25"/>
      <c r="C39" s="210">
        <v>45496</v>
      </c>
      <c r="D39" s="8">
        <v>0.54166666666666663</v>
      </c>
      <c r="E39" s="4">
        <v>10</v>
      </c>
      <c r="F39" s="22">
        <v>11.06</v>
      </c>
      <c r="G39" s="10">
        <v>110.1</v>
      </c>
      <c r="H39" s="23">
        <v>15.3</v>
      </c>
      <c r="I39" s="4"/>
      <c r="J39" s="4"/>
      <c r="K39" s="4"/>
      <c r="L39" s="4"/>
      <c r="M39" s="4"/>
    </row>
    <row r="40" spans="1:13" ht="15.75" customHeight="1" x14ac:dyDescent="0.2">
      <c r="A40" s="4"/>
      <c r="B40" s="25"/>
      <c r="C40" s="210">
        <v>45496</v>
      </c>
      <c r="D40" s="8">
        <v>0.54166666666666663</v>
      </c>
      <c r="E40" s="4">
        <v>14</v>
      </c>
      <c r="F40" s="22">
        <v>10.38</v>
      </c>
      <c r="G40" s="10">
        <v>100.4</v>
      </c>
      <c r="H40" s="23">
        <v>10.4</v>
      </c>
      <c r="I40" s="4"/>
      <c r="J40" s="4"/>
      <c r="K40" s="4"/>
      <c r="L40" s="4"/>
      <c r="M40" s="4"/>
    </row>
    <row r="41" spans="1:13" ht="15.75" customHeight="1" x14ac:dyDescent="0.2">
      <c r="A41" s="4"/>
      <c r="B41" s="25"/>
      <c r="C41" s="210">
        <v>45496</v>
      </c>
      <c r="D41" s="8">
        <v>0.54166666666666663</v>
      </c>
      <c r="E41" s="4">
        <v>20</v>
      </c>
      <c r="F41" s="22">
        <v>11.09</v>
      </c>
      <c r="G41" s="10">
        <v>92.7</v>
      </c>
      <c r="H41" s="23">
        <v>7.6</v>
      </c>
      <c r="I41" s="4"/>
      <c r="J41" s="4"/>
      <c r="K41" s="4"/>
      <c r="L41" s="4"/>
      <c r="M41" s="4"/>
    </row>
    <row r="42" spans="1:13" ht="15.75" customHeight="1" x14ac:dyDescent="0.2">
      <c r="A42" s="4"/>
      <c r="B42" s="25"/>
      <c r="C42" s="210">
        <v>45496</v>
      </c>
      <c r="D42" s="8">
        <v>0.54166666666666663</v>
      </c>
      <c r="E42" s="4">
        <v>25</v>
      </c>
      <c r="F42" s="22">
        <v>10.88</v>
      </c>
      <c r="G42" s="10">
        <v>89.2</v>
      </c>
      <c r="H42" s="23">
        <v>6.9</v>
      </c>
      <c r="I42" s="4"/>
      <c r="J42" s="4"/>
      <c r="K42" s="4"/>
      <c r="L42" s="4"/>
      <c r="M42" s="4"/>
    </row>
    <row r="43" spans="1:13" ht="15.75" customHeight="1" x14ac:dyDescent="0.2">
      <c r="A43" s="4"/>
      <c r="B43" s="25"/>
      <c r="C43" s="210">
        <v>45496</v>
      </c>
      <c r="D43" s="8">
        <v>0.54166666666666663</v>
      </c>
      <c r="E43" s="4">
        <v>30</v>
      </c>
      <c r="F43" s="22">
        <v>10.76</v>
      </c>
      <c r="G43" s="10">
        <v>87.3</v>
      </c>
      <c r="H43" s="23">
        <v>6.4</v>
      </c>
      <c r="I43" s="4"/>
      <c r="J43" s="4"/>
      <c r="K43" s="4"/>
      <c r="L43" s="4"/>
      <c r="M43" s="4"/>
    </row>
    <row r="44" spans="1:13" ht="15.75" customHeight="1" x14ac:dyDescent="0.2">
      <c r="A44" s="4"/>
      <c r="B44" s="25"/>
      <c r="C44" s="210">
        <v>45496</v>
      </c>
      <c r="D44" s="8">
        <v>0.54166666666666663</v>
      </c>
      <c r="E44" s="4">
        <v>35</v>
      </c>
      <c r="F44" s="22">
        <v>10.62</v>
      </c>
      <c r="G44" s="10">
        <v>85.7</v>
      </c>
      <c r="H44" s="23">
        <v>6.1</v>
      </c>
      <c r="I44" s="4"/>
      <c r="J44" s="4"/>
      <c r="K44" s="4"/>
      <c r="L44" s="4"/>
      <c r="M44" s="4"/>
    </row>
    <row r="45" spans="1:13" ht="15.75" customHeight="1" x14ac:dyDescent="0.2">
      <c r="A45" s="4"/>
      <c r="B45" s="25"/>
      <c r="C45" s="210"/>
      <c r="D45" s="4"/>
      <c r="E45" s="4"/>
      <c r="F45" s="22"/>
      <c r="G45" s="10"/>
      <c r="H45" s="23"/>
      <c r="I45" s="4"/>
      <c r="J45" s="4"/>
      <c r="K45" s="4"/>
      <c r="L45" s="4"/>
      <c r="M45" s="4"/>
    </row>
    <row r="46" spans="1:13" ht="15.75" customHeight="1" x14ac:dyDescent="0.2">
      <c r="A46" s="4"/>
      <c r="B46" s="25"/>
      <c r="C46" s="210">
        <v>45463</v>
      </c>
      <c r="D46" s="8">
        <v>0.65972222222222221</v>
      </c>
      <c r="E46" s="4"/>
      <c r="F46" s="22"/>
      <c r="G46" s="10"/>
      <c r="H46" s="23"/>
      <c r="I46" s="4"/>
      <c r="J46" s="4">
        <v>7</v>
      </c>
      <c r="K46" s="4">
        <v>7.5</v>
      </c>
      <c r="L46" s="4"/>
      <c r="M46" s="4"/>
    </row>
    <row r="47" spans="1:13" ht="15.75" customHeight="1" x14ac:dyDescent="0.2">
      <c r="A47" s="4"/>
      <c r="B47" s="25"/>
      <c r="C47" s="210">
        <v>45463</v>
      </c>
      <c r="D47" s="8">
        <v>0.65972222222222221</v>
      </c>
      <c r="E47" s="4">
        <v>0.1</v>
      </c>
      <c r="F47" s="22">
        <v>10.16</v>
      </c>
      <c r="G47" s="10">
        <v>104.9</v>
      </c>
      <c r="H47" s="23">
        <v>16.8</v>
      </c>
      <c r="I47" s="4"/>
      <c r="J47" s="4"/>
      <c r="K47" s="4"/>
      <c r="L47" s="4"/>
      <c r="M47" s="4"/>
    </row>
    <row r="48" spans="1:13" ht="15.75" customHeight="1" x14ac:dyDescent="0.2">
      <c r="A48" s="4"/>
      <c r="B48" s="25"/>
      <c r="C48" s="210">
        <v>45463</v>
      </c>
      <c r="D48" s="8">
        <v>0.65972222222222221</v>
      </c>
      <c r="E48" s="4">
        <v>1</v>
      </c>
      <c r="F48" s="22">
        <v>10.36</v>
      </c>
      <c r="G48" s="10">
        <v>104.1</v>
      </c>
      <c r="H48" s="23">
        <v>16.399999999999999</v>
      </c>
      <c r="I48" s="4"/>
      <c r="J48" s="4"/>
      <c r="K48" s="4"/>
      <c r="L48" s="4"/>
      <c r="M48" s="4"/>
    </row>
    <row r="49" spans="1:13" ht="15.75" customHeight="1" x14ac:dyDescent="0.2">
      <c r="A49" s="4"/>
      <c r="B49" s="25"/>
      <c r="C49" s="210">
        <v>45463</v>
      </c>
      <c r="D49" s="8">
        <v>0.65972222222222221</v>
      </c>
      <c r="E49" s="4">
        <v>2</v>
      </c>
      <c r="F49" s="22">
        <v>10.49</v>
      </c>
      <c r="G49" s="10">
        <v>105.5</v>
      </c>
      <c r="H49" s="23">
        <v>15.6</v>
      </c>
      <c r="I49" s="4"/>
      <c r="J49" s="4"/>
      <c r="K49" s="4"/>
      <c r="L49" s="4"/>
      <c r="M49" s="4"/>
    </row>
    <row r="50" spans="1:13" ht="15.75" customHeight="1" x14ac:dyDescent="0.2">
      <c r="A50" s="4"/>
      <c r="B50" s="25"/>
      <c r="C50" s="210">
        <v>45463</v>
      </c>
      <c r="D50" s="8">
        <v>0.65972222222222221</v>
      </c>
      <c r="E50" s="4">
        <v>3</v>
      </c>
      <c r="F50" s="22">
        <v>10.52</v>
      </c>
      <c r="G50" s="10">
        <v>105.3</v>
      </c>
      <c r="H50" s="23">
        <v>15.4</v>
      </c>
      <c r="I50" s="4"/>
      <c r="J50" s="4"/>
      <c r="K50" s="4"/>
      <c r="L50" s="4"/>
      <c r="M50" s="4"/>
    </row>
    <row r="51" spans="1:13" ht="15.75" customHeight="1" x14ac:dyDescent="0.2">
      <c r="A51" s="4"/>
      <c r="B51" s="25"/>
      <c r="C51" s="210">
        <v>45463</v>
      </c>
      <c r="D51" s="8">
        <v>0.65972222222222221</v>
      </c>
      <c r="E51" s="4">
        <v>4</v>
      </c>
      <c r="F51" s="22">
        <v>10.55</v>
      </c>
      <c r="G51" s="10">
        <v>105.1</v>
      </c>
      <c r="H51" s="23">
        <v>15.2</v>
      </c>
      <c r="I51" s="4"/>
      <c r="J51" s="4"/>
      <c r="K51" s="4"/>
      <c r="L51" s="4"/>
      <c r="M51" s="4"/>
    </row>
    <row r="52" spans="1:13" ht="15.75" customHeight="1" x14ac:dyDescent="0.2">
      <c r="A52" s="4"/>
      <c r="B52" s="25"/>
      <c r="C52" s="210">
        <v>45463</v>
      </c>
      <c r="D52" s="8">
        <v>0.65972222222222221</v>
      </c>
      <c r="E52" s="4">
        <v>5</v>
      </c>
      <c r="F52" s="22">
        <v>10.56</v>
      </c>
      <c r="G52" s="10">
        <v>104.7</v>
      </c>
      <c r="H52" s="23">
        <v>15.1</v>
      </c>
      <c r="I52" s="4"/>
      <c r="J52" s="4"/>
      <c r="K52" s="4"/>
      <c r="L52" s="4"/>
      <c r="M52" s="4"/>
    </row>
    <row r="53" spans="1:13" ht="15.75" customHeight="1" x14ac:dyDescent="0.2">
      <c r="A53" s="4"/>
      <c r="B53" s="25"/>
      <c r="C53" s="210">
        <v>45463</v>
      </c>
      <c r="D53" s="8">
        <v>0.65972222222222221</v>
      </c>
      <c r="E53" s="4">
        <v>6</v>
      </c>
      <c r="F53" s="22">
        <v>10.55</v>
      </c>
      <c r="G53" s="10">
        <v>104</v>
      </c>
      <c r="H53" s="23">
        <v>14.8</v>
      </c>
      <c r="I53" s="4"/>
      <c r="J53" s="4"/>
      <c r="K53" s="4"/>
      <c r="L53" s="4"/>
      <c r="M53" s="4"/>
    </row>
    <row r="54" spans="1:13" ht="15.75" customHeight="1" x14ac:dyDescent="0.2">
      <c r="A54" s="4"/>
      <c r="B54" s="25"/>
      <c r="C54" s="210">
        <v>45463</v>
      </c>
      <c r="D54" s="8">
        <v>0.65972222222222221</v>
      </c>
      <c r="E54" s="4">
        <v>7</v>
      </c>
      <c r="F54" s="22">
        <v>10.58</v>
      </c>
      <c r="G54" s="10">
        <v>103.6</v>
      </c>
      <c r="H54" s="23">
        <v>14.5</v>
      </c>
      <c r="I54" s="4"/>
      <c r="J54" s="4"/>
      <c r="K54" s="4"/>
      <c r="L54" s="4"/>
      <c r="M54" s="4"/>
    </row>
    <row r="55" spans="1:13" ht="15.75" customHeight="1" x14ac:dyDescent="0.2">
      <c r="A55" s="4"/>
      <c r="B55" s="25"/>
      <c r="C55" s="210">
        <v>45463</v>
      </c>
      <c r="D55" s="8">
        <v>0.65972222222222221</v>
      </c>
      <c r="E55" s="4">
        <v>8</v>
      </c>
      <c r="F55" s="22">
        <v>10.6</v>
      </c>
      <c r="G55" s="10">
        <v>103.8</v>
      </c>
      <c r="H55" s="23">
        <v>14.4</v>
      </c>
      <c r="I55" s="4"/>
      <c r="J55" s="4"/>
      <c r="K55" s="4"/>
      <c r="L55" s="4"/>
      <c r="M55" s="4"/>
    </row>
    <row r="56" spans="1:13" ht="15.75" customHeight="1" x14ac:dyDescent="0.2">
      <c r="A56" s="4"/>
      <c r="B56" s="25"/>
      <c r="C56" s="210">
        <v>45463</v>
      </c>
      <c r="D56" s="8">
        <v>0.65972222222222221</v>
      </c>
      <c r="E56" s="4">
        <v>9</v>
      </c>
      <c r="F56" s="22">
        <v>10.65</v>
      </c>
      <c r="G56" s="10">
        <v>102.3</v>
      </c>
      <c r="H56" s="23">
        <v>13.6</v>
      </c>
      <c r="I56" s="4"/>
      <c r="J56" s="4"/>
      <c r="K56" s="4"/>
      <c r="L56" s="4"/>
      <c r="M56" s="4"/>
    </row>
    <row r="57" spans="1:13" ht="15.75" customHeight="1" x14ac:dyDescent="0.2">
      <c r="A57" s="4"/>
      <c r="B57" s="25"/>
      <c r="C57" s="210">
        <v>45463</v>
      </c>
      <c r="D57" s="8">
        <v>0.65972222222222221</v>
      </c>
      <c r="E57" s="4">
        <v>10</v>
      </c>
      <c r="F57" s="22">
        <v>10.73</v>
      </c>
      <c r="G57" s="10">
        <v>102.1</v>
      </c>
      <c r="H57" s="23">
        <v>13.1</v>
      </c>
      <c r="I57" s="4"/>
      <c r="J57" s="4"/>
      <c r="K57" s="4"/>
      <c r="L57" s="4"/>
      <c r="M57" s="4"/>
    </row>
    <row r="58" spans="1:13" ht="15.75" customHeight="1" x14ac:dyDescent="0.2">
      <c r="A58" s="4"/>
      <c r="B58" s="25"/>
      <c r="C58" s="210">
        <v>45463</v>
      </c>
      <c r="D58" s="8">
        <v>0.65972222222222221</v>
      </c>
      <c r="E58" s="4">
        <v>11</v>
      </c>
      <c r="F58" s="22">
        <v>10.82</v>
      </c>
      <c r="G58" s="10">
        <v>102.4</v>
      </c>
      <c r="H58" s="23">
        <v>12.8</v>
      </c>
      <c r="I58" s="4"/>
      <c r="J58" s="4"/>
      <c r="K58" s="4"/>
      <c r="L58" s="4"/>
      <c r="M58" s="4"/>
    </row>
    <row r="59" spans="1:13" ht="15.75" customHeight="1" x14ac:dyDescent="0.2">
      <c r="A59" s="4"/>
      <c r="B59" s="25"/>
      <c r="C59" s="210">
        <v>45463</v>
      </c>
      <c r="D59" s="8">
        <v>0.65972222222222221</v>
      </c>
      <c r="E59" s="4">
        <v>12</v>
      </c>
      <c r="F59" s="22">
        <v>10.88</v>
      </c>
      <c r="G59" s="10">
        <v>101.9</v>
      </c>
      <c r="H59" s="23">
        <v>12.3</v>
      </c>
      <c r="I59" s="4"/>
      <c r="J59" s="4"/>
      <c r="K59" s="4"/>
      <c r="L59" s="4"/>
      <c r="M59" s="4"/>
    </row>
    <row r="60" spans="1:13" ht="15.75" customHeight="1" x14ac:dyDescent="0.2">
      <c r="A60" s="4"/>
      <c r="B60" s="25"/>
      <c r="C60" s="210">
        <v>45463</v>
      </c>
      <c r="D60" s="8">
        <v>0.65972222222222221</v>
      </c>
      <c r="E60" s="4">
        <v>13</v>
      </c>
      <c r="F60" s="22">
        <v>11.12</v>
      </c>
      <c r="G60" s="10">
        <v>99.7</v>
      </c>
      <c r="H60" s="23">
        <v>10.5</v>
      </c>
      <c r="I60" s="4"/>
      <c r="J60" s="4"/>
      <c r="K60" s="4"/>
      <c r="L60" s="4"/>
      <c r="M60" s="4"/>
    </row>
    <row r="61" spans="1:13" ht="15.75" customHeight="1" x14ac:dyDescent="0.2">
      <c r="A61" s="4"/>
      <c r="B61" s="25"/>
      <c r="C61" s="210">
        <v>45463</v>
      </c>
      <c r="D61" s="8">
        <v>0.65972222222222221</v>
      </c>
      <c r="E61" s="4">
        <v>14</v>
      </c>
      <c r="F61" s="22">
        <v>11.2</v>
      </c>
      <c r="G61" s="10">
        <v>98.3</v>
      </c>
      <c r="H61" s="23">
        <v>9.6</v>
      </c>
      <c r="I61" s="4"/>
      <c r="J61" s="4"/>
      <c r="K61" s="4"/>
      <c r="L61" s="4"/>
      <c r="M61" s="4"/>
    </row>
    <row r="62" spans="1:13" ht="15.75" customHeight="1" x14ac:dyDescent="0.2">
      <c r="A62" s="4"/>
      <c r="B62" s="25"/>
      <c r="C62" s="210">
        <v>45463</v>
      </c>
      <c r="D62" s="8">
        <v>0.65972222222222221</v>
      </c>
      <c r="E62" s="4">
        <v>15</v>
      </c>
      <c r="F62" s="22">
        <v>11.44</v>
      </c>
      <c r="G62" s="10">
        <v>98</v>
      </c>
      <c r="H62" s="23">
        <v>8.5</v>
      </c>
      <c r="I62" s="4"/>
      <c r="J62" s="4"/>
      <c r="K62" s="4"/>
      <c r="L62" s="4"/>
      <c r="M62" s="4"/>
    </row>
    <row r="63" spans="1:13" ht="15.75" customHeight="1" x14ac:dyDescent="0.2">
      <c r="A63" s="4"/>
      <c r="B63" s="25"/>
      <c r="C63" s="210">
        <v>45463</v>
      </c>
      <c r="D63" s="8">
        <v>0.65972222222222221</v>
      </c>
      <c r="E63" s="4">
        <v>20</v>
      </c>
      <c r="F63" s="22">
        <v>11.5</v>
      </c>
      <c r="G63" s="10">
        <v>96.1</v>
      </c>
      <c r="H63" s="23">
        <v>7.7</v>
      </c>
      <c r="I63" s="4"/>
      <c r="J63" s="4"/>
      <c r="K63" s="4"/>
      <c r="L63" s="4"/>
      <c r="M63" s="4"/>
    </row>
    <row r="64" spans="1:13" ht="15.75" customHeight="1" x14ac:dyDescent="0.2">
      <c r="A64" s="4"/>
      <c r="B64" s="25"/>
      <c r="C64" s="210">
        <v>45463</v>
      </c>
      <c r="D64" s="8">
        <v>0.65972222222222221</v>
      </c>
      <c r="E64" s="4">
        <v>25</v>
      </c>
      <c r="F64" s="22">
        <v>11.35</v>
      </c>
      <c r="G64" s="10">
        <v>93.5</v>
      </c>
      <c r="H64" s="23">
        <v>7</v>
      </c>
      <c r="I64" s="4"/>
      <c r="J64" s="4"/>
      <c r="K64" s="4"/>
      <c r="L64" s="4"/>
      <c r="M64" s="4"/>
    </row>
    <row r="65" spans="1:21" ht="15.75" customHeight="1" x14ac:dyDescent="0.2">
      <c r="A65" s="4"/>
      <c r="B65" s="25"/>
      <c r="C65" s="210">
        <v>45463</v>
      </c>
      <c r="D65" s="8">
        <v>0.65972222222222221</v>
      </c>
      <c r="E65" s="4">
        <v>30</v>
      </c>
      <c r="F65" s="22">
        <v>11.19</v>
      </c>
      <c r="G65" s="10">
        <v>90.4</v>
      </c>
      <c r="H65" s="23">
        <v>6.4</v>
      </c>
      <c r="I65" s="4"/>
      <c r="J65" s="4"/>
      <c r="K65" s="4"/>
      <c r="L65" s="4"/>
      <c r="M65" s="4"/>
    </row>
    <row r="66" spans="1:21" ht="15.75" customHeight="1" x14ac:dyDescent="0.2">
      <c r="A66" s="4"/>
      <c r="B66" s="25"/>
      <c r="C66" s="210">
        <v>45463</v>
      </c>
      <c r="D66" s="8">
        <v>0.65972222222222221</v>
      </c>
      <c r="E66" s="4">
        <v>35</v>
      </c>
      <c r="F66" s="22">
        <v>11.01</v>
      </c>
      <c r="G66" s="10">
        <v>88.4</v>
      </c>
      <c r="H66" s="23">
        <v>6</v>
      </c>
      <c r="I66" s="4"/>
      <c r="J66" s="4"/>
      <c r="K66" s="4"/>
      <c r="L66" s="4"/>
      <c r="M66" s="4"/>
    </row>
    <row r="67" spans="1:21" ht="15.75" customHeight="1" x14ac:dyDescent="0.2">
      <c r="A67" s="4"/>
      <c r="B67" s="25"/>
      <c r="C67" s="210">
        <v>45463</v>
      </c>
      <c r="D67" s="8">
        <v>0.65972222222222221</v>
      </c>
      <c r="E67" s="4">
        <v>36</v>
      </c>
      <c r="F67" s="22">
        <v>10.89</v>
      </c>
      <c r="G67" s="10">
        <v>87.2</v>
      </c>
      <c r="H67" s="23">
        <v>5.9</v>
      </c>
      <c r="I67" s="4"/>
      <c r="J67" s="4"/>
      <c r="K67" s="4"/>
      <c r="L67" s="4"/>
      <c r="M67" s="4"/>
    </row>
    <row r="68" spans="1:21" ht="15.75" customHeight="1" x14ac:dyDescent="0.2">
      <c r="A68" s="4"/>
      <c r="B68" s="25"/>
      <c r="C68" s="210"/>
      <c r="D68" s="4"/>
      <c r="E68" s="4"/>
      <c r="F68" s="22"/>
      <c r="G68" s="10"/>
      <c r="H68" s="23"/>
      <c r="I68" s="4"/>
      <c r="J68" s="4"/>
      <c r="K68" s="4"/>
      <c r="L68" s="4"/>
      <c r="M68" s="4"/>
    </row>
    <row r="69" spans="1:21" ht="15.75" customHeight="1" x14ac:dyDescent="0.2">
      <c r="A69" s="4"/>
      <c r="B69" s="25"/>
      <c r="C69" s="210"/>
      <c r="D69" s="4"/>
      <c r="E69" s="4"/>
      <c r="F69" s="22"/>
      <c r="G69" s="10"/>
      <c r="H69" s="23"/>
      <c r="I69" s="4"/>
      <c r="J69" s="4"/>
      <c r="K69" s="4"/>
      <c r="L69" s="4"/>
      <c r="M69" s="4"/>
    </row>
    <row r="70" spans="1:21" ht="15.75" customHeight="1" x14ac:dyDescent="0.2">
      <c r="A70" s="4"/>
      <c r="B70" s="25"/>
      <c r="C70" s="210"/>
      <c r="D70" s="4"/>
      <c r="E70" s="4"/>
      <c r="F70" s="22"/>
      <c r="G70" s="10"/>
      <c r="H70" s="23"/>
      <c r="I70" s="4"/>
      <c r="J70" s="4"/>
      <c r="K70" s="4"/>
      <c r="L70" s="4"/>
      <c r="M70" s="4"/>
    </row>
    <row r="71" spans="1:21" ht="15.75" customHeight="1" x14ac:dyDescent="0.2">
      <c r="A71" s="4"/>
      <c r="B71" s="25"/>
      <c r="C71" s="210"/>
      <c r="D71" s="4"/>
      <c r="E71" s="4"/>
      <c r="F71" s="22"/>
      <c r="G71" s="10"/>
      <c r="H71" s="23"/>
      <c r="I71" s="4"/>
      <c r="J71" s="4"/>
      <c r="K71" s="4"/>
      <c r="L71" s="4"/>
      <c r="M71" s="4"/>
    </row>
    <row r="72" spans="1:21" ht="15.75" customHeight="1" x14ac:dyDescent="0.2">
      <c r="A72" s="4"/>
      <c r="B72" s="25">
        <v>35</v>
      </c>
      <c r="C72" s="210">
        <v>45349</v>
      </c>
      <c r="D72" s="8">
        <v>0.39930555555555558</v>
      </c>
      <c r="E72" s="4"/>
      <c r="F72" s="22"/>
      <c r="G72" s="10"/>
      <c r="H72" s="23"/>
      <c r="I72" s="4"/>
      <c r="J72" s="4">
        <v>8.6999999999999993</v>
      </c>
      <c r="K72" s="4">
        <v>9.5</v>
      </c>
      <c r="M72" s="16"/>
      <c r="N72" s="4"/>
      <c r="O72" s="16"/>
      <c r="P72" s="16"/>
      <c r="Q72" s="16"/>
      <c r="R72" s="16"/>
      <c r="S72" s="16"/>
      <c r="T72" s="16"/>
      <c r="U72" s="16"/>
    </row>
    <row r="73" spans="1:21" ht="15.75" customHeight="1" x14ac:dyDescent="0.2">
      <c r="A73" s="4"/>
      <c r="B73" s="25"/>
      <c r="C73" s="210">
        <v>45349</v>
      </c>
      <c r="D73" s="8">
        <v>0.39930555555555558</v>
      </c>
      <c r="E73" s="4">
        <v>0.1</v>
      </c>
      <c r="F73" s="22">
        <v>13.1</v>
      </c>
      <c r="G73" s="10">
        <v>98.1</v>
      </c>
      <c r="H73" s="23">
        <v>3.2</v>
      </c>
      <c r="I73" s="4"/>
      <c r="J73" s="4"/>
      <c r="K73" s="4"/>
      <c r="M73" s="23"/>
      <c r="N73" s="4"/>
      <c r="O73" s="7"/>
      <c r="P73" s="7"/>
      <c r="Q73" s="24"/>
      <c r="R73" s="1"/>
      <c r="S73" s="1"/>
      <c r="T73" s="1"/>
      <c r="U73" s="1"/>
    </row>
    <row r="74" spans="1:21" ht="15.75" customHeight="1" x14ac:dyDescent="0.2">
      <c r="A74" s="4"/>
      <c r="B74" s="25"/>
      <c r="C74" s="210">
        <v>45349</v>
      </c>
      <c r="D74" s="8">
        <v>0.39930555555555558</v>
      </c>
      <c r="E74" s="4">
        <v>1</v>
      </c>
      <c r="F74" s="22">
        <v>12.97</v>
      </c>
      <c r="G74" s="10">
        <v>96.8</v>
      </c>
      <c r="H74" s="23">
        <v>3.3</v>
      </c>
      <c r="I74" s="4"/>
      <c r="J74" s="4"/>
      <c r="K74" s="4"/>
      <c r="M74" s="23"/>
      <c r="N74" s="4"/>
      <c r="O74" s="7"/>
      <c r="P74" s="7"/>
      <c r="Q74" s="24"/>
      <c r="R74" s="1"/>
      <c r="S74" s="1"/>
      <c r="T74" s="1"/>
      <c r="U74" s="1"/>
    </row>
    <row r="75" spans="1:21" ht="15.75" customHeight="1" x14ac:dyDescent="0.2">
      <c r="A75" s="4"/>
      <c r="B75" s="25"/>
      <c r="C75" s="210">
        <v>45349</v>
      </c>
      <c r="D75" s="8">
        <v>0.39930555555555558</v>
      </c>
      <c r="E75" s="4">
        <v>2</v>
      </c>
      <c r="F75" s="22">
        <v>12.85</v>
      </c>
      <c r="G75" s="10">
        <v>96.6</v>
      </c>
      <c r="H75" s="23">
        <v>3.3</v>
      </c>
      <c r="I75" s="4"/>
      <c r="J75" s="4"/>
      <c r="K75" s="4"/>
      <c r="M75" s="23"/>
      <c r="N75" s="4"/>
      <c r="O75" s="7"/>
      <c r="P75" s="7"/>
      <c r="Q75" s="24"/>
      <c r="R75" s="1"/>
      <c r="S75" s="1"/>
      <c r="T75" s="1"/>
      <c r="U75" s="1"/>
    </row>
    <row r="76" spans="1:21" ht="15.75" customHeight="1" x14ac:dyDescent="0.2">
      <c r="A76" s="4"/>
      <c r="B76" s="25"/>
      <c r="C76" s="210">
        <v>45349</v>
      </c>
      <c r="D76" s="8">
        <v>0.39930555555555558</v>
      </c>
      <c r="E76" s="4">
        <v>3</v>
      </c>
      <c r="F76" s="22">
        <v>12.76</v>
      </c>
      <c r="G76" s="10">
        <v>95.5</v>
      </c>
      <c r="H76" s="23">
        <v>3.4</v>
      </c>
      <c r="I76" s="4"/>
      <c r="J76" s="4"/>
      <c r="K76" s="4"/>
      <c r="M76" s="23"/>
      <c r="N76" s="4"/>
      <c r="O76" s="7"/>
      <c r="P76" s="7"/>
      <c r="Q76" s="24"/>
      <c r="R76" s="1"/>
      <c r="S76" s="1"/>
      <c r="T76" s="1"/>
      <c r="U76" s="1"/>
    </row>
    <row r="77" spans="1:21" ht="15.75" customHeight="1" x14ac:dyDescent="0.2">
      <c r="A77" s="4"/>
      <c r="B77" s="25"/>
      <c r="C77" s="210">
        <v>45349</v>
      </c>
      <c r="D77" s="8">
        <v>0.39930555555555558</v>
      </c>
      <c r="E77" s="4">
        <v>4</v>
      </c>
      <c r="F77" s="22">
        <v>12.64</v>
      </c>
      <c r="G77" s="10">
        <v>94.8</v>
      </c>
      <c r="H77" s="23">
        <v>3.4</v>
      </c>
      <c r="I77" s="4"/>
      <c r="J77" s="4"/>
      <c r="K77" s="4"/>
      <c r="M77" s="23"/>
      <c r="N77" s="4"/>
      <c r="O77" s="7"/>
      <c r="P77" s="7"/>
      <c r="Q77" s="24"/>
      <c r="R77" s="1"/>
      <c r="S77" s="1"/>
      <c r="T77" s="1"/>
      <c r="U77" s="1"/>
    </row>
    <row r="78" spans="1:21" ht="15.75" customHeight="1" x14ac:dyDescent="0.2">
      <c r="A78" s="4"/>
      <c r="B78" s="25"/>
      <c r="C78" s="210">
        <v>45349</v>
      </c>
      <c r="D78" s="8">
        <v>0.39930555555555558</v>
      </c>
      <c r="E78" s="4">
        <v>5</v>
      </c>
      <c r="F78" s="22">
        <v>12.58</v>
      </c>
      <c r="G78" s="10">
        <v>94.4</v>
      </c>
      <c r="H78" s="23">
        <v>3.4</v>
      </c>
      <c r="I78" s="4"/>
      <c r="J78" s="4"/>
      <c r="K78" s="4"/>
      <c r="L78" s="4"/>
      <c r="M78" s="4"/>
      <c r="N78" s="23"/>
    </row>
    <row r="79" spans="1:21" ht="15.75" customHeight="1" x14ac:dyDescent="0.2">
      <c r="A79" s="4"/>
      <c r="B79" s="25"/>
      <c r="C79" s="210">
        <v>45349</v>
      </c>
      <c r="D79" s="8">
        <v>0.39930555555555558</v>
      </c>
      <c r="E79" s="4">
        <v>10</v>
      </c>
      <c r="F79" s="22">
        <v>12.43</v>
      </c>
      <c r="G79" s="10">
        <v>93.3</v>
      </c>
      <c r="H79" s="23">
        <v>3.5</v>
      </c>
      <c r="I79" s="4"/>
      <c r="J79" s="4"/>
      <c r="K79" s="4"/>
      <c r="L79" s="4"/>
      <c r="M79" s="4"/>
      <c r="N79" s="4"/>
      <c r="O79" s="7"/>
      <c r="P79" s="7"/>
      <c r="Q79" s="24"/>
      <c r="R79" s="1"/>
    </row>
    <row r="80" spans="1:21" ht="15.75" customHeight="1" x14ac:dyDescent="0.2">
      <c r="A80" s="4"/>
      <c r="B80" s="25"/>
      <c r="C80" s="210">
        <v>45349</v>
      </c>
      <c r="D80" s="8">
        <v>0.39930555555555558</v>
      </c>
      <c r="E80" s="4">
        <v>15</v>
      </c>
      <c r="F80" s="22">
        <v>12.11</v>
      </c>
      <c r="G80" s="10">
        <v>91.9</v>
      </c>
      <c r="H80" s="23">
        <v>3.6</v>
      </c>
      <c r="I80" s="4"/>
      <c r="J80" s="4"/>
      <c r="K80" s="4"/>
      <c r="L80" s="4"/>
      <c r="M80" s="27"/>
      <c r="N80" s="4"/>
      <c r="O80" s="7"/>
      <c r="P80" s="7"/>
      <c r="Q80" s="24"/>
      <c r="R80" s="1"/>
    </row>
    <row r="81" spans="1:18" ht="15.75" customHeight="1" x14ac:dyDescent="0.2">
      <c r="A81" s="4"/>
      <c r="B81" s="25"/>
      <c r="C81" s="210">
        <v>45349</v>
      </c>
      <c r="D81" s="8">
        <v>0.39930555555555558</v>
      </c>
      <c r="E81" s="4">
        <v>20</v>
      </c>
      <c r="F81" s="22">
        <v>12.03</v>
      </c>
      <c r="G81" s="10">
        <v>90.6</v>
      </c>
      <c r="H81" s="23">
        <v>3.6</v>
      </c>
      <c r="I81" s="4"/>
      <c r="J81" s="4"/>
      <c r="K81" s="4"/>
      <c r="L81" s="4"/>
      <c r="M81" s="27"/>
      <c r="N81" s="4"/>
      <c r="O81" s="7"/>
      <c r="P81" s="7"/>
      <c r="Q81" s="24"/>
      <c r="R81" s="1"/>
    </row>
    <row r="82" spans="1:18" ht="15.75" customHeight="1" x14ac:dyDescent="0.2">
      <c r="A82" s="4"/>
      <c r="B82" s="25"/>
      <c r="C82" s="210">
        <v>45349</v>
      </c>
      <c r="D82" s="8">
        <v>0.39930555555555558</v>
      </c>
      <c r="E82" s="4">
        <v>25</v>
      </c>
      <c r="F82" s="22">
        <v>11.97</v>
      </c>
      <c r="G82" s="10">
        <v>90.4</v>
      </c>
      <c r="H82" s="23">
        <v>3.6</v>
      </c>
      <c r="I82" s="4"/>
      <c r="J82" s="4"/>
      <c r="K82" s="4"/>
      <c r="L82" s="4"/>
      <c r="M82" s="27"/>
      <c r="N82" s="4"/>
      <c r="O82" s="7"/>
      <c r="P82" s="7"/>
      <c r="Q82" s="24"/>
      <c r="R82" s="1"/>
    </row>
    <row r="83" spans="1:18" ht="15.75" customHeight="1" x14ac:dyDescent="0.2">
      <c r="A83" s="4"/>
      <c r="B83" s="25"/>
      <c r="C83" s="210">
        <v>45349</v>
      </c>
      <c r="D83" s="8">
        <v>0.39930555555555558</v>
      </c>
      <c r="E83" s="4">
        <v>30</v>
      </c>
      <c r="F83" s="22">
        <v>11.84</v>
      </c>
      <c r="G83" s="10">
        <v>89.3</v>
      </c>
      <c r="H83" s="23">
        <v>3.6</v>
      </c>
      <c r="I83" s="4"/>
      <c r="J83" s="4"/>
      <c r="K83" s="4"/>
      <c r="L83" s="4"/>
      <c r="M83" s="27"/>
      <c r="N83" s="4"/>
      <c r="O83" s="7"/>
      <c r="P83" s="7"/>
      <c r="Q83" s="24"/>
      <c r="R83" s="1"/>
    </row>
    <row r="84" spans="1:18" ht="15.75" customHeight="1" x14ac:dyDescent="0.2">
      <c r="A84" s="4"/>
      <c r="B84" s="25"/>
      <c r="C84" s="210">
        <v>45349</v>
      </c>
      <c r="D84" s="8">
        <v>0.39930555555555558</v>
      </c>
      <c r="E84" s="4">
        <v>35</v>
      </c>
      <c r="F84" s="22">
        <v>11.73</v>
      </c>
      <c r="G84" s="10">
        <v>88.5</v>
      </c>
      <c r="H84" s="23">
        <v>3.6</v>
      </c>
      <c r="I84" s="4"/>
      <c r="J84" s="4"/>
      <c r="K84" s="4"/>
      <c r="L84" s="4"/>
      <c r="M84" s="27"/>
      <c r="N84" s="4"/>
      <c r="O84" s="7"/>
      <c r="P84" s="1"/>
      <c r="Q84" s="24"/>
      <c r="R84" s="1"/>
    </row>
    <row r="85" spans="1:18" ht="15.75" customHeight="1" x14ac:dyDescent="0.2">
      <c r="A85" s="4"/>
      <c r="B85" s="25"/>
      <c r="C85" s="210">
        <v>45349</v>
      </c>
      <c r="D85" s="8">
        <v>0.39930555555555558</v>
      </c>
      <c r="E85" s="4">
        <v>40</v>
      </c>
      <c r="F85" s="22">
        <v>11.58</v>
      </c>
      <c r="G85" s="10">
        <v>87.3</v>
      </c>
      <c r="H85" s="23">
        <v>3.7</v>
      </c>
      <c r="I85" s="4"/>
      <c r="J85" s="4"/>
      <c r="K85" s="4"/>
      <c r="L85" s="4"/>
      <c r="M85" s="27"/>
      <c r="N85" s="4"/>
      <c r="O85" s="7"/>
      <c r="P85" s="1"/>
      <c r="Q85" s="24"/>
      <c r="R85" s="1"/>
    </row>
    <row r="86" spans="1:18" ht="15.75" customHeight="1" x14ac:dyDescent="0.2">
      <c r="A86" s="4"/>
      <c r="B86" s="25"/>
      <c r="C86" s="210">
        <v>45349</v>
      </c>
      <c r="D86" s="8">
        <v>0.39930555555555558</v>
      </c>
      <c r="E86" s="4">
        <v>45</v>
      </c>
      <c r="F86" s="22">
        <v>11.42</v>
      </c>
      <c r="G86" s="10">
        <v>86.3</v>
      </c>
      <c r="H86" s="23">
        <v>3.7</v>
      </c>
      <c r="I86" s="4"/>
      <c r="J86" s="4"/>
      <c r="K86" s="4"/>
      <c r="L86" s="4"/>
      <c r="M86" s="27"/>
      <c r="N86" s="4"/>
      <c r="O86" s="7"/>
      <c r="P86" s="1"/>
      <c r="Q86" s="24"/>
      <c r="R86" s="1"/>
    </row>
    <row r="87" spans="1:18" ht="15.75" customHeight="1" x14ac:dyDescent="0.2">
      <c r="A87" s="4"/>
      <c r="B87" s="25"/>
      <c r="C87" s="210">
        <v>45349</v>
      </c>
      <c r="D87" s="8">
        <v>0.39930555555555558</v>
      </c>
      <c r="E87" s="4">
        <v>50</v>
      </c>
      <c r="F87" s="22">
        <v>11.01</v>
      </c>
      <c r="G87" s="10">
        <v>83.1</v>
      </c>
      <c r="H87" s="23">
        <v>3.7</v>
      </c>
      <c r="I87" s="4"/>
      <c r="J87" s="4"/>
      <c r="K87" s="4"/>
      <c r="L87" s="4"/>
      <c r="M87" s="27"/>
      <c r="N87" s="4"/>
      <c r="O87" s="7"/>
      <c r="P87" s="1"/>
      <c r="Q87" s="24"/>
      <c r="R87" s="1"/>
    </row>
    <row r="88" spans="1:18" ht="15.75" customHeight="1" x14ac:dyDescent="0.2">
      <c r="A88" s="4"/>
      <c r="B88" s="25"/>
      <c r="C88" s="210">
        <v>45349</v>
      </c>
      <c r="D88" s="8">
        <v>0.39930555555555558</v>
      </c>
      <c r="E88" s="4">
        <v>55</v>
      </c>
      <c r="F88" s="22">
        <v>10.73</v>
      </c>
      <c r="G88" s="10">
        <v>81.099999999999994</v>
      </c>
      <c r="H88" s="23">
        <v>3.7</v>
      </c>
      <c r="I88" s="4"/>
      <c r="J88" s="4"/>
      <c r="K88" s="4"/>
      <c r="L88" s="4"/>
      <c r="M88" s="27"/>
      <c r="N88" s="4"/>
      <c r="O88" s="7"/>
      <c r="P88" s="1"/>
      <c r="Q88" s="24"/>
      <c r="R88" s="1"/>
    </row>
    <row r="89" spans="1:18" ht="15.75" customHeight="1" x14ac:dyDescent="0.2">
      <c r="A89" s="4"/>
      <c r="B89" s="25"/>
      <c r="C89" s="210">
        <v>45349</v>
      </c>
      <c r="D89" s="8">
        <v>0.39930555555555558</v>
      </c>
      <c r="E89" s="4">
        <v>60</v>
      </c>
      <c r="F89" s="22">
        <v>10.38</v>
      </c>
      <c r="G89" s="10"/>
      <c r="H89" s="23">
        <v>3.8</v>
      </c>
      <c r="I89" s="4"/>
      <c r="J89" s="4"/>
      <c r="K89" s="4"/>
      <c r="L89" s="4"/>
      <c r="M89" s="27"/>
      <c r="N89" s="4"/>
      <c r="O89" s="7"/>
      <c r="P89" s="1"/>
      <c r="Q89" s="24"/>
      <c r="R89" s="1"/>
    </row>
    <row r="90" spans="1:18" ht="15.75" customHeight="1" x14ac:dyDescent="0.2">
      <c r="A90" s="4"/>
      <c r="B90" s="25"/>
      <c r="C90" s="210">
        <v>45349</v>
      </c>
      <c r="D90" s="8">
        <v>0.39930555555555558</v>
      </c>
      <c r="E90" s="4">
        <v>65</v>
      </c>
      <c r="F90" s="22">
        <v>10.19</v>
      </c>
      <c r="G90" s="10">
        <v>77.2</v>
      </c>
      <c r="H90" s="23">
        <v>3.8</v>
      </c>
      <c r="I90" s="4"/>
      <c r="J90" s="4"/>
      <c r="K90" s="4"/>
      <c r="L90" s="4"/>
      <c r="M90" s="27"/>
      <c r="N90" s="4"/>
      <c r="O90" s="7"/>
      <c r="P90" s="1"/>
      <c r="Q90" s="24"/>
      <c r="R90" s="1"/>
    </row>
    <row r="91" spans="1:18" ht="15.75" customHeight="1" x14ac:dyDescent="0.2">
      <c r="A91" s="4"/>
      <c r="B91" s="25"/>
      <c r="C91" s="210">
        <v>45349</v>
      </c>
      <c r="D91" s="8">
        <v>0.39930555555555558</v>
      </c>
      <c r="E91" s="4">
        <v>70</v>
      </c>
      <c r="F91" s="22">
        <v>10.7</v>
      </c>
      <c r="G91" s="10">
        <v>76</v>
      </c>
      <c r="H91" s="23">
        <v>3.8</v>
      </c>
      <c r="I91" s="4"/>
      <c r="J91" s="4"/>
      <c r="K91" s="4"/>
      <c r="L91" s="4"/>
      <c r="M91" s="27"/>
      <c r="N91" s="4"/>
      <c r="O91" s="7"/>
      <c r="P91" s="1"/>
      <c r="Q91" s="24"/>
      <c r="R91" s="1"/>
    </row>
    <row r="92" spans="1:18" ht="15.75" customHeight="1" x14ac:dyDescent="0.2">
      <c r="A92" s="4"/>
      <c r="B92" s="25"/>
      <c r="C92" s="210"/>
      <c r="D92" s="8"/>
      <c r="E92" s="4"/>
      <c r="F92" s="22"/>
      <c r="G92" s="10"/>
      <c r="H92" s="23"/>
      <c r="I92" s="4"/>
      <c r="J92" s="4"/>
      <c r="K92" s="4"/>
      <c r="L92" s="4"/>
      <c r="M92" s="27"/>
      <c r="N92" s="4"/>
      <c r="O92" s="7"/>
      <c r="P92" s="1"/>
      <c r="Q92" s="24"/>
      <c r="R92" s="1"/>
    </row>
    <row r="93" spans="1:18" ht="15.75" customHeight="1" x14ac:dyDescent="0.2">
      <c r="A93" s="4"/>
      <c r="B93" s="25"/>
      <c r="C93" s="210"/>
      <c r="D93" s="8"/>
      <c r="E93" s="4"/>
      <c r="F93" s="22"/>
      <c r="G93" s="10"/>
      <c r="H93" s="23"/>
      <c r="I93" s="4"/>
      <c r="J93" s="4"/>
      <c r="K93" s="4"/>
      <c r="L93" s="4"/>
      <c r="M93" s="27"/>
      <c r="N93" s="4"/>
      <c r="O93" s="7"/>
      <c r="P93" s="1"/>
      <c r="Q93" s="24"/>
      <c r="R93" s="1"/>
    </row>
    <row r="94" spans="1:18" ht="15.75" customHeight="1" x14ac:dyDescent="0.2">
      <c r="A94" s="4"/>
      <c r="B94" s="25"/>
      <c r="C94" s="210"/>
      <c r="D94" s="8"/>
      <c r="E94" s="4"/>
      <c r="F94" s="22"/>
      <c r="G94" s="10"/>
      <c r="H94" s="23"/>
      <c r="I94" s="4"/>
      <c r="J94" s="4"/>
      <c r="K94" s="4"/>
      <c r="L94" s="4"/>
      <c r="M94" s="27"/>
      <c r="N94" s="4"/>
      <c r="O94" s="7"/>
      <c r="P94" s="1"/>
      <c r="Q94" s="24"/>
      <c r="R94" s="1"/>
    </row>
    <row r="95" spans="1:18" ht="15.75" customHeight="1" x14ac:dyDescent="0.2">
      <c r="A95" s="4"/>
      <c r="B95" s="25"/>
      <c r="C95" s="210"/>
      <c r="D95" s="8"/>
      <c r="E95" s="4"/>
      <c r="F95" s="22"/>
      <c r="G95" s="10"/>
      <c r="H95" s="23"/>
      <c r="I95" s="4"/>
      <c r="J95" s="4"/>
      <c r="K95" s="4"/>
      <c r="L95" s="4"/>
      <c r="M95" s="27"/>
      <c r="N95" s="4"/>
      <c r="O95" s="7"/>
      <c r="P95" s="1"/>
      <c r="Q95" s="24"/>
      <c r="R95" s="1"/>
    </row>
    <row r="96" spans="1:18" ht="15.75" customHeight="1" x14ac:dyDescent="0.2">
      <c r="A96" s="4"/>
      <c r="B96" s="25"/>
      <c r="C96" s="210"/>
      <c r="D96" s="4"/>
      <c r="E96" s="4"/>
      <c r="F96" s="22"/>
      <c r="G96" s="10"/>
      <c r="H96" s="23"/>
      <c r="I96" s="4"/>
      <c r="J96" s="4"/>
      <c r="K96" s="4"/>
      <c r="L96" s="4"/>
      <c r="M96" s="27"/>
      <c r="N96" s="4"/>
      <c r="O96" s="7"/>
      <c r="P96" s="7"/>
      <c r="Q96" s="24"/>
      <c r="R96" s="1"/>
    </row>
    <row r="97" spans="1:18" ht="15.75" customHeight="1" x14ac:dyDescent="0.2">
      <c r="A97" s="4"/>
      <c r="B97" s="25"/>
      <c r="C97" s="210">
        <v>44741</v>
      </c>
      <c r="D97" s="8">
        <v>0.37847222222222227</v>
      </c>
      <c r="E97" s="4"/>
      <c r="F97" s="22"/>
      <c r="G97" s="10"/>
      <c r="H97" s="23"/>
      <c r="I97" s="4"/>
      <c r="J97" s="4">
        <v>5.5</v>
      </c>
      <c r="K97" s="4">
        <v>6.5</v>
      </c>
      <c r="L97" s="4"/>
      <c r="M97" s="27"/>
      <c r="N97" s="4"/>
      <c r="O97" s="7"/>
      <c r="P97" s="7"/>
      <c r="Q97" s="24"/>
      <c r="R97" s="1"/>
    </row>
    <row r="98" spans="1:18" ht="15.75" customHeight="1" x14ac:dyDescent="0.2">
      <c r="A98" s="4"/>
      <c r="B98" s="3"/>
      <c r="C98" s="210">
        <v>44741</v>
      </c>
      <c r="D98" s="8">
        <v>0.3923611111111111</v>
      </c>
      <c r="E98" s="4">
        <v>0.1</v>
      </c>
      <c r="F98" s="22">
        <v>8.75</v>
      </c>
      <c r="G98" s="10">
        <v>87</v>
      </c>
      <c r="H98" s="23">
        <v>15.1</v>
      </c>
      <c r="I98" s="4"/>
      <c r="J98" s="4"/>
      <c r="K98" s="4"/>
      <c r="L98" s="4"/>
      <c r="M98" s="4"/>
    </row>
    <row r="99" spans="1:18" ht="15.75" customHeight="1" x14ac:dyDescent="0.2">
      <c r="A99" s="4"/>
      <c r="B99" s="25"/>
      <c r="C99" s="210">
        <v>44741</v>
      </c>
      <c r="D99" s="8">
        <v>0.3923611111111111</v>
      </c>
      <c r="E99" s="4">
        <v>1</v>
      </c>
      <c r="F99" s="22">
        <v>8.8000000000000007</v>
      </c>
      <c r="G99" s="10">
        <v>87.4</v>
      </c>
      <c r="H99" s="23">
        <v>15</v>
      </c>
      <c r="I99" s="4"/>
      <c r="J99" s="4"/>
      <c r="K99" s="4"/>
      <c r="L99" s="4"/>
      <c r="M99" s="4"/>
    </row>
    <row r="100" spans="1:18" ht="15.75" customHeight="1" x14ac:dyDescent="0.2">
      <c r="A100" s="4"/>
      <c r="B100" s="25"/>
      <c r="C100" s="210">
        <v>44741</v>
      </c>
      <c r="D100" s="8">
        <v>0.3923611111111111</v>
      </c>
      <c r="E100" s="4">
        <v>2</v>
      </c>
      <c r="F100" s="22">
        <v>8.8000000000000007</v>
      </c>
      <c r="G100" s="10">
        <v>87.3</v>
      </c>
      <c r="H100" s="23">
        <v>15</v>
      </c>
      <c r="I100" s="4"/>
      <c r="J100" s="4"/>
      <c r="K100" s="4"/>
      <c r="L100" s="4"/>
      <c r="M100" s="4"/>
    </row>
    <row r="101" spans="1:18" ht="15.75" customHeight="1" x14ac:dyDescent="0.2">
      <c r="A101" s="4"/>
      <c r="B101" s="25"/>
      <c r="C101" s="210">
        <v>44741</v>
      </c>
      <c r="D101" s="8">
        <v>0.3923611111111111</v>
      </c>
      <c r="E101" s="4">
        <v>3</v>
      </c>
      <c r="F101" s="22">
        <v>8.8000000000000007</v>
      </c>
      <c r="G101" s="10">
        <v>87</v>
      </c>
      <c r="H101" s="23">
        <v>14.9</v>
      </c>
      <c r="I101" s="4"/>
      <c r="J101" s="4"/>
      <c r="K101" s="4"/>
      <c r="L101" s="4"/>
      <c r="M101" s="4"/>
    </row>
    <row r="102" spans="1:18" ht="15.75" customHeight="1" x14ac:dyDescent="0.2">
      <c r="A102" s="4"/>
      <c r="B102" s="25"/>
      <c r="C102" s="210">
        <v>44741</v>
      </c>
      <c r="D102" s="8">
        <v>0.3923611111111111</v>
      </c>
      <c r="E102" s="4">
        <v>4</v>
      </c>
      <c r="F102" s="22">
        <v>8.82</v>
      </c>
      <c r="G102" s="10">
        <v>86.7</v>
      </c>
      <c r="H102" s="23">
        <v>14.6</v>
      </c>
      <c r="I102" s="4"/>
      <c r="J102" s="4"/>
      <c r="K102" s="4"/>
      <c r="L102" s="4"/>
      <c r="M102" s="4"/>
    </row>
    <row r="103" spans="1:18" ht="15.75" customHeight="1" x14ac:dyDescent="0.2">
      <c r="A103" s="4"/>
      <c r="B103" s="25"/>
      <c r="C103" s="210">
        <v>44741</v>
      </c>
      <c r="D103" s="8">
        <v>0.3923611111111111</v>
      </c>
      <c r="E103" s="4">
        <v>5</v>
      </c>
      <c r="F103" s="22">
        <v>8.8800000000000008</v>
      </c>
      <c r="G103" s="10">
        <v>86.6</v>
      </c>
      <c r="H103" s="23">
        <v>14.2</v>
      </c>
      <c r="I103" s="4"/>
      <c r="J103" s="4"/>
      <c r="K103" s="4"/>
      <c r="L103" s="4"/>
      <c r="M103" s="4"/>
    </row>
    <row r="104" spans="1:18" ht="15.75" customHeight="1" x14ac:dyDescent="0.2">
      <c r="A104" s="4"/>
      <c r="B104" s="25"/>
      <c r="C104" s="210">
        <v>44741</v>
      </c>
      <c r="D104" s="8">
        <v>0.3923611111111111</v>
      </c>
      <c r="E104" s="4">
        <v>6</v>
      </c>
      <c r="F104" s="22">
        <v>8.9</v>
      </c>
      <c r="G104" s="10">
        <v>86.4</v>
      </c>
      <c r="H104" s="23">
        <v>14</v>
      </c>
      <c r="I104" s="4"/>
      <c r="J104" s="4"/>
      <c r="K104" s="4"/>
      <c r="L104" s="4"/>
      <c r="M104" s="4"/>
    </row>
    <row r="105" spans="1:18" ht="15.75" customHeight="1" x14ac:dyDescent="0.2">
      <c r="A105" s="4"/>
      <c r="B105" s="25"/>
      <c r="C105" s="210">
        <v>44741</v>
      </c>
      <c r="D105" s="8">
        <v>0.3923611111111111</v>
      </c>
      <c r="E105" s="4">
        <v>7</v>
      </c>
      <c r="F105" s="22">
        <v>8.93</v>
      </c>
      <c r="G105" s="10">
        <v>85.8</v>
      </c>
      <c r="H105" s="23">
        <v>13.6</v>
      </c>
      <c r="I105" s="4"/>
      <c r="J105" s="4"/>
      <c r="K105" s="4"/>
      <c r="L105" s="4"/>
      <c r="M105" s="4"/>
    </row>
    <row r="106" spans="1:18" ht="15.75" customHeight="1" x14ac:dyDescent="0.2">
      <c r="A106" s="4"/>
      <c r="B106" s="25"/>
      <c r="C106" s="210">
        <v>44741</v>
      </c>
      <c r="D106" s="8">
        <v>0.3923611111111111</v>
      </c>
      <c r="E106" s="4">
        <v>8</v>
      </c>
      <c r="F106" s="22">
        <v>9</v>
      </c>
      <c r="G106" s="10">
        <v>85.8</v>
      </c>
      <c r="H106" s="23">
        <v>13.2</v>
      </c>
      <c r="I106" s="4"/>
      <c r="J106" s="4"/>
      <c r="K106" s="4"/>
      <c r="L106" s="4"/>
      <c r="M106" s="4"/>
    </row>
    <row r="107" spans="1:18" ht="15.75" customHeight="1" x14ac:dyDescent="0.2">
      <c r="A107" s="4"/>
      <c r="B107" s="25"/>
      <c r="C107" s="210">
        <v>44741</v>
      </c>
      <c r="D107" s="8">
        <v>0.3923611111111111</v>
      </c>
      <c r="E107" s="4">
        <v>9</v>
      </c>
      <c r="F107" s="22">
        <v>8.9700000000000006</v>
      </c>
      <c r="G107" s="10">
        <v>84.9</v>
      </c>
      <c r="H107" s="23">
        <v>12.9</v>
      </c>
      <c r="I107" s="4"/>
      <c r="J107" s="4"/>
      <c r="K107" s="4"/>
      <c r="L107" s="4"/>
      <c r="M107" s="4"/>
    </row>
    <row r="108" spans="1:18" ht="15.75" customHeight="1" x14ac:dyDescent="0.2">
      <c r="A108" s="4"/>
      <c r="B108" s="25"/>
      <c r="C108" s="210">
        <v>44741</v>
      </c>
      <c r="D108" s="8">
        <v>0.3923611111111111</v>
      </c>
      <c r="E108" s="4">
        <v>10</v>
      </c>
      <c r="F108" s="22">
        <v>8.9499999999999993</v>
      </c>
      <c r="G108" s="10">
        <v>84.3</v>
      </c>
      <c r="H108" s="23">
        <v>12.8</v>
      </c>
      <c r="I108" s="4"/>
      <c r="J108" s="4"/>
      <c r="K108" s="4"/>
      <c r="L108" s="4"/>
      <c r="M108" s="4"/>
    </row>
    <row r="109" spans="1:18" ht="15.75" customHeight="1" x14ac:dyDescent="0.2">
      <c r="A109" s="4"/>
      <c r="B109" s="25"/>
      <c r="C109" s="210">
        <v>44741</v>
      </c>
      <c r="D109" s="8">
        <v>0.3923611111111111</v>
      </c>
      <c r="E109" s="4">
        <v>11</v>
      </c>
      <c r="F109" s="22">
        <v>8.92</v>
      </c>
      <c r="G109" s="10">
        <v>84.1</v>
      </c>
      <c r="H109" s="23">
        <v>12.8</v>
      </c>
      <c r="I109" s="4"/>
      <c r="J109" s="4"/>
      <c r="K109" s="4"/>
      <c r="L109" s="4"/>
      <c r="M109" s="4"/>
    </row>
    <row r="110" spans="1:18" ht="15.75" customHeight="1" x14ac:dyDescent="0.2">
      <c r="A110" s="4"/>
      <c r="B110" s="25"/>
      <c r="C110" s="210">
        <v>44741</v>
      </c>
      <c r="D110" s="8">
        <v>0.3923611111111111</v>
      </c>
      <c r="E110" s="4">
        <v>12</v>
      </c>
      <c r="F110" s="22">
        <v>8.98</v>
      </c>
      <c r="G110" s="10">
        <v>83.7</v>
      </c>
      <c r="H110" s="23">
        <v>12.1</v>
      </c>
      <c r="I110" s="4"/>
      <c r="J110" s="4"/>
      <c r="K110" s="4"/>
      <c r="L110" s="4"/>
      <c r="M110" s="4"/>
    </row>
    <row r="111" spans="1:18" ht="15.75" customHeight="1" x14ac:dyDescent="0.2">
      <c r="A111" s="4"/>
      <c r="B111" s="25"/>
      <c r="C111" s="210">
        <v>44741</v>
      </c>
      <c r="D111" s="8">
        <v>0.3923611111111111</v>
      </c>
      <c r="E111" s="4">
        <v>13</v>
      </c>
      <c r="F111" s="22">
        <v>9</v>
      </c>
      <c r="G111" s="10">
        <v>82.6</v>
      </c>
      <c r="H111" s="23">
        <v>11.7</v>
      </c>
      <c r="I111" s="4"/>
      <c r="J111" s="4"/>
      <c r="K111" s="4"/>
      <c r="L111" s="4"/>
      <c r="M111" s="4"/>
    </row>
    <row r="112" spans="1:18" ht="15.75" customHeight="1" x14ac:dyDescent="0.2">
      <c r="A112" s="4"/>
      <c r="B112" s="25"/>
      <c r="C112" s="210">
        <v>44741</v>
      </c>
      <c r="D112" s="8">
        <v>0.3923611111111111</v>
      </c>
      <c r="E112" s="4">
        <v>14</v>
      </c>
      <c r="F112" s="22">
        <v>9.1</v>
      </c>
      <c r="G112" s="10">
        <v>82.6</v>
      </c>
      <c r="H112" s="23">
        <v>11</v>
      </c>
      <c r="I112" s="4"/>
      <c r="J112" s="4"/>
      <c r="K112" s="4"/>
      <c r="L112" s="4"/>
      <c r="M112" s="4"/>
    </row>
    <row r="113" spans="1:13" ht="15.75" customHeight="1" x14ac:dyDescent="0.2">
      <c r="A113" s="4"/>
      <c r="B113" s="25"/>
      <c r="C113" s="210">
        <v>44741</v>
      </c>
      <c r="D113" s="8">
        <v>0.3923611111111111</v>
      </c>
      <c r="E113" s="4">
        <v>15</v>
      </c>
      <c r="F113" s="22">
        <v>9.1199999999999992</v>
      </c>
      <c r="G113" s="10">
        <v>82.1</v>
      </c>
      <c r="H113" s="23">
        <v>10.7</v>
      </c>
      <c r="I113" s="4"/>
      <c r="J113" s="4"/>
      <c r="K113" s="4"/>
      <c r="L113" s="4"/>
      <c r="M113" s="4"/>
    </row>
    <row r="114" spans="1:13" ht="15.75" customHeight="1" x14ac:dyDescent="0.2">
      <c r="A114" s="4"/>
      <c r="B114" s="25"/>
      <c r="C114" s="210">
        <v>44741</v>
      </c>
      <c r="D114" s="8">
        <v>0.3923611111111111</v>
      </c>
      <c r="E114" s="4">
        <v>16</v>
      </c>
      <c r="F114" s="22">
        <v>9.1199999999999992</v>
      </c>
      <c r="G114" s="10">
        <v>81.599999999999994</v>
      </c>
      <c r="H114" s="23">
        <v>10.4</v>
      </c>
      <c r="I114" s="4"/>
      <c r="J114" s="4"/>
      <c r="K114" s="4"/>
      <c r="L114" s="4"/>
      <c r="M114" s="4"/>
    </row>
    <row r="115" spans="1:13" ht="15.75" customHeight="1" x14ac:dyDescent="0.2">
      <c r="A115" s="4"/>
      <c r="B115" s="25"/>
      <c r="C115" s="210">
        <v>44741</v>
      </c>
      <c r="D115" s="8">
        <v>0.3923611111111111</v>
      </c>
      <c r="E115" s="4">
        <v>17</v>
      </c>
      <c r="F115" s="22">
        <v>9.15</v>
      </c>
      <c r="G115" s="10">
        <v>79.8</v>
      </c>
      <c r="H115" s="23">
        <v>9.3000000000000007</v>
      </c>
      <c r="I115" s="4"/>
      <c r="J115" s="4"/>
      <c r="K115" s="4"/>
      <c r="L115" s="4"/>
      <c r="M115" s="4"/>
    </row>
    <row r="116" spans="1:13" ht="15.75" customHeight="1" x14ac:dyDescent="0.2">
      <c r="A116" s="4"/>
      <c r="B116" s="25"/>
      <c r="C116" s="210">
        <v>44741</v>
      </c>
      <c r="D116" s="8">
        <v>0.3923611111111111</v>
      </c>
      <c r="E116" s="4">
        <v>18</v>
      </c>
      <c r="F116" s="22">
        <v>9.18</v>
      </c>
      <c r="G116" s="10">
        <v>78.900000000000006</v>
      </c>
      <c r="H116" s="23">
        <v>8.6999999999999993</v>
      </c>
      <c r="I116" s="4"/>
      <c r="J116" s="4"/>
      <c r="K116" s="4"/>
      <c r="L116" s="4"/>
      <c r="M116" s="4"/>
    </row>
    <row r="117" spans="1:13" ht="15.75" customHeight="1" x14ac:dyDescent="0.2">
      <c r="A117" s="4"/>
      <c r="B117" s="25"/>
      <c r="C117" s="210">
        <v>44741</v>
      </c>
      <c r="D117" s="8">
        <v>0.3923611111111111</v>
      </c>
      <c r="E117" s="4">
        <v>20</v>
      </c>
      <c r="F117" s="22">
        <v>9.18</v>
      </c>
      <c r="G117" s="10">
        <v>77.599999999999994</v>
      </c>
      <c r="H117" s="23">
        <v>8</v>
      </c>
      <c r="I117" s="4"/>
      <c r="J117" s="4"/>
      <c r="K117" s="4"/>
      <c r="L117" s="4"/>
      <c r="M117" s="4"/>
    </row>
    <row r="118" spans="1:13" ht="15.75" customHeight="1" x14ac:dyDescent="0.2">
      <c r="A118" s="4"/>
      <c r="B118" s="25"/>
      <c r="C118" s="210">
        <v>44741</v>
      </c>
      <c r="D118" s="8">
        <v>0.3923611111111111</v>
      </c>
      <c r="E118" s="4">
        <v>22</v>
      </c>
      <c r="F118" s="22">
        <v>9.16</v>
      </c>
      <c r="G118" s="10">
        <v>76.599999999999994</v>
      </c>
      <c r="H118" s="23">
        <v>7.5</v>
      </c>
      <c r="I118" s="4"/>
      <c r="J118" s="4"/>
      <c r="K118" s="4"/>
      <c r="L118" s="4"/>
      <c r="M118" s="4"/>
    </row>
    <row r="119" spans="1:13" ht="15.75" customHeight="1" x14ac:dyDescent="0.2">
      <c r="A119" s="4"/>
      <c r="B119" s="25"/>
      <c r="C119" s="210">
        <v>44741</v>
      </c>
      <c r="D119" s="8">
        <v>0.3923611111111111</v>
      </c>
      <c r="E119" s="4">
        <v>24</v>
      </c>
      <c r="F119" s="22">
        <v>9.18</v>
      </c>
      <c r="G119" s="10">
        <v>75.2</v>
      </c>
      <c r="H119" s="23">
        <v>6.8</v>
      </c>
      <c r="I119" s="4"/>
      <c r="J119" s="4"/>
      <c r="K119" s="4"/>
      <c r="L119" s="4"/>
      <c r="M119" s="4"/>
    </row>
    <row r="120" spans="1:13" ht="15.75" customHeight="1" x14ac:dyDescent="0.2">
      <c r="A120" s="4"/>
      <c r="B120" s="25"/>
      <c r="C120" s="210">
        <v>44741</v>
      </c>
      <c r="D120" s="8">
        <v>0.3923611111111111</v>
      </c>
      <c r="E120" s="4">
        <v>26</v>
      </c>
      <c r="F120" s="22">
        <v>9.1999999999999993</v>
      </c>
      <c r="G120" s="10">
        <v>74.8</v>
      </c>
      <c r="H120" s="23">
        <v>6.5</v>
      </c>
      <c r="I120" s="4"/>
      <c r="J120" s="4"/>
      <c r="K120" s="4"/>
      <c r="L120" s="4"/>
      <c r="M120" s="4"/>
    </row>
    <row r="121" spans="1:13" ht="15.75" customHeight="1" x14ac:dyDescent="0.2">
      <c r="A121" s="4"/>
      <c r="B121" s="25"/>
      <c r="C121" s="210">
        <v>44741</v>
      </c>
      <c r="D121" s="8">
        <v>0.3923611111111111</v>
      </c>
      <c r="E121" s="4">
        <v>28</v>
      </c>
      <c r="F121" s="22">
        <v>9.18</v>
      </c>
      <c r="G121" s="10">
        <v>74.400000000000006</v>
      </c>
      <c r="H121" s="23">
        <v>6.3</v>
      </c>
      <c r="I121" s="4"/>
      <c r="J121" s="4"/>
      <c r="K121" s="4"/>
      <c r="L121" s="4"/>
      <c r="M121" s="4"/>
    </row>
    <row r="122" spans="1:13" ht="15.75" customHeight="1" x14ac:dyDescent="0.2">
      <c r="A122" s="4"/>
      <c r="B122" s="25"/>
      <c r="C122" s="210">
        <v>44741</v>
      </c>
      <c r="D122" s="8">
        <v>0.3923611111111111</v>
      </c>
      <c r="E122" s="4">
        <v>30</v>
      </c>
      <c r="F122" s="22">
        <v>9.17</v>
      </c>
      <c r="G122" s="10">
        <v>73.8</v>
      </c>
      <c r="H122" s="23">
        <v>6.1</v>
      </c>
      <c r="I122" s="4"/>
      <c r="J122" s="4"/>
      <c r="K122" s="4"/>
      <c r="L122" s="4"/>
      <c r="M122" s="4"/>
    </row>
    <row r="123" spans="1:13" ht="15.75" customHeight="1" x14ac:dyDescent="0.2">
      <c r="A123" s="4"/>
      <c r="B123" s="25"/>
      <c r="C123" s="210">
        <v>44741</v>
      </c>
      <c r="D123" s="8">
        <v>0.3923611111111111</v>
      </c>
      <c r="E123" s="4">
        <v>32</v>
      </c>
      <c r="F123" s="22">
        <v>9.15</v>
      </c>
      <c r="G123" s="10">
        <v>73.2</v>
      </c>
      <c r="H123" s="23">
        <v>5.9</v>
      </c>
      <c r="I123" s="4"/>
      <c r="J123" s="4"/>
      <c r="K123" s="4"/>
      <c r="L123" s="4"/>
      <c r="M123" s="4"/>
    </row>
    <row r="124" spans="1:13" ht="15.75" customHeight="1" x14ac:dyDescent="0.2">
      <c r="A124" s="4"/>
      <c r="B124" s="25"/>
      <c r="C124" s="210">
        <v>44741</v>
      </c>
      <c r="D124" s="8">
        <v>0.3923611111111111</v>
      </c>
      <c r="E124" s="4">
        <v>34</v>
      </c>
      <c r="F124" s="22">
        <v>9.11</v>
      </c>
      <c r="G124" s="10">
        <v>72.599999999999994</v>
      </c>
      <c r="H124" s="23">
        <v>5.7</v>
      </c>
      <c r="I124" s="4"/>
      <c r="J124" s="4"/>
      <c r="K124" s="4"/>
      <c r="L124" s="4"/>
      <c r="M124" s="4"/>
    </row>
    <row r="125" spans="1:13" ht="15.75" customHeight="1" x14ac:dyDescent="0.2">
      <c r="A125" s="4"/>
      <c r="B125" s="25"/>
      <c r="C125" s="210">
        <v>44741</v>
      </c>
      <c r="D125" s="8">
        <v>0.3923611111111111</v>
      </c>
      <c r="E125" s="4">
        <v>36</v>
      </c>
      <c r="F125" s="22">
        <v>9.0500000000000007</v>
      </c>
      <c r="G125" s="10">
        <v>72</v>
      </c>
      <c r="H125" s="23">
        <v>5.6</v>
      </c>
      <c r="I125" s="4"/>
      <c r="J125" s="4"/>
      <c r="K125" s="4"/>
      <c r="L125" s="4"/>
      <c r="M125" s="4"/>
    </row>
    <row r="126" spans="1:13" ht="15.75" customHeight="1" x14ac:dyDescent="0.2">
      <c r="A126" s="4"/>
      <c r="B126" s="25"/>
      <c r="C126" s="210"/>
      <c r="D126" s="4"/>
      <c r="E126" s="4"/>
      <c r="F126" s="22"/>
      <c r="G126" s="10"/>
      <c r="H126" s="23"/>
      <c r="I126" s="4"/>
      <c r="J126" s="4"/>
      <c r="K126" s="4"/>
      <c r="L126" s="4"/>
      <c r="M126" s="4"/>
    </row>
    <row r="127" spans="1:13" ht="15.75" customHeight="1" x14ac:dyDescent="0.2">
      <c r="A127" s="4"/>
      <c r="B127" s="25"/>
      <c r="C127" s="210">
        <v>44769</v>
      </c>
      <c r="D127" s="8">
        <v>0.62013888888888891</v>
      </c>
      <c r="E127" s="4"/>
      <c r="F127" s="22"/>
      <c r="G127" s="10"/>
      <c r="H127" s="23"/>
      <c r="I127" s="4"/>
      <c r="J127" s="4">
        <v>8.5</v>
      </c>
      <c r="K127" s="4">
        <v>10.5</v>
      </c>
      <c r="L127" s="4"/>
      <c r="M127" s="4"/>
    </row>
    <row r="128" spans="1:13" ht="15.75" customHeight="1" x14ac:dyDescent="0.2">
      <c r="A128" s="4"/>
      <c r="B128" s="25"/>
      <c r="C128" s="210">
        <v>44769</v>
      </c>
      <c r="D128" s="8">
        <v>0.62013888888888891</v>
      </c>
      <c r="E128" s="4">
        <v>0.1</v>
      </c>
      <c r="F128" s="22">
        <v>7.18</v>
      </c>
      <c r="G128" s="10">
        <v>85.9</v>
      </c>
      <c r="H128" s="23">
        <v>24.4</v>
      </c>
      <c r="I128" s="4"/>
      <c r="J128" s="4"/>
      <c r="K128" s="4"/>
      <c r="L128" s="4"/>
      <c r="M128" s="4"/>
    </row>
    <row r="129" spans="1:13" ht="15.75" customHeight="1" x14ac:dyDescent="0.2">
      <c r="A129" s="4"/>
      <c r="B129" s="25"/>
      <c r="C129" s="210">
        <v>44769</v>
      </c>
      <c r="D129" s="8">
        <v>0.62013888888888891</v>
      </c>
      <c r="E129" s="4">
        <v>1</v>
      </c>
      <c r="F129" s="22">
        <v>7.23</v>
      </c>
      <c r="G129" s="10">
        <v>86.2</v>
      </c>
      <c r="H129" s="23">
        <v>24.2</v>
      </c>
      <c r="I129" s="4"/>
      <c r="J129" s="4"/>
      <c r="K129" s="4"/>
      <c r="L129" s="4"/>
      <c r="M129" s="4"/>
    </row>
    <row r="130" spans="1:13" ht="15.75" customHeight="1" x14ac:dyDescent="0.2">
      <c r="A130" s="4"/>
      <c r="B130" s="25"/>
      <c r="C130" s="210">
        <v>44769</v>
      </c>
      <c r="D130" s="8">
        <v>0.62013888888888891</v>
      </c>
      <c r="E130" s="4">
        <v>2</v>
      </c>
      <c r="F130" s="22">
        <v>7.24</v>
      </c>
      <c r="G130" s="10">
        <v>86</v>
      </c>
      <c r="H130" s="23">
        <v>24</v>
      </c>
      <c r="I130" s="4"/>
      <c r="J130" s="4"/>
      <c r="K130" s="4"/>
      <c r="L130" s="4"/>
      <c r="M130" s="4"/>
    </row>
    <row r="131" spans="1:13" ht="15.75" customHeight="1" x14ac:dyDescent="0.2">
      <c r="A131" s="4"/>
      <c r="B131" s="25"/>
      <c r="C131" s="210">
        <v>44769</v>
      </c>
      <c r="D131" s="8">
        <v>0.62013888888888891</v>
      </c>
      <c r="E131" s="4">
        <v>3</v>
      </c>
      <c r="F131" s="22">
        <v>7.29</v>
      </c>
      <c r="G131" s="10">
        <v>85.4</v>
      </c>
      <c r="H131" s="23">
        <v>23.4</v>
      </c>
      <c r="I131" s="4"/>
      <c r="J131" s="4"/>
      <c r="K131" s="4"/>
      <c r="L131" s="4"/>
      <c r="M131" s="4"/>
    </row>
    <row r="132" spans="1:13" ht="15.75" customHeight="1" x14ac:dyDescent="0.2">
      <c r="A132" s="4"/>
      <c r="B132" s="25"/>
      <c r="C132" s="210">
        <v>44769</v>
      </c>
      <c r="D132" s="8">
        <v>0.62013888888888891</v>
      </c>
      <c r="E132" s="4">
        <v>4</v>
      </c>
      <c r="F132" s="22">
        <v>7.31</v>
      </c>
      <c r="G132" s="10">
        <v>85.2</v>
      </c>
      <c r="H132" s="23">
        <v>23.1</v>
      </c>
      <c r="I132" s="4"/>
      <c r="J132" s="4"/>
      <c r="K132" s="4"/>
      <c r="L132" s="4"/>
      <c r="M132" s="4"/>
    </row>
    <row r="133" spans="1:13" ht="15.75" customHeight="1" x14ac:dyDescent="0.2">
      <c r="A133" s="4"/>
      <c r="B133" s="25"/>
      <c r="C133" s="210">
        <v>44769</v>
      </c>
      <c r="D133" s="8">
        <v>0.62013888888888891</v>
      </c>
      <c r="E133" s="4">
        <v>5</v>
      </c>
      <c r="F133" s="22">
        <v>7.31</v>
      </c>
      <c r="G133" s="10">
        <v>85.8</v>
      </c>
      <c r="H133" s="23">
        <v>22.7</v>
      </c>
      <c r="I133" s="4"/>
      <c r="J133" s="4"/>
      <c r="K133" s="4"/>
      <c r="L133" s="4"/>
      <c r="M133" s="4"/>
    </row>
    <row r="134" spans="1:13" ht="15.75" customHeight="1" x14ac:dyDescent="0.2">
      <c r="A134" s="4"/>
      <c r="B134" s="25"/>
      <c r="C134" s="210">
        <v>44769</v>
      </c>
      <c r="D134" s="8">
        <v>0.62013888888888891</v>
      </c>
      <c r="E134" s="4">
        <v>6</v>
      </c>
      <c r="F134" s="22">
        <v>7.48</v>
      </c>
      <c r="G134" s="10">
        <v>85.4</v>
      </c>
      <c r="H134" s="23">
        <v>21.9</v>
      </c>
      <c r="I134" s="4"/>
      <c r="J134" s="4"/>
      <c r="K134" s="4"/>
      <c r="L134" s="4"/>
      <c r="M134" s="4"/>
    </row>
    <row r="135" spans="1:13" ht="15.75" customHeight="1" x14ac:dyDescent="0.2">
      <c r="A135" s="4"/>
      <c r="B135" s="25"/>
      <c r="C135" s="210">
        <v>44769</v>
      </c>
      <c r="D135" s="8">
        <v>0.62013888888888891</v>
      </c>
      <c r="E135" s="4">
        <v>7</v>
      </c>
      <c r="F135" s="22">
        <v>7.63</v>
      </c>
      <c r="G135" s="10">
        <v>85.6</v>
      </c>
      <c r="H135" s="23">
        <v>21</v>
      </c>
      <c r="I135" s="4"/>
      <c r="J135" s="4"/>
      <c r="K135" s="4"/>
      <c r="L135" s="4"/>
      <c r="M135" s="4"/>
    </row>
    <row r="136" spans="1:13" ht="15.75" customHeight="1" x14ac:dyDescent="0.2">
      <c r="A136" s="4"/>
      <c r="B136" s="25"/>
      <c r="C136" s="210">
        <v>44769</v>
      </c>
      <c r="D136" s="8">
        <v>0.62013888888888891</v>
      </c>
      <c r="E136" s="4">
        <v>8</v>
      </c>
      <c r="F136" s="22">
        <v>8.4700000000000006</v>
      </c>
      <c r="G136" s="10">
        <v>89.6</v>
      </c>
      <c r="H136" s="23">
        <v>17.7</v>
      </c>
      <c r="I136" s="4"/>
      <c r="J136" s="4"/>
      <c r="K136" s="4"/>
      <c r="L136" s="4"/>
      <c r="M136" s="4"/>
    </row>
    <row r="137" spans="1:13" ht="15.75" customHeight="1" x14ac:dyDescent="0.2">
      <c r="A137" s="4"/>
      <c r="B137" s="25"/>
      <c r="C137" s="210">
        <v>44769</v>
      </c>
      <c r="D137" s="8">
        <v>0.62013888888888891</v>
      </c>
      <c r="E137" s="4">
        <v>9</v>
      </c>
      <c r="F137" s="22">
        <v>8.85</v>
      </c>
      <c r="G137" s="10">
        <v>87.6</v>
      </c>
      <c r="H137" s="23">
        <v>14.8</v>
      </c>
      <c r="I137" s="4"/>
      <c r="J137" s="4"/>
      <c r="K137" s="4"/>
      <c r="L137" s="4"/>
      <c r="M137" s="4"/>
    </row>
    <row r="138" spans="1:13" ht="15.75" customHeight="1" x14ac:dyDescent="0.2">
      <c r="A138" s="4"/>
      <c r="B138" s="25"/>
      <c r="C138" s="210">
        <v>44769</v>
      </c>
      <c r="D138" s="8">
        <v>0.62013888888888891</v>
      </c>
      <c r="E138" s="4">
        <v>10</v>
      </c>
      <c r="F138" s="22">
        <v>8.98</v>
      </c>
      <c r="G138" s="10">
        <v>86.2</v>
      </c>
      <c r="H138" s="23">
        <v>13.5</v>
      </c>
      <c r="I138" s="4"/>
      <c r="J138" s="4"/>
      <c r="K138" s="4"/>
      <c r="L138" s="4"/>
      <c r="M138" s="4"/>
    </row>
    <row r="139" spans="1:13" ht="15.75" customHeight="1" x14ac:dyDescent="0.2">
      <c r="A139" s="4"/>
      <c r="B139" s="25"/>
      <c r="C139" s="210">
        <v>44769</v>
      </c>
      <c r="D139" s="8">
        <v>0.62013888888888891</v>
      </c>
      <c r="E139" s="4">
        <v>15</v>
      </c>
      <c r="F139" s="22">
        <v>9.08</v>
      </c>
      <c r="G139" s="10">
        <v>79</v>
      </c>
      <c r="H139" s="23">
        <v>9.4</v>
      </c>
      <c r="I139" s="4"/>
      <c r="J139" s="4"/>
      <c r="K139" s="4"/>
      <c r="L139" s="4"/>
      <c r="M139" s="4"/>
    </row>
    <row r="140" spans="1:13" ht="15.75" customHeight="1" x14ac:dyDescent="0.2">
      <c r="A140" s="4"/>
      <c r="B140" s="25"/>
      <c r="C140" s="210">
        <v>44769</v>
      </c>
      <c r="D140" s="8">
        <v>0.62013888888888891</v>
      </c>
      <c r="E140" s="4">
        <v>20</v>
      </c>
      <c r="F140" s="22">
        <v>9.0500000000000007</v>
      </c>
      <c r="G140" s="10">
        <v>75.2</v>
      </c>
      <c r="H140" s="23">
        <v>7.7</v>
      </c>
      <c r="I140" s="4"/>
      <c r="J140" s="4"/>
      <c r="K140" s="4"/>
      <c r="L140" s="4"/>
      <c r="M140" s="4"/>
    </row>
    <row r="141" spans="1:13" ht="15.75" customHeight="1" x14ac:dyDescent="0.2">
      <c r="A141" s="4"/>
      <c r="B141" s="25"/>
      <c r="C141" s="210">
        <v>44769</v>
      </c>
      <c r="D141" s="8">
        <v>0.62013888888888891</v>
      </c>
      <c r="E141" s="4">
        <v>25</v>
      </c>
      <c r="F141" s="22">
        <v>8.9499999999999993</v>
      </c>
      <c r="G141" s="10">
        <v>73</v>
      </c>
      <c r="H141" s="23">
        <v>6.6</v>
      </c>
      <c r="I141" s="4"/>
      <c r="J141" s="4"/>
      <c r="K141" s="4"/>
      <c r="L141" s="4"/>
      <c r="M141" s="4"/>
    </row>
    <row r="142" spans="1:13" ht="15.75" customHeight="1" x14ac:dyDescent="0.2">
      <c r="A142" s="4"/>
      <c r="B142" s="25"/>
      <c r="C142" s="210">
        <v>44769</v>
      </c>
      <c r="D142" s="8">
        <v>0.62013888888888891</v>
      </c>
      <c r="E142" s="4">
        <v>30</v>
      </c>
      <c r="F142" s="22">
        <v>8.91</v>
      </c>
      <c r="G142" s="10">
        <v>71.900000000000006</v>
      </c>
      <c r="H142" s="23">
        <v>6.3</v>
      </c>
      <c r="I142" s="4"/>
      <c r="J142" s="4"/>
      <c r="K142" s="4"/>
      <c r="L142" s="4"/>
      <c r="M142" s="4"/>
    </row>
    <row r="143" spans="1:13" ht="15.75" customHeight="1" x14ac:dyDescent="0.2">
      <c r="A143" s="4"/>
      <c r="B143" s="25"/>
      <c r="C143" s="210">
        <v>44769</v>
      </c>
      <c r="D143" s="8">
        <v>0.62013888888888891</v>
      </c>
      <c r="E143" s="4">
        <v>35</v>
      </c>
      <c r="F143" s="22">
        <v>8.8000000000000007</v>
      </c>
      <c r="G143" s="10">
        <v>70.3</v>
      </c>
      <c r="H143" s="23">
        <v>5.8</v>
      </c>
      <c r="I143" s="4"/>
      <c r="J143" s="4"/>
      <c r="K143" s="4"/>
      <c r="L143" s="4"/>
      <c r="M143" s="4"/>
    </row>
    <row r="144" spans="1:13" ht="15.75" customHeight="1" x14ac:dyDescent="0.2">
      <c r="A144" s="4"/>
      <c r="B144" s="25"/>
      <c r="C144" s="210"/>
      <c r="D144" s="4"/>
      <c r="E144" s="4"/>
      <c r="F144" s="22"/>
      <c r="G144" s="10"/>
      <c r="H144" s="23"/>
      <c r="I144" s="4"/>
      <c r="J144" s="4"/>
      <c r="K144" s="4"/>
      <c r="L144" s="4"/>
      <c r="M144" s="4"/>
    </row>
    <row r="145" spans="1:13" ht="15.75" customHeight="1" x14ac:dyDescent="0.2">
      <c r="A145" s="4"/>
      <c r="B145" s="25"/>
      <c r="C145" s="210">
        <v>44796</v>
      </c>
      <c r="D145" s="8">
        <v>0.50138888888888888</v>
      </c>
      <c r="E145" s="4"/>
      <c r="F145" s="22"/>
      <c r="G145" s="10"/>
      <c r="H145" s="23"/>
      <c r="I145" s="4"/>
      <c r="J145" s="4">
        <v>9</v>
      </c>
      <c r="K145" s="4">
        <v>10.5</v>
      </c>
      <c r="L145" s="4"/>
      <c r="M145" s="4"/>
    </row>
    <row r="146" spans="1:13" ht="15.75" customHeight="1" x14ac:dyDescent="0.2">
      <c r="A146" s="4"/>
      <c r="B146" s="25"/>
      <c r="C146" s="210">
        <v>44796</v>
      </c>
      <c r="D146" s="8">
        <v>0.50694444444444442</v>
      </c>
      <c r="E146" s="4">
        <v>0.1</v>
      </c>
      <c r="F146" s="22">
        <v>6.95</v>
      </c>
      <c r="G146" s="10">
        <v>84</v>
      </c>
      <c r="H146" s="23">
        <v>24.6</v>
      </c>
      <c r="I146" s="4"/>
      <c r="J146" s="4"/>
      <c r="K146" s="4"/>
      <c r="L146" s="4"/>
      <c r="M146" s="4"/>
    </row>
    <row r="147" spans="1:13" ht="15.75" customHeight="1" x14ac:dyDescent="0.2">
      <c r="A147" s="4"/>
      <c r="B147" s="25"/>
      <c r="C147" s="210">
        <v>44796</v>
      </c>
      <c r="D147" s="8">
        <v>0.50694444444444442</v>
      </c>
      <c r="E147" s="4">
        <v>1</v>
      </c>
      <c r="F147" s="22">
        <v>7.1</v>
      </c>
      <c r="G147" s="10">
        <v>84.4</v>
      </c>
      <c r="H147" s="23">
        <v>24</v>
      </c>
      <c r="I147" s="4"/>
      <c r="J147" s="4"/>
      <c r="K147" s="4"/>
      <c r="L147" s="4"/>
      <c r="M147" s="4"/>
    </row>
    <row r="148" spans="1:13" ht="15.75" customHeight="1" x14ac:dyDescent="0.2">
      <c r="A148" s="4"/>
      <c r="B148" s="25"/>
      <c r="C148" s="210">
        <v>44796</v>
      </c>
      <c r="D148" s="8">
        <v>0.50694444444444442</v>
      </c>
      <c r="E148" s="4">
        <v>2</v>
      </c>
      <c r="F148" s="22">
        <v>7.11</v>
      </c>
      <c r="G148" s="10">
        <v>84.4</v>
      </c>
      <c r="H148" s="23">
        <v>23.9</v>
      </c>
      <c r="I148" s="4"/>
      <c r="J148" s="4"/>
      <c r="K148" s="4"/>
      <c r="L148" s="4"/>
      <c r="M148" s="4"/>
    </row>
    <row r="149" spans="1:13" ht="15.75" customHeight="1" x14ac:dyDescent="0.2">
      <c r="A149" s="4"/>
      <c r="B149" s="25"/>
      <c r="C149" s="210">
        <v>44796</v>
      </c>
      <c r="D149" s="8">
        <v>0.50694444444444442</v>
      </c>
      <c r="E149" s="4">
        <v>3</v>
      </c>
      <c r="F149" s="22">
        <v>7.12</v>
      </c>
      <c r="G149" s="10">
        <v>84.1</v>
      </c>
      <c r="H149" s="23">
        <v>23.8</v>
      </c>
      <c r="I149" s="4"/>
      <c r="J149" s="4"/>
      <c r="K149" s="4"/>
      <c r="L149" s="4"/>
      <c r="M149" s="4"/>
    </row>
    <row r="150" spans="1:13" ht="15.75" customHeight="1" x14ac:dyDescent="0.2">
      <c r="A150" s="4"/>
      <c r="B150" s="25"/>
      <c r="C150" s="210">
        <v>44796</v>
      </c>
      <c r="D150" s="8">
        <v>0.50694444444444442</v>
      </c>
      <c r="E150" s="4">
        <v>4</v>
      </c>
      <c r="F150" s="22">
        <v>7.14</v>
      </c>
      <c r="G150" s="10">
        <v>84.1</v>
      </c>
      <c r="H150" s="23">
        <v>23.6</v>
      </c>
      <c r="I150" s="4"/>
      <c r="J150" s="4"/>
      <c r="K150" s="4"/>
      <c r="L150" s="4"/>
      <c r="M150" s="4"/>
    </row>
    <row r="151" spans="1:13" ht="15.75" customHeight="1" x14ac:dyDescent="0.2">
      <c r="A151" s="4"/>
      <c r="B151" s="25"/>
      <c r="C151" s="210">
        <v>44796</v>
      </c>
      <c r="D151" s="8">
        <v>0.50694444444444442</v>
      </c>
      <c r="E151" s="4">
        <v>5</v>
      </c>
      <c r="F151" s="22">
        <v>7.14</v>
      </c>
      <c r="G151" s="10">
        <v>84</v>
      </c>
      <c r="H151" s="23">
        <v>23.5</v>
      </c>
      <c r="I151" s="4"/>
      <c r="J151" s="4"/>
      <c r="K151" s="4"/>
      <c r="L151" s="4"/>
      <c r="M151" s="4"/>
    </row>
    <row r="152" spans="1:13" ht="15.75" customHeight="1" x14ac:dyDescent="0.2">
      <c r="A152" s="4"/>
      <c r="B152" s="25"/>
      <c r="C152" s="210">
        <v>44796</v>
      </c>
      <c r="D152" s="8">
        <v>0.50694444444444442</v>
      </c>
      <c r="E152" s="4">
        <v>6</v>
      </c>
      <c r="F152" s="22">
        <v>7.15</v>
      </c>
      <c r="G152" s="10">
        <v>83.8</v>
      </c>
      <c r="H152" s="23">
        <v>23.4</v>
      </c>
      <c r="I152" s="4"/>
      <c r="J152" s="4"/>
      <c r="K152" s="4"/>
      <c r="L152" s="4"/>
      <c r="M152" s="4"/>
    </row>
    <row r="153" spans="1:13" ht="15.75" customHeight="1" x14ac:dyDescent="0.2">
      <c r="A153" s="4"/>
      <c r="B153" s="25"/>
      <c r="C153" s="210">
        <v>44796</v>
      </c>
      <c r="D153" s="8">
        <v>0.50694444444444442</v>
      </c>
      <c r="E153" s="4">
        <v>7</v>
      </c>
      <c r="F153" s="22">
        <v>7.26</v>
      </c>
      <c r="G153" s="10">
        <v>84.4</v>
      </c>
      <c r="H153" s="23">
        <v>22.9</v>
      </c>
      <c r="I153" s="4"/>
      <c r="J153" s="4"/>
      <c r="K153" s="4"/>
      <c r="L153" s="4"/>
      <c r="M153" s="4"/>
    </row>
    <row r="154" spans="1:13" ht="15.75" customHeight="1" x14ac:dyDescent="0.2">
      <c r="A154" s="4"/>
      <c r="B154" s="25"/>
      <c r="C154" s="210">
        <v>44796</v>
      </c>
      <c r="D154" s="8">
        <v>0.50694444444444442</v>
      </c>
      <c r="E154" s="4">
        <v>8</v>
      </c>
      <c r="F154" s="22">
        <v>7.43</v>
      </c>
      <c r="G154" s="10">
        <v>84.6</v>
      </c>
      <c r="H154" s="23">
        <v>21.8</v>
      </c>
      <c r="I154" s="4"/>
      <c r="J154" s="4"/>
      <c r="K154" s="4"/>
      <c r="L154" s="4"/>
      <c r="M154" s="4"/>
    </row>
    <row r="155" spans="1:13" ht="15.75" customHeight="1" x14ac:dyDescent="0.2">
      <c r="A155" s="4"/>
      <c r="B155" s="25"/>
      <c r="C155" s="210">
        <v>44796</v>
      </c>
      <c r="D155" s="8">
        <v>0.50694444444444442</v>
      </c>
      <c r="E155" s="4">
        <v>9</v>
      </c>
      <c r="F155" s="22">
        <v>7.81</v>
      </c>
      <c r="G155" s="10">
        <v>85</v>
      </c>
      <c r="H155" s="23">
        <v>19.399999999999999</v>
      </c>
      <c r="I155" s="4"/>
      <c r="J155" s="4"/>
      <c r="K155" s="4"/>
      <c r="L155" s="4"/>
      <c r="M155" s="4"/>
    </row>
    <row r="156" spans="1:13" ht="15.75" customHeight="1" x14ac:dyDescent="0.2">
      <c r="A156" s="4"/>
      <c r="B156" s="25"/>
      <c r="C156" s="210">
        <v>44796</v>
      </c>
      <c r="D156" s="8">
        <v>0.50694444444444442</v>
      </c>
      <c r="E156" s="4">
        <v>10</v>
      </c>
      <c r="F156" s="22">
        <v>8.6999999999999993</v>
      </c>
      <c r="G156" s="10">
        <v>87.2</v>
      </c>
      <c r="H156" s="23">
        <v>15.5</v>
      </c>
      <c r="I156" s="4"/>
      <c r="J156" s="4"/>
      <c r="K156" s="4"/>
      <c r="L156" s="4"/>
      <c r="M156" s="4"/>
    </row>
    <row r="157" spans="1:13" ht="15.75" customHeight="1" x14ac:dyDescent="0.2">
      <c r="A157" s="4"/>
      <c r="B157" s="25"/>
      <c r="C157" s="210">
        <v>44796</v>
      </c>
      <c r="D157" s="8">
        <v>0.50694444444444442</v>
      </c>
      <c r="E157" s="4">
        <v>15</v>
      </c>
      <c r="F157" s="22">
        <v>8.7799999999999994</v>
      </c>
      <c r="G157" s="10">
        <v>78.3</v>
      </c>
      <c r="H157" s="23">
        <v>10.4</v>
      </c>
      <c r="I157" s="4"/>
      <c r="J157" s="4"/>
      <c r="K157" s="4"/>
      <c r="L157" s="4"/>
      <c r="M157" s="4"/>
    </row>
    <row r="158" spans="1:13" ht="15.75" customHeight="1" x14ac:dyDescent="0.2">
      <c r="A158" s="4"/>
      <c r="B158" s="25"/>
      <c r="C158" s="210">
        <v>44796</v>
      </c>
      <c r="D158" s="8">
        <v>0.50694444444444442</v>
      </c>
      <c r="E158" s="4">
        <v>20</v>
      </c>
      <c r="F158" s="22">
        <v>8.8699999999999992</v>
      </c>
      <c r="G158" s="10">
        <v>74.099999999999994</v>
      </c>
      <c r="H158" s="23">
        <v>7.7</v>
      </c>
      <c r="I158" s="4"/>
      <c r="J158" s="4"/>
      <c r="K158" s="4"/>
      <c r="L158" s="4"/>
      <c r="M158" s="4"/>
    </row>
    <row r="159" spans="1:13" ht="15.75" customHeight="1" x14ac:dyDescent="0.2">
      <c r="A159" s="4"/>
      <c r="B159" s="25"/>
      <c r="C159" s="210">
        <v>44796</v>
      </c>
      <c r="D159" s="8">
        <v>0.50694444444444442</v>
      </c>
      <c r="E159" s="4">
        <v>25</v>
      </c>
      <c r="F159" s="22">
        <v>8.75</v>
      </c>
      <c r="G159" s="10">
        <v>71.8</v>
      </c>
      <c r="H159" s="23">
        <v>6.9</v>
      </c>
      <c r="I159" s="4"/>
      <c r="J159" s="4"/>
      <c r="K159" s="4"/>
      <c r="L159" s="4"/>
      <c r="M159" s="4"/>
    </row>
    <row r="160" spans="1:13" ht="15.75" customHeight="1" x14ac:dyDescent="0.2">
      <c r="A160" s="4"/>
      <c r="B160" s="25"/>
      <c r="C160" s="210">
        <v>44796</v>
      </c>
      <c r="D160" s="8">
        <v>0.50694444444444442</v>
      </c>
      <c r="E160" s="4">
        <v>30</v>
      </c>
      <c r="F160" s="22">
        <v>8.6999999999999993</v>
      </c>
      <c r="G160" s="10">
        <v>70</v>
      </c>
      <c r="H160" s="23">
        <v>6.1</v>
      </c>
      <c r="I160" s="4"/>
      <c r="J160" s="4"/>
      <c r="K160" s="4"/>
      <c r="L160" s="4"/>
      <c r="M160" s="4"/>
    </row>
    <row r="161" spans="1:13" ht="15.75" customHeight="1" x14ac:dyDescent="0.2">
      <c r="A161" s="4"/>
      <c r="B161" s="25"/>
      <c r="C161" s="210">
        <v>44796</v>
      </c>
      <c r="D161" s="8">
        <v>0.50694444444444442</v>
      </c>
      <c r="E161" s="4">
        <v>35</v>
      </c>
      <c r="F161" s="22">
        <v>8.6</v>
      </c>
      <c r="G161" s="10">
        <v>68.900000000000006</v>
      </c>
      <c r="H161" s="23">
        <v>5.9</v>
      </c>
      <c r="I161" s="4"/>
      <c r="J161" s="4"/>
      <c r="K161" s="4"/>
      <c r="L161" s="4"/>
      <c r="M161" s="4"/>
    </row>
    <row r="162" spans="1:13" ht="15.75" customHeight="1" x14ac:dyDescent="0.2">
      <c r="A162" s="4"/>
      <c r="B162" s="25"/>
      <c r="C162" s="210"/>
      <c r="D162" s="4"/>
      <c r="E162" s="4"/>
      <c r="F162" s="22"/>
      <c r="G162" s="10"/>
      <c r="H162" s="23"/>
      <c r="I162" s="4"/>
      <c r="J162" s="4"/>
      <c r="K162" s="4"/>
      <c r="L162" s="4"/>
      <c r="M162" s="4"/>
    </row>
    <row r="163" spans="1:13" ht="15.75" customHeight="1" x14ac:dyDescent="0.2">
      <c r="A163" s="4"/>
      <c r="B163" s="25"/>
      <c r="C163" s="210">
        <v>44823</v>
      </c>
      <c r="D163" s="8">
        <v>0.70138888888888884</v>
      </c>
      <c r="E163" s="4"/>
      <c r="F163" s="22"/>
      <c r="G163" s="10"/>
      <c r="H163" s="23"/>
      <c r="I163" s="4"/>
      <c r="J163" s="4">
        <v>8</v>
      </c>
      <c r="K163" s="4">
        <v>10</v>
      </c>
      <c r="L163" s="4"/>
      <c r="M163" s="4"/>
    </row>
    <row r="164" spans="1:13" ht="15.75" customHeight="1" x14ac:dyDescent="0.2">
      <c r="A164" s="4"/>
      <c r="B164" s="25"/>
      <c r="C164" s="210">
        <v>44823</v>
      </c>
      <c r="D164" s="8">
        <v>0.70833333333333337</v>
      </c>
      <c r="E164" s="4">
        <v>0.1</v>
      </c>
      <c r="F164" s="22">
        <v>8</v>
      </c>
      <c r="G164" s="10">
        <v>86.6</v>
      </c>
      <c r="H164" s="23">
        <v>19.2</v>
      </c>
      <c r="I164" s="4"/>
      <c r="J164" s="4"/>
      <c r="K164" s="4"/>
      <c r="L164" s="4"/>
      <c r="M164" s="4"/>
    </row>
    <row r="165" spans="1:13" ht="15.75" customHeight="1" x14ac:dyDescent="0.2">
      <c r="A165" s="4"/>
      <c r="B165" s="25"/>
      <c r="C165" s="210">
        <v>44823</v>
      </c>
      <c r="D165" s="8">
        <v>0.70833333333333337</v>
      </c>
      <c r="E165" s="4">
        <v>1</v>
      </c>
      <c r="F165" s="22">
        <v>8.0299999999999994</v>
      </c>
      <c r="G165" s="10">
        <v>86.7</v>
      </c>
      <c r="H165" s="23">
        <v>19.100000000000001</v>
      </c>
      <c r="I165" s="4"/>
      <c r="J165" s="4"/>
      <c r="K165" s="4"/>
      <c r="L165" s="4"/>
      <c r="M165" s="4"/>
    </row>
    <row r="166" spans="1:13" ht="15.75" customHeight="1" x14ac:dyDescent="0.2">
      <c r="A166" s="4"/>
      <c r="B166" s="25"/>
      <c r="C166" s="210">
        <v>44823</v>
      </c>
      <c r="D166" s="8">
        <v>0.70833333333333337</v>
      </c>
      <c r="E166" s="4">
        <v>2</v>
      </c>
      <c r="F166" s="22">
        <v>7.96</v>
      </c>
      <c r="G166" s="10">
        <v>85.8</v>
      </c>
      <c r="H166" s="23">
        <v>19</v>
      </c>
      <c r="I166" s="4"/>
      <c r="J166" s="4"/>
      <c r="K166" s="4"/>
      <c r="L166" s="4"/>
      <c r="M166" s="4"/>
    </row>
    <row r="167" spans="1:13" ht="15.75" customHeight="1" x14ac:dyDescent="0.2">
      <c r="A167" s="4"/>
      <c r="B167" s="25"/>
      <c r="C167" s="210">
        <v>44823</v>
      </c>
      <c r="D167" s="8">
        <v>0.70833333333333337</v>
      </c>
      <c r="E167" s="4">
        <v>3</v>
      </c>
      <c r="F167" s="22">
        <v>7.9</v>
      </c>
      <c r="G167" s="10">
        <v>85.1</v>
      </c>
      <c r="H167" s="23">
        <v>19</v>
      </c>
      <c r="I167" s="4"/>
      <c r="J167" s="4"/>
      <c r="K167" s="4"/>
      <c r="L167" s="4"/>
      <c r="M167" s="4"/>
    </row>
    <row r="168" spans="1:13" ht="15.75" customHeight="1" x14ac:dyDescent="0.2">
      <c r="A168" s="4"/>
      <c r="B168" s="25"/>
      <c r="C168" s="210">
        <v>44823</v>
      </c>
      <c r="D168" s="8">
        <v>0.70833333333333337</v>
      </c>
      <c r="E168" s="4">
        <v>4</v>
      </c>
      <c r="F168" s="22">
        <v>7.85</v>
      </c>
      <c r="G168" s="10">
        <v>84.6</v>
      </c>
      <c r="H168" s="23">
        <v>19</v>
      </c>
      <c r="I168" s="4"/>
      <c r="J168" s="4"/>
      <c r="K168" s="4"/>
      <c r="L168" s="4"/>
      <c r="M168" s="4"/>
    </row>
    <row r="169" spans="1:13" ht="15.75" customHeight="1" x14ac:dyDescent="0.2">
      <c r="A169" s="4"/>
      <c r="B169" s="25"/>
      <c r="C169" s="210">
        <v>44823</v>
      </c>
      <c r="D169" s="8">
        <v>0.70833333333333337</v>
      </c>
      <c r="E169" s="4">
        <v>5</v>
      </c>
      <c r="F169" s="22">
        <v>7.85</v>
      </c>
      <c r="G169" s="10">
        <v>84.2</v>
      </c>
      <c r="H169" s="23">
        <v>18.899999999999999</v>
      </c>
      <c r="I169" s="4"/>
      <c r="J169" s="4"/>
      <c r="K169" s="4"/>
      <c r="L169" s="4"/>
      <c r="M169" s="4"/>
    </row>
    <row r="170" spans="1:13" ht="15.75" customHeight="1" x14ac:dyDescent="0.2">
      <c r="A170" s="4"/>
      <c r="B170" s="25"/>
      <c r="C170" s="210">
        <v>44823</v>
      </c>
      <c r="D170" s="8">
        <v>0.70833333333333337</v>
      </c>
      <c r="E170" s="4">
        <v>6</v>
      </c>
      <c r="F170" s="22">
        <v>7.81</v>
      </c>
      <c r="G170" s="10">
        <v>84</v>
      </c>
      <c r="H170" s="23">
        <v>18.899999999999999</v>
      </c>
      <c r="I170" s="4"/>
      <c r="J170" s="4"/>
      <c r="K170" s="4"/>
      <c r="L170" s="4"/>
      <c r="M170" s="4"/>
    </row>
    <row r="171" spans="1:13" ht="15.75" customHeight="1" x14ac:dyDescent="0.2">
      <c r="A171" s="4"/>
      <c r="B171" s="25"/>
      <c r="C171" s="210">
        <v>44823</v>
      </c>
      <c r="D171" s="8">
        <v>0.70833333333333337</v>
      </c>
      <c r="E171" s="4">
        <v>7</v>
      </c>
      <c r="F171" s="22">
        <v>7.78</v>
      </c>
      <c r="G171" s="10">
        <v>83.7</v>
      </c>
      <c r="H171" s="23">
        <v>18.899999999999999</v>
      </c>
      <c r="I171" s="4"/>
      <c r="J171" s="4"/>
      <c r="K171" s="4"/>
      <c r="L171" s="4"/>
      <c r="M171" s="4"/>
    </row>
    <row r="172" spans="1:13" ht="15.75" customHeight="1" x14ac:dyDescent="0.2">
      <c r="A172" s="4"/>
      <c r="B172" s="25"/>
      <c r="C172" s="210">
        <v>44823</v>
      </c>
      <c r="D172" s="8">
        <v>0.70833333333333337</v>
      </c>
      <c r="E172" s="4">
        <v>8</v>
      </c>
      <c r="F172" s="22">
        <v>7.78</v>
      </c>
      <c r="G172" s="10">
        <v>83.5</v>
      </c>
      <c r="H172" s="23">
        <v>18.8</v>
      </c>
      <c r="I172" s="4"/>
      <c r="J172" s="4"/>
      <c r="K172" s="4"/>
      <c r="L172" s="4"/>
      <c r="M172" s="4"/>
    </row>
    <row r="173" spans="1:13" ht="15.75" customHeight="1" x14ac:dyDescent="0.2">
      <c r="A173" s="4"/>
      <c r="B173" s="25"/>
      <c r="C173" s="210">
        <v>44823</v>
      </c>
      <c r="D173" s="8">
        <v>0.70833333333333337</v>
      </c>
      <c r="E173" s="4">
        <v>9</v>
      </c>
      <c r="F173" s="22">
        <v>7.76</v>
      </c>
      <c r="G173" s="10">
        <v>83.1</v>
      </c>
      <c r="H173" s="23">
        <v>18.7</v>
      </c>
      <c r="I173" s="4"/>
      <c r="J173" s="4"/>
      <c r="K173" s="4"/>
      <c r="L173" s="4"/>
      <c r="M173" s="4"/>
    </row>
    <row r="174" spans="1:13" ht="15.75" customHeight="1" x14ac:dyDescent="0.2">
      <c r="A174" s="4"/>
      <c r="B174" s="25"/>
      <c r="C174" s="210">
        <v>44823</v>
      </c>
      <c r="D174" s="8">
        <v>0.70833333333333337</v>
      </c>
      <c r="E174" s="4">
        <v>10</v>
      </c>
      <c r="F174" s="22">
        <v>7.87</v>
      </c>
      <c r="G174" s="10">
        <v>83.4</v>
      </c>
      <c r="H174" s="23">
        <v>18</v>
      </c>
      <c r="I174" s="4"/>
      <c r="J174" s="4"/>
      <c r="K174" s="4"/>
      <c r="L174" s="4"/>
      <c r="M174" s="4"/>
    </row>
    <row r="175" spans="1:13" ht="15.75" customHeight="1" x14ac:dyDescent="0.2">
      <c r="A175" s="4"/>
      <c r="B175" s="25"/>
      <c r="C175" s="210">
        <v>44823</v>
      </c>
      <c r="D175" s="8">
        <v>0.70833333333333337</v>
      </c>
      <c r="E175" s="4">
        <v>11</v>
      </c>
      <c r="F175" s="22">
        <v>7.92</v>
      </c>
      <c r="G175" s="10">
        <v>83.1</v>
      </c>
      <c r="H175" s="23">
        <v>17.7</v>
      </c>
      <c r="I175" s="4"/>
      <c r="J175" s="4"/>
      <c r="K175" s="4"/>
      <c r="L175" s="4"/>
      <c r="M175" s="4"/>
    </row>
    <row r="176" spans="1:13" ht="15.75" customHeight="1" x14ac:dyDescent="0.2">
      <c r="A176" s="4"/>
      <c r="B176" s="25"/>
      <c r="C176" s="210">
        <v>44823</v>
      </c>
      <c r="D176" s="8">
        <v>0.70833333333333337</v>
      </c>
      <c r="E176" s="4">
        <v>12</v>
      </c>
      <c r="F176" s="22">
        <v>8</v>
      </c>
      <c r="G176" s="10">
        <v>83.3</v>
      </c>
      <c r="H176" s="23">
        <v>17.399999999999999</v>
      </c>
      <c r="I176" s="4"/>
      <c r="J176" s="4"/>
      <c r="K176" s="4"/>
      <c r="L176" s="4"/>
      <c r="M176" s="4"/>
    </row>
    <row r="177" spans="1:13" ht="15.75" customHeight="1" x14ac:dyDescent="0.2">
      <c r="A177" s="4"/>
      <c r="B177" s="25"/>
      <c r="C177" s="210">
        <v>44823</v>
      </c>
      <c r="D177" s="8">
        <v>0.70833333333333337</v>
      </c>
      <c r="E177" s="4">
        <v>13</v>
      </c>
      <c r="F177" s="22">
        <v>8.68</v>
      </c>
      <c r="G177" s="10">
        <v>83.9</v>
      </c>
      <c r="H177" s="23">
        <v>13.8</v>
      </c>
      <c r="I177" s="4"/>
      <c r="J177" s="4"/>
      <c r="K177" s="4"/>
      <c r="L177" s="4"/>
      <c r="M177" s="4"/>
    </row>
    <row r="178" spans="1:13" ht="15.75" customHeight="1" x14ac:dyDescent="0.2">
      <c r="A178" s="4"/>
      <c r="B178" s="25"/>
      <c r="C178" s="210">
        <v>44823</v>
      </c>
      <c r="D178" s="8">
        <v>0.70833333333333337</v>
      </c>
      <c r="E178" s="4">
        <v>14</v>
      </c>
      <c r="F178" s="22">
        <v>9</v>
      </c>
      <c r="G178" s="10">
        <v>83</v>
      </c>
      <c r="H178" s="23">
        <v>11.9</v>
      </c>
      <c r="I178" s="4"/>
      <c r="J178" s="4"/>
      <c r="K178" s="4"/>
      <c r="L178" s="4"/>
      <c r="M178" s="4"/>
    </row>
    <row r="179" spans="1:13" ht="15.75" customHeight="1" x14ac:dyDescent="0.2">
      <c r="A179" s="4"/>
      <c r="B179" s="25"/>
      <c r="C179" s="210">
        <v>44823</v>
      </c>
      <c r="D179" s="8">
        <v>0.70833333333333337</v>
      </c>
      <c r="E179" s="4">
        <v>15</v>
      </c>
      <c r="F179" s="22">
        <v>9.0399999999999991</v>
      </c>
      <c r="G179" s="10">
        <v>79.8</v>
      </c>
      <c r="H179" s="23">
        <v>10</v>
      </c>
      <c r="I179" s="4"/>
      <c r="J179" s="4"/>
      <c r="K179" s="4"/>
      <c r="L179" s="4"/>
      <c r="M179" s="4"/>
    </row>
    <row r="180" spans="1:13" ht="15.75" customHeight="1" x14ac:dyDescent="0.2">
      <c r="A180" s="4"/>
      <c r="B180" s="25"/>
      <c r="C180" s="210">
        <v>44823</v>
      </c>
      <c r="D180" s="8">
        <v>0.70833333333333337</v>
      </c>
      <c r="E180" s="4">
        <v>20</v>
      </c>
      <c r="F180" s="22">
        <v>8.81</v>
      </c>
      <c r="G180" s="10">
        <v>73.5</v>
      </c>
      <c r="H180" s="23">
        <v>7.6</v>
      </c>
      <c r="I180" s="4"/>
      <c r="J180" s="4"/>
      <c r="K180" s="4"/>
      <c r="L180" s="4"/>
      <c r="M180" s="4"/>
    </row>
    <row r="181" spans="1:13" ht="15.75" customHeight="1" x14ac:dyDescent="0.2">
      <c r="A181" s="4"/>
      <c r="B181" s="25"/>
      <c r="C181" s="210">
        <v>44823</v>
      </c>
      <c r="D181" s="8">
        <v>0.70833333333333337</v>
      </c>
      <c r="E181" s="4">
        <v>25</v>
      </c>
      <c r="F181" s="22">
        <v>8.68</v>
      </c>
      <c r="G181" s="10">
        <v>71.099999999999994</v>
      </c>
      <c r="H181" s="23">
        <v>6.9</v>
      </c>
      <c r="I181" s="4"/>
      <c r="J181" s="4"/>
      <c r="K181" s="4"/>
      <c r="L181" s="4"/>
      <c r="M181" s="4"/>
    </row>
    <row r="182" spans="1:13" ht="15.75" customHeight="1" x14ac:dyDescent="0.2">
      <c r="A182" s="4"/>
      <c r="B182" s="25"/>
      <c r="C182" s="210">
        <v>44823</v>
      </c>
      <c r="D182" s="8">
        <v>0.70833333333333337</v>
      </c>
      <c r="E182" s="4">
        <v>30</v>
      </c>
      <c r="F182" s="22">
        <v>8.58</v>
      </c>
      <c r="G182" s="10">
        <v>69.2</v>
      </c>
      <c r="H182" s="23">
        <v>6.2</v>
      </c>
      <c r="I182" s="4"/>
      <c r="J182" s="4"/>
      <c r="K182" s="4"/>
      <c r="L182" s="4"/>
      <c r="M182" s="4"/>
    </row>
    <row r="183" spans="1:13" ht="15.75" customHeight="1" x14ac:dyDescent="0.2">
      <c r="A183" s="4"/>
      <c r="B183" s="25"/>
      <c r="C183" s="210">
        <v>44823</v>
      </c>
      <c r="D183" s="8">
        <v>0.70833333333333337</v>
      </c>
      <c r="E183" s="4">
        <v>35</v>
      </c>
      <c r="F183" s="22">
        <v>8.52</v>
      </c>
      <c r="G183" s="10">
        <v>68.099999999999994</v>
      </c>
      <c r="H183" s="23">
        <v>6</v>
      </c>
      <c r="I183" s="4"/>
      <c r="J183" s="4"/>
      <c r="K183" s="4"/>
      <c r="L183" s="4"/>
      <c r="M183" s="4"/>
    </row>
    <row r="184" spans="1:13" ht="15.75" customHeight="1" x14ac:dyDescent="0.2">
      <c r="A184" s="4"/>
      <c r="B184" s="25"/>
      <c r="C184" s="210"/>
      <c r="D184" s="4"/>
      <c r="E184" s="4"/>
      <c r="F184" s="22"/>
      <c r="G184" s="10"/>
      <c r="H184" s="23"/>
      <c r="I184" s="4"/>
      <c r="J184" s="4"/>
      <c r="K184" s="4"/>
      <c r="L184" s="4"/>
      <c r="M184" s="4"/>
    </row>
    <row r="185" spans="1:13" ht="15.75" customHeight="1" x14ac:dyDescent="0.2">
      <c r="A185" s="4"/>
      <c r="B185" s="25"/>
      <c r="C185" s="210"/>
      <c r="D185" s="4"/>
      <c r="E185" s="4"/>
      <c r="F185" s="22"/>
      <c r="G185" s="10"/>
      <c r="H185" s="23"/>
      <c r="I185" s="4"/>
      <c r="J185" s="4"/>
      <c r="K185" s="4"/>
      <c r="L185" s="4"/>
      <c r="M185" s="4"/>
    </row>
    <row r="186" spans="1:13" ht="15.75" customHeight="1" x14ac:dyDescent="0.2">
      <c r="A186" s="4"/>
      <c r="B186" s="25"/>
      <c r="C186" s="210"/>
      <c r="D186" s="4"/>
      <c r="E186" s="4"/>
      <c r="F186" s="22"/>
      <c r="G186" s="10"/>
      <c r="H186" s="23"/>
      <c r="I186" s="4"/>
      <c r="J186" s="4"/>
      <c r="K186" s="4"/>
      <c r="L186" s="4"/>
      <c r="M186" s="4"/>
    </row>
    <row r="187" spans="1:13" ht="15.75" customHeight="1" x14ac:dyDescent="0.2">
      <c r="A187" s="4"/>
      <c r="B187" s="25"/>
      <c r="C187" s="210"/>
      <c r="D187" s="4"/>
      <c r="E187" s="4"/>
      <c r="F187" s="22"/>
      <c r="G187" s="10"/>
      <c r="H187" s="23"/>
      <c r="I187" s="4"/>
      <c r="J187" s="4"/>
      <c r="K187" s="4"/>
      <c r="L187" s="4"/>
      <c r="M187" s="4"/>
    </row>
    <row r="188" spans="1:13" ht="15.75" customHeight="1" x14ac:dyDescent="0.2">
      <c r="A188" s="4"/>
      <c r="B188" s="3"/>
      <c r="C188" s="210">
        <v>44007</v>
      </c>
      <c r="D188" s="11">
        <v>0.54861111111111105</v>
      </c>
      <c r="E188" s="4"/>
      <c r="F188" s="22"/>
      <c r="G188" s="10"/>
      <c r="H188" s="23"/>
      <c r="I188" s="4"/>
      <c r="J188" s="4">
        <v>6.5</v>
      </c>
      <c r="K188" s="4">
        <v>7.5</v>
      </c>
      <c r="L188" s="4"/>
      <c r="M188" s="4"/>
    </row>
    <row r="189" spans="1:13" ht="15.75" customHeight="1" x14ac:dyDescent="0.2">
      <c r="A189" s="4"/>
      <c r="B189" s="25"/>
      <c r="C189" s="210">
        <v>44007</v>
      </c>
      <c r="D189" s="8">
        <v>0.55902777777777779</v>
      </c>
      <c r="E189" s="1">
        <v>0.1</v>
      </c>
      <c r="F189" s="22">
        <v>8.06</v>
      </c>
      <c r="G189" s="10">
        <v>85.5</v>
      </c>
      <c r="H189" s="23">
        <v>18.100000000000001</v>
      </c>
      <c r="I189" s="4"/>
      <c r="J189" s="4"/>
      <c r="K189" s="4"/>
      <c r="L189" s="23"/>
      <c r="M189" s="4"/>
    </row>
    <row r="190" spans="1:13" ht="15.75" customHeight="1" x14ac:dyDescent="0.2">
      <c r="A190" s="4"/>
      <c r="B190" s="25"/>
      <c r="C190" s="210">
        <v>44007</v>
      </c>
      <c r="D190" s="8">
        <v>0.55902777777777779</v>
      </c>
      <c r="E190" s="1">
        <v>1</v>
      </c>
      <c r="F190" s="22">
        <v>8.17</v>
      </c>
      <c r="G190" s="10"/>
      <c r="H190" s="23">
        <v>17.5</v>
      </c>
      <c r="I190" s="4"/>
      <c r="J190" s="4"/>
      <c r="K190" s="4"/>
      <c r="L190" s="23"/>
      <c r="M190" s="4"/>
    </row>
    <row r="191" spans="1:13" ht="15.75" customHeight="1" x14ac:dyDescent="0.2">
      <c r="A191" s="4"/>
      <c r="B191" s="25"/>
      <c r="C191" s="210">
        <v>44007</v>
      </c>
      <c r="D191" s="8">
        <v>0.55902777777777779</v>
      </c>
      <c r="E191" s="1">
        <v>2</v>
      </c>
      <c r="F191" s="22">
        <v>8.25</v>
      </c>
      <c r="G191" s="10"/>
      <c r="H191" s="23">
        <v>16.8</v>
      </c>
      <c r="I191" s="4"/>
      <c r="J191" s="4"/>
      <c r="K191" s="4"/>
      <c r="L191" s="4"/>
      <c r="M191" s="4"/>
    </row>
    <row r="192" spans="1:13" ht="15.75" customHeight="1" x14ac:dyDescent="0.2">
      <c r="A192" s="4"/>
      <c r="B192" s="25"/>
      <c r="C192" s="210">
        <v>44007</v>
      </c>
      <c r="D192" s="8">
        <v>0.55902777777777779</v>
      </c>
      <c r="E192" s="1">
        <v>3</v>
      </c>
      <c r="F192" s="22">
        <v>8.33</v>
      </c>
      <c r="G192" s="10"/>
      <c r="H192" s="23">
        <v>16.5</v>
      </c>
      <c r="I192" s="4"/>
      <c r="J192" s="4"/>
      <c r="K192" s="4"/>
      <c r="L192" s="4"/>
      <c r="M192" s="4"/>
    </row>
    <row r="193" spans="1:13" ht="15.75" customHeight="1" x14ac:dyDescent="0.2">
      <c r="A193" s="4"/>
      <c r="B193" s="25"/>
      <c r="C193" s="210">
        <v>44007</v>
      </c>
      <c r="D193" s="8">
        <v>0.55902777777777779</v>
      </c>
      <c r="E193" s="1">
        <v>4</v>
      </c>
      <c r="F193" s="22">
        <v>8.43</v>
      </c>
      <c r="G193" s="10">
        <v>85.7</v>
      </c>
      <c r="H193" s="23">
        <v>16.100000000000001</v>
      </c>
      <c r="I193" s="4"/>
      <c r="J193" s="4"/>
      <c r="K193" s="4"/>
      <c r="L193" s="4"/>
      <c r="M193" s="4"/>
    </row>
    <row r="194" spans="1:13" ht="15.75" customHeight="1" x14ac:dyDescent="0.2">
      <c r="A194" s="4"/>
      <c r="B194" s="25"/>
      <c r="C194" s="210">
        <v>44007</v>
      </c>
      <c r="D194" s="8">
        <v>0.55902777777777779</v>
      </c>
      <c r="E194" s="1">
        <v>5</v>
      </c>
      <c r="F194" s="22">
        <v>8.76</v>
      </c>
      <c r="G194" s="10">
        <v>85.8</v>
      </c>
      <c r="H194" s="23">
        <v>14.4</v>
      </c>
      <c r="I194" s="4"/>
      <c r="J194" s="4"/>
      <c r="K194" s="4"/>
      <c r="L194" s="4"/>
      <c r="M194" s="4"/>
    </row>
    <row r="195" spans="1:13" ht="15.75" customHeight="1" x14ac:dyDescent="0.2">
      <c r="A195" s="4"/>
      <c r="B195" s="25"/>
      <c r="C195" s="210">
        <v>44007</v>
      </c>
      <c r="D195" s="8">
        <v>0.55902777777777779</v>
      </c>
      <c r="E195" s="1">
        <v>6</v>
      </c>
      <c r="F195" s="22">
        <v>8.91</v>
      </c>
      <c r="G195" s="10"/>
      <c r="H195" s="23">
        <v>13.9</v>
      </c>
      <c r="I195" s="4"/>
      <c r="J195" s="4"/>
      <c r="K195" s="4"/>
      <c r="L195" s="4"/>
      <c r="M195" s="4"/>
    </row>
    <row r="196" spans="1:13" ht="15.75" customHeight="1" x14ac:dyDescent="0.2">
      <c r="A196" s="4"/>
      <c r="B196" s="25"/>
      <c r="C196" s="210">
        <v>44007</v>
      </c>
      <c r="D196" s="8">
        <v>0.55902777777777779</v>
      </c>
      <c r="E196" s="1">
        <v>7</v>
      </c>
      <c r="F196" s="22">
        <v>9.02</v>
      </c>
      <c r="G196" s="10"/>
      <c r="H196" s="23">
        <v>13.4</v>
      </c>
      <c r="I196" s="4"/>
      <c r="J196" s="4"/>
      <c r="K196" s="4"/>
      <c r="L196" s="4"/>
      <c r="M196" s="4"/>
    </row>
    <row r="197" spans="1:13" ht="15.75" customHeight="1" x14ac:dyDescent="0.2">
      <c r="A197" s="4"/>
      <c r="B197" s="25"/>
      <c r="C197" s="210">
        <v>44007</v>
      </c>
      <c r="D197" s="8">
        <v>0.55902777777777779</v>
      </c>
      <c r="E197" s="1">
        <v>8</v>
      </c>
      <c r="F197" s="22">
        <v>9.0399999999999991</v>
      </c>
      <c r="G197" s="10"/>
      <c r="H197" s="23">
        <v>13.1</v>
      </c>
      <c r="I197" s="4"/>
      <c r="J197" s="4"/>
      <c r="K197" s="4"/>
      <c r="L197" s="4"/>
      <c r="M197" s="4"/>
    </row>
    <row r="198" spans="1:13" ht="15.75" customHeight="1" x14ac:dyDescent="0.2">
      <c r="A198" s="4"/>
      <c r="B198" s="25"/>
      <c r="C198" s="210">
        <v>44007</v>
      </c>
      <c r="D198" s="8">
        <v>0.55902777777777779</v>
      </c>
      <c r="E198" s="1">
        <v>9</v>
      </c>
      <c r="F198" s="22">
        <v>9.0500000000000007</v>
      </c>
      <c r="G198" s="10"/>
      <c r="H198" s="23">
        <v>12.6</v>
      </c>
      <c r="I198" s="4"/>
      <c r="J198" s="4"/>
      <c r="K198" s="4"/>
      <c r="L198" s="4"/>
      <c r="M198" s="4"/>
    </row>
    <row r="199" spans="1:13" ht="15.75" customHeight="1" x14ac:dyDescent="0.2">
      <c r="A199" s="4"/>
      <c r="B199" s="25"/>
      <c r="C199" s="210">
        <v>44007</v>
      </c>
      <c r="D199" s="8">
        <v>0.55902777777777779</v>
      </c>
      <c r="E199" s="1">
        <v>10</v>
      </c>
      <c r="F199" s="22">
        <v>9.01</v>
      </c>
      <c r="G199" s="10"/>
      <c r="H199" s="23">
        <v>12.4</v>
      </c>
      <c r="I199" s="4"/>
      <c r="J199" s="4"/>
      <c r="K199" s="4"/>
      <c r="L199" s="4"/>
      <c r="M199" s="4"/>
    </row>
    <row r="200" spans="1:13" ht="15.75" customHeight="1" x14ac:dyDescent="0.2">
      <c r="A200" s="4"/>
      <c r="B200" s="25"/>
      <c r="C200" s="210">
        <v>44007</v>
      </c>
      <c r="D200" s="8">
        <v>0.55902777777777779</v>
      </c>
      <c r="E200" s="1">
        <v>11</v>
      </c>
      <c r="F200" s="22">
        <v>8.85</v>
      </c>
      <c r="G200" s="10"/>
      <c r="H200" s="23">
        <v>12</v>
      </c>
      <c r="I200" s="4"/>
      <c r="J200" s="4"/>
      <c r="K200" s="4"/>
      <c r="L200" s="4"/>
      <c r="M200" s="4"/>
    </row>
    <row r="201" spans="1:13" ht="15.75" customHeight="1" x14ac:dyDescent="0.2">
      <c r="A201" s="4"/>
      <c r="B201" s="25"/>
      <c r="C201" s="210">
        <v>44007</v>
      </c>
      <c r="D201" s="8">
        <v>0.55902777777777779</v>
      </c>
      <c r="E201" s="1">
        <v>12</v>
      </c>
      <c r="F201" s="22">
        <v>8.73</v>
      </c>
      <c r="G201" s="10"/>
      <c r="H201" s="23">
        <v>11.7</v>
      </c>
      <c r="I201" s="4"/>
      <c r="J201" s="4"/>
      <c r="K201" s="4"/>
      <c r="L201" s="4"/>
      <c r="M201" s="4"/>
    </row>
    <row r="202" spans="1:13" ht="15.75" customHeight="1" x14ac:dyDescent="0.2">
      <c r="A202" s="4"/>
      <c r="B202" s="25"/>
      <c r="C202" s="210">
        <v>44007</v>
      </c>
      <c r="D202" s="8">
        <v>0.55902777777777779</v>
      </c>
      <c r="E202" s="1">
        <v>13</v>
      </c>
      <c r="F202" s="22">
        <v>8.69</v>
      </c>
      <c r="G202" s="10"/>
      <c r="H202" s="23">
        <v>11.3</v>
      </c>
      <c r="I202" s="4"/>
      <c r="J202" s="4"/>
      <c r="K202" s="4"/>
      <c r="L202" s="4"/>
      <c r="M202" s="4"/>
    </row>
    <row r="203" spans="1:13" ht="15.75" customHeight="1" x14ac:dyDescent="0.2">
      <c r="A203" s="4"/>
      <c r="B203" s="25"/>
      <c r="C203" s="210">
        <v>44007</v>
      </c>
      <c r="D203" s="8">
        <v>0.55902777777777779</v>
      </c>
      <c r="E203" s="1">
        <v>14</v>
      </c>
      <c r="F203" s="22">
        <v>8.67</v>
      </c>
      <c r="G203" s="10"/>
      <c r="H203" s="23">
        <v>11</v>
      </c>
      <c r="I203" s="4"/>
      <c r="J203" s="4"/>
      <c r="K203" s="4"/>
      <c r="L203" s="4"/>
      <c r="M203" s="4"/>
    </row>
    <row r="204" spans="1:13" ht="15.75" customHeight="1" x14ac:dyDescent="0.2">
      <c r="A204" s="4"/>
      <c r="B204" s="25"/>
      <c r="C204" s="210">
        <v>44007</v>
      </c>
      <c r="D204" s="8">
        <v>0.55902777777777779</v>
      </c>
      <c r="E204" s="1">
        <v>15</v>
      </c>
      <c r="F204" s="22">
        <v>8.82</v>
      </c>
      <c r="G204" s="10"/>
      <c r="H204" s="23">
        <v>9.6999999999999993</v>
      </c>
      <c r="I204" s="4"/>
      <c r="J204" s="4"/>
      <c r="K204" s="4"/>
      <c r="L204" s="4"/>
      <c r="M204" s="4"/>
    </row>
    <row r="205" spans="1:13" ht="15.75" customHeight="1" x14ac:dyDescent="0.2">
      <c r="A205" s="4"/>
      <c r="B205" s="25"/>
      <c r="C205" s="210">
        <v>44007</v>
      </c>
      <c r="D205" s="8">
        <v>0.55902777777777779</v>
      </c>
      <c r="E205" s="1">
        <v>16</v>
      </c>
      <c r="F205" s="22">
        <v>8.9499999999999993</v>
      </c>
      <c r="G205" s="10"/>
      <c r="H205" s="23">
        <v>8.8000000000000007</v>
      </c>
      <c r="I205" s="4"/>
      <c r="J205" s="4"/>
      <c r="K205" s="4"/>
      <c r="L205" s="4"/>
      <c r="M205" s="4"/>
    </row>
    <row r="206" spans="1:13" ht="15.75" customHeight="1" x14ac:dyDescent="0.2">
      <c r="A206" s="4"/>
      <c r="B206" s="25"/>
      <c r="C206" s="210">
        <v>44007</v>
      </c>
      <c r="D206" s="8">
        <v>0.55902777777777779</v>
      </c>
      <c r="E206" s="1">
        <v>17</v>
      </c>
      <c r="F206" s="22">
        <v>9.08</v>
      </c>
      <c r="G206" s="10"/>
      <c r="H206" s="23">
        <v>8.6</v>
      </c>
      <c r="I206" s="4"/>
      <c r="J206" s="4"/>
      <c r="K206" s="4"/>
      <c r="L206" s="4"/>
      <c r="M206" s="4"/>
    </row>
    <row r="207" spans="1:13" ht="15.75" customHeight="1" x14ac:dyDescent="0.2">
      <c r="A207" s="4"/>
      <c r="B207" s="25"/>
      <c r="C207" s="210">
        <v>44007</v>
      </c>
      <c r="D207" s="8">
        <v>0.55902777777777779</v>
      </c>
      <c r="E207" s="1">
        <v>18</v>
      </c>
      <c r="F207" s="22">
        <v>9.1</v>
      </c>
      <c r="G207" s="10"/>
      <c r="H207" s="23">
        <v>8.4</v>
      </c>
      <c r="I207" s="4"/>
      <c r="J207" s="4"/>
      <c r="K207" s="4"/>
      <c r="L207" s="4"/>
      <c r="M207" s="4"/>
    </row>
    <row r="208" spans="1:13" ht="15.75" customHeight="1" x14ac:dyDescent="0.2">
      <c r="A208" s="4"/>
      <c r="B208" s="25"/>
      <c r="C208" s="210">
        <v>44007</v>
      </c>
      <c r="D208" s="8">
        <v>0.55902777777777779</v>
      </c>
      <c r="E208" s="1">
        <v>19</v>
      </c>
      <c r="F208" s="22">
        <v>9.1</v>
      </c>
      <c r="G208" s="10"/>
      <c r="H208" s="23">
        <v>8.1</v>
      </c>
      <c r="I208" s="4"/>
      <c r="J208" s="4"/>
      <c r="K208" s="4"/>
      <c r="L208" s="4"/>
      <c r="M208" s="4"/>
    </row>
    <row r="209" spans="1:13" ht="15.75" customHeight="1" x14ac:dyDescent="0.2">
      <c r="A209" s="4"/>
      <c r="B209" s="25"/>
      <c r="C209" s="210">
        <v>44007</v>
      </c>
      <c r="D209" s="8">
        <v>0.55902777777777779</v>
      </c>
      <c r="E209" s="1">
        <v>20</v>
      </c>
      <c r="F209" s="22">
        <v>9.08</v>
      </c>
      <c r="G209" s="10"/>
      <c r="H209" s="23">
        <v>7.5</v>
      </c>
      <c r="I209" s="4"/>
      <c r="J209" s="4"/>
      <c r="K209" s="4"/>
      <c r="L209" s="4"/>
      <c r="M209" s="4"/>
    </row>
    <row r="210" spans="1:13" ht="15.75" customHeight="1" x14ac:dyDescent="0.2">
      <c r="A210" s="4"/>
      <c r="B210" s="25"/>
      <c r="C210" s="210">
        <v>44007</v>
      </c>
      <c r="D210" s="8">
        <v>0.55902777777777779</v>
      </c>
      <c r="E210" s="1">
        <v>21</v>
      </c>
      <c r="F210" s="22">
        <v>9.09</v>
      </c>
      <c r="G210" s="10"/>
      <c r="H210" s="23">
        <v>7.2</v>
      </c>
      <c r="I210" s="4"/>
      <c r="J210" s="4"/>
      <c r="K210" s="4"/>
      <c r="L210" s="4"/>
      <c r="M210" s="4"/>
    </row>
    <row r="211" spans="1:13" ht="15.75" customHeight="1" x14ac:dyDescent="0.2">
      <c r="A211" s="4"/>
      <c r="B211" s="25"/>
      <c r="C211" s="210">
        <v>44007</v>
      </c>
      <c r="D211" s="8">
        <v>0.55902777777777779</v>
      </c>
      <c r="E211" s="1">
        <v>22</v>
      </c>
      <c r="F211" s="22">
        <v>9.07</v>
      </c>
      <c r="G211" s="10"/>
      <c r="H211" s="23">
        <v>7</v>
      </c>
      <c r="I211" s="4"/>
      <c r="J211" s="4"/>
      <c r="K211" s="4"/>
      <c r="L211" s="4"/>
      <c r="M211" s="4"/>
    </row>
    <row r="212" spans="1:13" ht="15.75" customHeight="1" x14ac:dyDescent="0.2">
      <c r="A212" s="4"/>
      <c r="B212" s="25"/>
      <c r="C212" s="210">
        <v>44007</v>
      </c>
      <c r="D212" s="8">
        <v>0.55902777777777779</v>
      </c>
      <c r="E212" s="1">
        <v>23</v>
      </c>
      <c r="F212" s="22">
        <v>9.0500000000000007</v>
      </c>
      <c r="G212" s="10"/>
      <c r="H212" s="23">
        <v>6.9</v>
      </c>
      <c r="I212" s="4"/>
      <c r="J212" s="4"/>
      <c r="K212" s="4"/>
      <c r="L212" s="4"/>
      <c r="M212" s="4"/>
    </row>
    <row r="213" spans="1:13" ht="15.75" customHeight="1" x14ac:dyDescent="0.2">
      <c r="A213" s="4"/>
      <c r="B213" s="25"/>
      <c r="C213" s="210">
        <v>44007</v>
      </c>
      <c r="D213" s="8">
        <v>0.55902777777777779</v>
      </c>
      <c r="E213" s="1">
        <v>24</v>
      </c>
      <c r="F213" s="22">
        <v>9.02</v>
      </c>
      <c r="G213" s="10"/>
      <c r="H213" s="23">
        <v>6.8</v>
      </c>
      <c r="I213" s="4"/>
      <c r="J213" s="4"/>
      <c r="K213" s="4"/>
      <c r="L213" s="4"/>
      <c r="M213" s="4"/>
    </row>
    <row r="214" spans="1:13" ht="15.75" customHeight="1" x14ac:dyDescent="0.2">
      <c r="A214" s="4"/>
      <c r="B214" s="25"/>
      <c r="C214" s="210">
        <v>44007</v>
      </c>
      <c r="D214" s="8">
        <v>0.55902777777777779</v>
      </c>
      <c r="E214" s="1">
        <v>25</v>
      </c>
      <c r="F214" s="22">
        <v>9.01</v>
      </c>
      <c r="G214" s="10"/>
      <c r="H214" s="23">
        <v>6.6</v>
      </c>
      <c r="I214" s="4"/>
      <c r="J214" s="4"/>
      <c r="K214" s="4"/>
      <c r="L214" s="4"/>
      <c r="M214" s="4"/>
    </row>
    <row r="215" spans="1:13" ht="15.75" customHeight="1" x14ac:dyDescent="0.2">
      <c r="A215" s="4"/>
      <c r="B215" s="25"/>
      <c r="C215" s="210">
        <v>44007</v>
      </c>
      <c r="D215" s="8">
        <v>0.55902777777777779</v>
      </c>
      <c r="E215" s="4">
        <v>26</v>
      </c>
      <c r="F215" s="22">
        <v>8.9700000000000006</v>
      </c>
      <c r="G215" s="10"/>
      <c r="H215" s="23">
        <v>6.2</v>
      </c>
      <c r="I215" s="4"/>
      <c r="J215" s="4"/>
      <c r="K215" s="4"/>
      <c r="L215" s="4"/>
      <c r="M215" s="4"/>
    </row>
    <row r="216" spans="1:13" ht="15.75" customHeight="1" x14ac:dyDescent="0.2">
      <c r="A216" s="4"/>
      <c r="B216" s="25"/>
      <c r="C216" s="210">
        <v>44007</v>
      </c>
      <c r="D216" s="8">
        <v>0.55902777777777779</v>
      </c>
      <c r="E216" s="4">
        <v>27</v>
      </c>
      <c r="F216" s="22">
        <v>8.9499999999999993</v>
      </c>
      <c r="G216" s="10"/>
      <c r="H216" s="23">
        <v>6.1</v>
      </c>
      <c r="I216" s="4"/>
      <c r="J216" s="4"/>
      <c r="K216" s="4"/>
      <c r="L216" s="4"/>
      <c r="M216" s="4"/>
    </row>
    <row r="217" spans="1:13" ht="15.75" customHeight="1" x14ac:dyDescent="0.2">
      <c r="A217" s="4"/>
      <c r="B217" s="25"/>
      <c r="C217" s="210">
        <v>44007</v>
      </c>
      <c r="D217" s="8">
        <v>0.55902777777777779</v>
      </c>
      <c r="E217" s="4">
        <v>28</v>
      </c>
      <c r="F217" s="22">
        <v>8.91</v>
      </c>
      <c r="G217" s="10"/>
      <c r="H217" s="23">
        <v>6.1</v>
      </c>
      <c r="I217" s="4"/>
      <c r="J217" s="4"/>
      <c r="K217" s="4"/>
      <c r="L217" s="4"/>
      <c r="M217" s="4"/>
    </row>
    <row r="218" spans="1:13" ht="15.75" customHeight="1" x14ac:dyDescent="0.2">
      <c r="A218" s="4"/>
      <c r="B218" s="25"/>
      <c r="C218" s="210">
        <v>44007</v>
      </c>
      <c r="D218" s="8">
        <v>0.55902777777777779</v>
      </c>
      <c r="E218" s="4">
        <v>29</v>
      </c>
      <c r="F218" s="22">
        <v>8.91</v>
      </c>
      <c r="G218" s="10"/>
      <c r="H218" s="23">
        <v>5.9</v>
      </c>
      <c r="I218" s="4"/>
      <c r="J218" s="4"/>
      <c r="K218" s="4"/>
      <c r="L218" s="4"/>
      <c r="M218" s="4"/>
    </row>
    <row r="219" spans="1:13" ht="15.75" customHeight="1" x14ac:dyDescent="0.2">
      <c r="A219" s="4"/>
      <c r="B219" s="25"/>
      <c r="C219" s="210">
        <v>44007</v>
      </c>
      <c r="D219" s="8">
        <v>0.55902777777777779</v>
      </c>
      <c r="E219" s="4">
        <v>30</v>
      </c>
      <c r="F219" s="22">
        <v>8.89</v>
      </c>
      <c r="G219" s="10"/>
      <c r="H219" s="23">
        <v>5.9</v>
      </c>
      <c r="I219" s="4"/>
      <c r="J219" s="4"/>
      <c r="K219" s="4"/>
      <c r="L219" s="4"/>
      <c r="M219" s="4"/>
    </row>
    <row r="220" spans="1:13" ht="15.75" customHeight="1" x14ac:dyDescent="0.2">
      <c r="A220" s="4"/>
      <c r="B220" s="25"/>
      <c r="C220" s="210">
        <v>44007</v>
      </c>
      <c r="D220" s="8">
        <v>0.55902777777777779</v>
      </c>
      <c r="E220" s="4">
        <v>31</v>
      </c>
      <c r="F220" s="22">
        <v>8.89</v>
      </c>
      <c r="G220" s="10"/>
      <c r="H220" s="23">
        <v>5.8</v>
      </c>
      <c r="I220" s="4"/>
      <c r="J220" s="4"/>
      <c r="K220" s="4"/>
      <c r="L220" s="4"/>
      <c r="M220" s="4"/>
    </row>
    <row r="221" spans="1:13" ht="15.75" customHeight="1" x14ac:dyDescent="0.2">
      <c r="A221" s="4"/>
      <c r="B221" s="25"/>
      <c r="C221" s="210">
        <v>44007</v>
      </c>
      <c r="D221" s="8">
        <v>0.55902777777777779</v>
      </c>
      <c r="E221" s="4">
        <v>32</v>
      </c>
      <c r="F221" s="22">
        <v>8.8699999999999992</v>
      </c>
      <c r="G221" s="10"/>
      <c r="H221" s="23">
        <v>5.8</v>
      </c>
      <c r="I221" s="4"/>
      <c r="J221" s="4"/>
      <c r="K221" s="4"/>
      <c r="L221" s="4"/>
      <c r="M221" s="4"/>
    </row>
    <row r="222" spans="1:13" ht="15.75" customHeight="1" x14ac:dyDescent="0.2">
      <c r="A222" s="4"/>
      <c r="B222" s="25"/>
      <c r="C222" s="210">
        <v>44007</v>
      </c>
      <c r="D222" s="8">
        <v>0.55902777777777779</v>
      </c>
      <c r="E222" s="4">
        <v>33</v>
      </c>
      <c r="F222" s="22">
        <v>8.83</v>
      </c>
      <c r="G222" s="10"/>
      <c r="H222" s="23">
        <v>5.8</v>
      </c>
      <c r="I222" s="4"/>
      <c r="J222" s="4"/>
      <c r="K222" s="4"/>
      <c r="L222" s="4"/>
      <c r="M222" s="4"/>
    </row>
    <row r="223" spans="1:13" ht="15.75" customHeight="1" x14ac:dyDescent="0.2">
      <c r="A223" s="4"/>
      <c r="B223" s="25"/>
      <c r="C223" s="210">
        <v>44007</v>
      </c>
      <c r="D223" s="8">
        <v>0.55902777777777779</v>
      </c>
      <c r="E223" s="4">
        <v>34</v>
      </c>
      <c r="F223" s="22">
        <v>8.81</v>
      </c>
      <c r="G223" s="10"/>
      <c r="H223" s="23">
        <v>5.7</v>
      </c>
      <c r="I223" s="4"/>
      <c r="J223" s="4"/>
      <c r="K223" s="4"/>
      <c r="L223" s="4"/>
      <c r="M223" s="4"/>
    </row>
    <row r="224" spans="1:13" ht="15.75" customHeight="1" x14ac:dyDescent="0.2">
      <c r="A224" s="4"/>
      <c r="B224" s="25"/>
      <c r="C224" s="210">
        <v>44007</v>
      </c>
      <c r="D224" s="8">
        <v>0.55902777777777779</v>
      </c>
      <c r="E224" s="4">
        <v>35</v>
      </c>
      <c r="F224" s="22">
        <v>8.7899999999999991</v>
      </c>
      <c r="G224" s="10">
        <v>70.099999999999994</v>
      </c>
      <c r="H224" s="23">
        <v>5.7</v>
      </c>
      <c r="I224" s="4"/>
      <c r="J224" s="4"/>
      <c r="K224" s="4"/>
      <c r="L224" s="4"/>
      <c r="M224" s="4"/>
    </row>
    <row r="225" spans="1:13" ht="15.75" customHeight="1" x14ac:dyDescent="0.2">
      <c r="A225" s="4"/>
      <c r="B225" s="25"/>
      <c r="C225" s="210">
        <v>44007</v>
      </c>
      <c r="D225" s="8">
        <v>0.55902777777777779</v>
      </c>
      <c r="E225" s="4">
        <v>36</v>
      </c>
      <c r="F225" s="22"/>
      <c r="G225" s="10"/>
      <c r="H225" s="23"/>
      <c r="I225" s="4"/>
      <c r="J225" s="4"/>
      <c r="K225" s="4"/>
      <c r="L225" s="4"/>
      <c r="M225" s="4"/>
    </row>
    <row r="226" spans="1:13" ht="15.75" customHeight="1" x14ac:dyDescent="0.2">
      <c r="A226" s="4"/>
      <c r="B226" s="25"/>
      <c r="C226" s="210"/>
      <c r="D226" s="4"/>
      <c r="E226" s="4"/>
      <c r="F226" s="22"/>
      <c r="G226" s="10"/>
      <c r="H226" s="23"/>
      <c r="I226" s="4"/>
      <c r="J226" s="4"/>
      <c r="K226" s="4"/>
      <c r="L226" s="4"/>
      <c r="M226" s="4"/>
    </row>
    <row r="227" spans="1:13" ht="15.75" customHeight="1" x14ac:dyDescent="0.2">
      <c r="A227" s="4"/>
      <c r="B227" s="25"/>
      <c r="F227" s="22"/>
      <c r="G227" s="10"/>
      <c r="H227" s="23"/>
      <c r="I227" s="4"/>
      <c r="L227" s="4"/>
      <c r="M227" s="4"/>
    </row>
    <row r="228" spans="1:13" ht="15.75" customHeight="1" x14ac:dyDescent="0.2">
      <c r="A228" s="4"/>
      <c r="B228" s="25"/>
      <c r="C228" s="210">
        <v>44039</v>
      </c>
      <c r="D228" s="4"/>
      <c r="E228" s="4"/>
      <c r="F228" s="22"/>
      <c r="G228" s="10"/>
      <c r="H228" s="23"/>
      <c r="I228" s="4"/>
      <c r="J228" s="4">
        <v>8.5</v>
      </c>
      <c r="K228" s="4">
        <v>9.5</v>
      </c>
      <c r="L228" s="4"/>
      <c r="M228" s="4"/>
    </row>
    <row r="229" spans="1:13" ht="15.75" customHeight="1" x14ac:dyDescent="0.2">
      <c r="A229" s="4"/>
      <c r="B229" s="25"/>
      <c r="C229" s="210">
        <v>44039</v>
      </c>
      <c r="D229" s="8">
        <v>0.51736111111111105</v>
      </c>
      <c r="E229" s="1">
        <v>0.1</v>
      </c>
      <c r="F229" s="22">
        <v>7.36</v>
      </c>
      <c r="G229" s="23">
        <v>84.6</v>
      </c>
      <c r="H229" s="23">
        <v>22.2</v>
      </c>
      <c r="I229" s="4"/>
      <c r="J229" s="4"/>
      <c r="K229" s="4"/>
      <c r="L229" s="4"/>
      <c r="M229" s="4"/>
    </row>
    <row r="230" spans="1:13" ht="15.75" customHeight="1" x14ac:dyDescent="0.2">
      <c r="A230" s="4"/>
      <c r="B230" s="25"/>
      <c r="C230" s="210">
        <v>44039</v>
      </c>
      <c r="D230" s="8">
        <v>0.51736111111111105</v>
      </c>
      <c r="E230" s="1">
        <v>1</v>
      </c>
      <c r="F230" s="22">
        <v>7.4</v>
      </c>
      <c r="G230" s="23"/>
      <c r="H230" s="23">
        <v>21.9</v>
      </c>
      <c r="I230" s="4"/>
      <c r="J230" s="4"/>
      <c r="K230" s="4"/>
      <c r="L230" s="4"/>
      <c r="M230" s="4"/>
    </row>
    <row r="231" spans="1:13" ht="15.75" customHeight="1" x14ac:dyDescent="0.2">
      <c r="A231" s="4"/>
      <c r="B231" s="25"/>
      <c r="C231" s="210">
        <v>44039</v>
      </c>
      <c r="D231" s="8">
        <v>0.51736111111111105</v>
      </c>
      <c r="E231" s="1">
        <v>2</v>
      </c>
      <c r="F231" s="22">
        <v>7.41</v>
      </c>
      <c r="G231" s="23"/>
      <c r="H231" s="23">
        <v>22</v>
      </c>
      <c r="I231" s="4"/>
      <c r="J231" s="4"/>
      <c r="K231" s="4"/>
      <c r="L231" s="4"/>
      <c r="M231" s="4"/>
    </row>
    <row r="232" spans="1:13" ht="15.75" customHeight="1" x14ac:dyDescent="0.2">
      <c r="A232" s="4"/>
      <c r="B232" s="25"/>
      <c r="C232" s="210">
        <v>44039</v>
      </c>
      <c r="D232" s="8">
        <v>0.51736111111111105</v>
      </c>
      <c r="E232" s="1">
        <v>3</v>
      </c>
      <c r="F232" s="22">
        <v>7.41</v>
      </c>
      <c r="G232" s="23"/>
      <c r="H232" s="23">
        <v>21.6</v>
      </c>
      <c r="I232" s="4"/>
      <c r="J232" s="4"/>
      <c r="K232" s="4"/>
      <c r="L232" s="4"/>
      <c r="M232" s="4"/>
    </row>
    <row r="233" spans="1:13" ht="15.75" customHeight="1" x14ac:dyDescent="0.2">
      <c r="A233" s="4"/>
      <c r="B233" s="25"/>
      <c r="C233" s="210">
        <v>44039</v>
      </c>
      <c r="D233" s="8">
        <v>0.51736111111111105</v>
      </c>
      <c r="E233" s="1">
        <v>4</v>
      </c>
      <c r="F233" s="22">
        <v>7.44</v>
      </c>
      <c r="G233" s="23"/>
      <c r="H233" s="23">
        <v>21.3</v>
      </c>
      <c r="I233" s="4"/>
      <c r="J233" s="4"/>
      <c r="K233" s="4"/>
      <c r="L233" s="4"/>
      <c r="M233" s="4"/>
    </row>
    <row r="234" spans="1:13" ht="15.75" customHeight="1" x14ac:dyDescent="0.2">
      <c r="A234" s="4"/>
      <c r="B234" s="25"/>
      <c r="C234" s="210">
        <v>44039</v>
      </c>
      <c r="D234" s="8">
        <v>0.51736111111111105</v>
      </c>
      <c r="E234" s="1">
        <v>5</v>
      </c>
      <c r="F234" s="22">
        <v>7.45</v>
      </c>
      <c r="G234" s="23"/>
      <c r="H234" s="23">
        <v>21</v>
      </c>
      <c r="I234" s="4"/>
      <c r="J234" s="4"/>
      <c r="K234" s="4"/>
      <c r="L234" s="4"/>
      <c r="M234" s="4"/>
    </row>
    <row r="235" spans="1:13" ht="15.75" customHeight="1" x14ac:dyDescent="0.2">
      <c r="A235" s="4"/>
      <c r="B235" s="25"/>
      <c r="C235" s="210">
        <v>44039</v>
      </c>
      <c r="D235" s="8">
        <v>0.51736111111111105</v>
      </c>
      <c r="E235" s="1">
        <v>6</v>
      </c>
      <c r="F235" s="22">
        <v>7.59</v>
      </c>
      <c r="G235" s="23">
        <v>84</v>
      </c>
      <c r="H235" s="23">
        <v>20.399999999999999</v>
      </c>
      <c r="I235" s="4"/>
      <c r="J235" s="4"/>
      <c r="K235" s="4"/>
      <c r="L235" s="4"/>
      <c r="M235" s="4"/>
    </row>
    <row r="236" spans="1:13" ht="15.75" customHeight="1" x14ac:dyDescent="0.2">
      <c r="A236" s="4"/>
      <c r="B236" s="25"/>
      <c r="C236" s="210">
        <v>44039</v>
      </c>
      <c r="D236" s="8">
        <v>0.51736111111111105</v>
      </c>
      <c r="E236" s="1">
        <v>7</v>
      </c>
      <c r="F236" s="22">
        <v>7.64</v>
      </c>
      <c r="G236" s="23">
        <v>84</v>
      </c>
      <c r="H236" s="23">
        <v>20</v>
      </c>
      <c r="I236" s="4"/>
      <c r="J236" s="4"/>
      <c r="K236" s="4"/>
      <c r="L236" s="4"/>
      <c r="M236" s="4"/>
    </row>
    <row r="237" spans="1:13" ht="15.75" customHeight="1" x14ac:dyDescent="0.2">
      <c r="A237" s="4"/>
      <c r="B237" s="25"/>
      <c r="C237" s="210">
        <v>44039</v>
      </c>
      <c r="D237" s="8">
        <v>0.51736111111111105</v>
      </c>
      <c r="E237" s="1">
        <v>8</v>
      </c>
      <c r="F237" s="22">
        <v>7.95</v>
      </c>
      <c r="G237" s="23">
        <v>84.7</v>
      </c>
      <c r="H237" s="23">
        <v>18.3</v>
      </c>
      <c r="I237" s="4"/>
      <c r="J237" s="4"/>
      <c r="K237" s="4"/>
      <c r="L237" s="4"/>
      <c r="M237" s="4"/>
    </row>
    <row r="238" spans="1:13" ht="15.75" customHeight="1" x14ac:dyDescent="0.2">
      <c r="A238" s="4"/>
      <c r="B238" s="25"/>
      <c r="C238" s="210">
        <v>44039</v>
      </c>
      <c r="D238" s="8">
        <v>0.51736111111111105</v>
      </c>
      <c r="E238" s="1">
        <v>9</v>
      </c>
      <c r="F238" s="22">
        <v>8.36</v>
      </c>
      <c r="G238" s="23"/>
      <c r="H238" s="23">
        <v>16.600000000000001</v>
      </c>
      <c r="I238" s="4"/>
      <c r="J238" s="4"/>
      <c r="K238" s="4"/>
      <c r="L238" s="4"/>
      <c r="M238" s="4"/>
    </row>
    <row r="239" spans="1:13" ht="15.75" customHeight="1" x14ac:dyDescent="0.2">
      <c r="A239" s="4"/>
      <c r="B239" s="25"/>
      <c r="C239" s="210">
        <v>44039</v>
      </c>
      <c r="D239" s="8">
        <v>0.51736111111111105</v>
      </c>
      <c r="E239" s="1">
        <v>10</v>
      </c>
      <c r="F239" s="22">
        <v>8.73</v>
      </c>
      <c r="G239" s="23"/>
      <c r="H239" s="23">
        <v>14.3</v>
      </c>
      <c r="I239" s="4"/>
      <c r="J239" s="4"/>
      <c r="K239" s="4"/>
      <c r="L239" s="4"/>
      <c r="M239" s="4"/>
    </row>
    <row r="240" spans="1:13" ht="15.75" customHeight="1" x14ac:dyDescent="0.2">
      <c r="A240" s="4"/>
      <c r="B240" s="25"/>
      <c r="C240" s="210">
        <v>44039</v>
      </c>
      <c r="D240" s="8">
        <v>0.51736111111111105</v>
      </c>
      <c r="E240" s="1">
        <v>11</v>
      </c>
      <c r="F240" s="22">
        <v>9.34</v>
      </c>
      <c r="G240" s="23"/>
      <c r="H240" s="23">
        <v>12.2</v>
      </c>
      <c r="I240" s="4"/>
      <c r="J240" s="4"/>
      <c r="K240" s="4"/>
      <c r="L240" s="4"/>
      <c r="M240" s="4"/>
    </row>
    <row r="241" spans="1:13" ht="15.75" customHeight="1" x14ac:dyDescent="0.2">
      <c r="A241" s="4"/>
      <c r="B241" s="25"/>
      <c r="C241" s="210">
        <v>44039</v>
      </c>
      <c r="D241" s="8">
        <v>0.51736111111111105</v>
      </c>
      <c r="E241" s="1">
        <v>12</v>
      </c>
      <c r="F241" s="22">
        <v>9.52</v>
      </c>
      <c r="G241" s="23"/>
      <c r="H241" s="23">
        <v>11.3</v>
      </c>
      <c r="I241" s="4"/>
      <c r="J241" s="4"/>
      <c r="K241" s="4"/>
      <c r="L241" s="4"/>
      <c r="M241" s="4"/>
    </row>
    <row r="242" spans="1:13" ht="15.75" customHeight="1" x14ac:dyDescent="0.2">
      <c r="A242" s="4"/>
      <c r="B242" s="25"/>
      <c r="C242" s="210">
        <v>44039</v>
      </c>
      <c r="D242" s="8">
        <v>0.51736111111111105</v>
      </c>
      <c r="E242" s="1">
        <v>14</v>
      </c>
      <c r="F242" s="22">
        <v>9.44</v>
      </c>
      <c r="G242" s="23"/>
      <c r="H242" s="23">
        <v>9.4</v>
      </c>
      <c r="I242" s="4"/>
      <c r="J242" s="4"/>
      <c r="K242" s="4"/>
      <c r="L242" s="4"/>
      <c r="M242" s="4"/>
    </row>
    <row r="243" spans="1:13" ht="15.75" customHeight="1" x14ac:dyDescent="0.2">
      <c r="A243" s="4"/>
      <c r="B243" s="25"/>
      <c r="C243" s="210">
        <v>44039</v>
      </c>
      <c r="D243" s="8">
        <v>0.51736111111111105</v>
      </c>
      <c r="E243" s="1">
        <v>16</v>
      </c>
      <c r="F243" s="22">
        <v>9.2799999999999994</v>
      </c>
      <c r="G243" s="23"/>
      <c r="H243" s="23">
        <v>8.1999999999999993</v>
      </c>
      <c r="I243" s="4"/>
      <c r="J243" s="4"/>
      <c r="K243" s="4"/>
      <c r="L243" s="4"/>
      <c r="M243" s="4"/>
    </row>
    <row r="244" spans="1:13" ht="15.75" customHeight="1" x14ac:dyDescent="0.2">
      <c r="A244" s="4"/>
      <c r="B244" s="25"/>
      <c r="C244" s="210">
        <v>44039</v>
      </c>
      <c r="D244" s="8">
        <v>0.51736111111111105</v>
      </c>
      <c r="E244" s="1">
        <v>18</v>
      </c>
      <c r="F244" s="22">
        <v>9.19</v>
      </c>
      <c r="G244" s="23"/>
      <c r="H244" s="23">
        <v>7.9</v>
      </c>
      <c r="I244" s="4"/>
      <c r="J244" s="4"/>
      <c r="K244" s="4"/>
      <c r="L244" s="4"/>
      <c r="M244" s="4"/>
    </row>
    <row r="245" spans="1:13" ht="15.75" customHeight="1" x14ac:dyDescent="0.2">
      <c r="A245" s="4"/>
      <c r="B245" s="25"/>
      <c r="C245" s="210">
        <v>44039</v>
      </c>
      <c r="D245" s="8">
        <v>0.51736111111111105</v>
      </c>
      <c r="E245" s="1">
        <v>20</v>
      </c>
      <c r="F245" s="22">
        <v>9.11</v>
      </c>
      <c r="G245" s="23"/>
      <c r="H245" s="23">
        <v>7.6</v>
      </c>
      <c r="I245" s="4"/>
      <c r="J245" s="4"/>
      <c r="K245" s="4"/>
      <c r="L245" s="4"/>
      <c r="M245" s="4"/>
    </row>
    <row r="246" spans="1:13" ht="15.75" customHeight="1" x14ac:dyDescent="0.2">
      <c r="A246" s="4"/>
      <c r="B246" s="25"/>
      <c r="C246" s="210">
        <v>44039</v>
      </c>
      <c r="D246" s="8">
        <v>0.51736111111111105</v>
      </c>
      <c r="E246" s="1">
        <v>22</v>
      </c>
      <c r="F246" s="22">
        <v>9.0399999999999991</v>
      </c>
      <c r="G246" s="23"/>
      <c r="H246" s="23">
        <v>7.1</v>
      </c>
      <c r="I246" s="4"/>
      <c r="J246" s="4"/>
      <c r="K246" s="4"/>
      <c r="L246" s="4"/>
      <c r="M246" s="4"/>
    </row>
    <row r="247" spans="1:13" ht="15.75" customHeight="1" x14ac:dyDescent="0.2">
      <c r="A247" s="4"/>
      <c r="B247" s="25"/>
      <c r="C247" s="210">
        <v>44039</v>
      </c>
      <c r="D247" s="8">
        <v>0.51736111111111105</v>
      </c>
      <c r="E247" s="1">
        <v>24</v>
      </c>
      <c r="F247" s="22">
        <v>9.01</v>
      </c>
      <c r="G247" s="23"/>
      <c r="H247" s="23">
        <v>6.9</v>
      </c>
      <c r="I247" s="4"/>
      <c r="J247" s="4"/>
      <c r="K247" s="4"/>
      <c r="L247" s="4"/>
      <c r="M247" s="4"/>
    </row>
    <row r="248" spans="1:13" ht="15.75" customHeight="1" x14ac:dyDescent="0.2">
      <c r="A248" s="4"/>
      <c r="B248" s="25"/>
      <c r="C248" s="210">
        <v>44039</v>
      </c>
      <c r="D248" s="8">
        <v>0.51736111111111105</v>
      </c>
      <c r="E248" s="1">
        <v>26</v>
      </c>
      <c r="F248" s="22">
        <v>8.9700000000000006</v>
      </c>
      <c r="G248" s="23"/>
      <c r="H248" s="23">
        <v>6.7</v>
      </c>
      <c r="I248" s="4"/>
      <c r="J248" s="4"/>
      <c r="K248" s="4"/>
      <c r="L248" s="4"/>
      <c r="M248" s="4"/>
    </row>
    <row r="249" spans="1:13" ht="15.75" customHeight="1" x14ac:dyDescent="0.2">
      <c r="A249" s="4"/>
      <c r="B249" s="25"/>
      <c r="C249" s="210">
        <v>44039</v>
      </c>
      <c r="D249" s="8">
        <v>0.51736111111111105</v>
      </c>
      <c r="E249" s="1">
        <v>28</v>
      </c>
      <c r="F249" s="22">
        <v>8.99</v>
      </c>
      <c r="G249" s="23"/>
      <c r="H249" s="23">
        <v>6.5</v>
      </c>
      <c r="I249" s="4"/>
      <c r="J249" s="4"/>
      <c r="K249" s="4"/>
      <c r="L249" s="4"/>
      <c r="M249" s="4"/>
    </row>
    <row r="250" spans="1:13" ht="15.75" customHeight="1" x14ac:dyDescent="0.2">
      <c r="A250" s="4"/>
      <c r="B250" s="25"/>
      <c r="C250" s="210">
        <v>44039</v>
      </c>
      <c r="D250" s="8">
        <v>0.51736111111111105</v>
      </c>
      <c r="E250" s="1">
        <v>30</v>
      </c>
      <c r="F250" s="22">
        <v>8.98</v>
      </c>
      <c r="G250" s="23"/>
      <c r="H250" s="23">
        <v>6.3</v>
      </c>
      <c r="I250" s="4"/>
      <c r="J250" s="4"/>
      <c r="K250" s="4"/>
      <c r="L250" s="4"/>
      <c r="M250" s="4"/>
    </row>
    <row r="251" spans="1:13" ht="15.75" customHeight="1" x14ac:dyDescent="0.2">
      <c r="A251" s="4"/>
      <c r="B251" s="25"/>
      <c r="C251" s="210">
        <v>44039</v>
      </c>
      <c r="D251" s="8">
        <v>0.51736111111111105</v>
      </c>
      <c r="E251" s="1">
        <v>32</v>
      </c>
      <c r="F251" s="22">
        <v>8.93</v>
      </c>
      <c r="G251" s="23"/>
      <c r="H251" s="23">
        <v>6.1</v>
      </c>
      <c r="I251" s="4"/>
      <c r="J251" s="4"/>
      <c r="K251" s="4"/>
      <c r="L251" s="4"/>
      <c r="M251" s="4"/>
    </row>
    <row r="252" spans="1:13" ht="15.75" customHeight="1" x14ac:dyDescent="0.2">
      <c r="A252" s="4"/>
      <c r="B252" s="25"/>
      <c r="C252" s="210">
        <v>44039</v>
      </c>
      <c r="D252" s="8">
        <v>0.51736111111111105</v>
      </c>
      <c r="E252" s="1">
        <v>34</v>
      </c>
      <c r="F252" s="22">
        <v>8.89</v>
      </c>
      <c r="G252" s="23"/>
      <c r="H252" s="23">
        <v>6.1</v>
      </c>
      <c r="I252" s="4"/>
      <c r="J252" s="4"/>
      <c r="K252" s="4"/>
      <c r="L252" s="4"/>
      <c r="M252" s="4"/>
    </row>
    <row r="253" spans="1:13" ht="15.75" customHeight="1" x14ac:dyDescent="0.2">
      <c r="A253" s="4"/>
      <c r="B253" s="25"/>
      <c r="C253" s="210">
        <v>44039</v>
      </c>
      <c r="D253" s="8">
        <v>0.51736111111111105</v>
      </c>
      <c r="E253" s="1">
        <v>36</v>
      </c>
      <c r="F253" s="22">
        <v>8.83</v>
      </c>
      <c r="G253" s="23">
        <v>71</v>
      </c>
      <c r="H253" s="23">
        <v>6.1</v>
      </c>
      <c r="I253" s="4"/>
      <c r="J253" s="4"/>
      <c r="K253" s="4"/>
      <c r="L253" s="4"/>
      <c r="M253" s="4"/>
    </row>
    <row r="254" spans="1:13" ht="15.75" customHeight="1" x14ac:dyDescent="0.2">
      <c r="A254" s="4"/>
      <c r="B254" s="25"/>
      <c r="C254" s="210"/>
      <c r="D254" s="4"/>
      <c r="E254" s="4"/>
      <c r="F254" s="22"/>
      <c r="G254" s="23"/>
      <c r="H254" s="23"/>
      <c r="I254" s="4"/>
      <c r="J254" s="4"/>
      <c r="K254" s="4"/>
      <c r="L254" s="4"/>
      <c r="M254" s="4"/>
    </row>
    <row r="255" spans="1:13" ht="15.75" customHeight="1" x14ac:dyDescent="0.2">
      <c r="A255" s="4"/>
      <c r="B255" s="25"/>
      <c r="C255" s="210">
        <v>44068</v>
      </c>
      <c r="D255" s="4"/>
      <c r="E255" s="4"/>
      <c r="F255" s="22"/>
      <c r="G255" s="23"/>
      <c r="H255" s="23"/>
      <c r="I255" s="4"/>
      <c r="J255" s="4">
        <v>9</v>
      </c>
      <c r="K255" s="4">
        <v>10</v>
      </c>
      <c r="L255" s="4"/>
      <c r="M255" s="4"/>
    </row>
    <row r="256" spans="1:13" ht="15.75" customHeight="1" x14ac:dyDescent="0.2">
      <c r="A256" s="4"/>
      <c r="B256" s="25"/>
      <c r="C256" s="210">
        <v>44068</v>
      </c>
      <c r="D256" s="8">
        <v>0.51736111111111105</v>
      </c>
      <c r="E256" s="1">
        <v>0.1</v>
      </c>
      <c r="F256" s="22">
        <v>7.47</v>
      </c>
      <c r="G256" s="23">
        <v>84.6</v>
      </c>
      <c r="H256" s="23">
        <v>21.5</v>
      </c>
      <c r="I256" s="4"/>
      <c r="J256" s="4"/>
      <c r="K256" s="4"/>
      <c r="L256" s="4"/>
      <c r="M256" s="4"/>
    </row>
    <row r="257" spans="1:13" ht="15.75" customHeight="1" x14ac:dyDescent="0.2">
      <c r="A257" s="4"/>
      <c r="B257" s="25"/>
      <c r="C257" s="210">
        <v>44068</v>
      </c>
      <c r="D257" s="8">
        <v>0.51736111111111105</v>
      </c>
      <c r="E257" s="1">
        <v>1</v>
      </c>
      <c r="F257" s="22">
        <v>7.47</v>
      </c>
      <c r="G257" s="23"/>
      <c r="H257" s="23">
        <v>21.5</v>
      </c>
      <c r="I257" s="4"/>
      <c r="J257" s="4"/>
      <c r="K257" s="4"/>
      <c r="L257" s="4"/>
      <c r="M257" s="4"/>
    </row>
    <row r="258" spans="1:13" ht="15.75" customHeight="1" x14ac:dyDescent="0.2">
      <c r="A258" s="4"/>
      <c r="B258" s="25"/>
      <c r="C258" s="210">
        <v>44068</v>
      </c>
      <c r="D258" s="8">
        <v>0.51736111111111105</v>
      </c>
      <c r="E258" s="1">
        <v>2</v>
      </c>
      <c r="F258" s="22">
        <v>7.47</v>
      </c>
      <c r="G258" s="23"/>
      <c r="H258" s="23">
        <v>21.4</v>
      </c>
      <c r="I258" s="4"/>
      <c r="J258" s="4"/>
      <c r="K258" s="4"/>
      <c r="L258" s="4"/>
      <c r="M258" s="4"/>
    </row>
    <row r="259" spans="1:13" ht="15.75" customHeight="1" x14ac:dyDescent="0.2">
      <c r="A259" s="4"/>
      <c r="B259" s="25"/>
      <c r="C259" s="210">
        <v>44068</v>
      </c>
      <c r="D259" s="8">
        <v>0.51736111111111105</v>
      </c>
      <c r="E259" s="1">
        <v>3</v>
      </c>
      <c r="F259" s="22">
        <v>7.47</v>
      </c>
      <c r="G259" s="23"/>
      <c r="H259" s="23">
        <v>21.3</v>
      </c>
      <c r="I259" s="4"/>
      <c r="J259" s="4"/>
      <c r="K259" s="4"/>
      <c r="L259" s="4"/>
      <c r="M259" s="4"/>
    </row>
    <row r="260" spans="1:13" ht="15.75" customHeight="1" x14ac:dyDescent="0.2">
      <c r="A260" s="4"/>
      <c r="B260" s="25"/>
      <c r="C260" s="210">
        <v>44068</v>
      </c>
      <c r="D260" s="8">
        <v>0.51736111111111105</v>
      </c>
      <c r="E260" s="1">
        <v>4</v>
      </c>
      <c r="F260" s="22">
        <v>7.46</v>
      </c>
      <c r="G260" s="23"/>
      <c r="H260" s="23">
        <v>21.3</v>
      </c>
      <c r="I260" s="4"/>
      <c r="J260" s="4"/>
      <c r="K260" s="4"/>
      <c r="L260" s="4"/>
      <c r="M260" s="4"/>
    </row>
    <row r="261" spans="1:13" ht="15.75" customHeight="1" x14ac:dyDescent="0.2">
      <c r="A261" s="4"/>
      <c r="B261" s="25"/>
      <c r="C261" s="210">
        <v>44068</v>
      </c>
      <c r="D261" s="8">
        <v>0.51736111111111105</v>
      </c>
      <c r="E261" s="1">
        <v>5</v>
      </c>
      <c r="F261" s="22">
        <v>7.47</v>
      </c>
      <c r="G261" s="23"/>
      <c r="H261" s="23">
        <v>21.2</v>
      </c>
      <c r="I261" s="4"/>
      <c r="J261" s="4"/>
      <c r="K261" s="4"/>
      <c r="L261" s="4"/>
      <c r="M261" s="4"/>
    </row>
    <row r="262" spans="1:13" ht="15.75" customHeight="1" x14ac:dyDescent="0.2">
      <c r="A262" s="4"/>
      <c r="B262" s="25"/>
      <c r="C262" s="210">
        <v>44068</v>
      </c>
      <c r="D262" s="8">
        <v>0.51736111111111105</v>
      </c>
      <c r="E262" s="1">
        <v>6</v>
      </c>
      <c r="F262" s="22">
        <v>7.45</v>
      </c>
      <c r="G262" s="23"/>
      <c r="H262" s="23">
        <v>21.2</v>
      </c>
      <c r="I262" s="4"/>
      <c r="J262" s="4"/>
      <c r="K262" s="4"/>
      <c r="L262" s="4"/>
      <c r="M262" s="4"/>
    </row>
    <row r="263" spans="1:13" ht="15.75" customHeight="1" x14ac:dyDescent="0.2">
      <c r="A263" s="4"/>
      <c r="B263" s="25"/>
      <c r="C263" s="210">
        <v>44068</v>
      </c>
      <c r="D263" s="8">
        <v>0.51736111111111105</v>
      </c>
      <c r="E263" s="1">
        <v>7</v>
      </c>
      <c r="F263" s="22">
        <v>7.43</v>
      </c>
      <c r="G263" s="23"/>
      <c r="H263" s="23">
        <v>21.2</v>
      </c>
      <c r="I263" s="4"/>
      <c r="J263" s="4"/>
      <c r="K263" s="4"/>
      <c r="L263" s="4"/>
      <c r="M263" s="4"/>
    </row>
    <row r="264" spans="1:13" ht="15.75" customHeight="1" x14ac:dyDescent="0.2">
      <c r="A264" s="4"/>
      <c r="B264" s="25"/>
      <c r="C264" s="210">
        <v>44068</v>
      </c>
      <c r="D264" s="8">
        <v>0.51736111111111105</v>
      </c>
      <c r="E264" s="1">
        <v>8</v>
      </c>
      <c r="F264" s="22">
        <v>7.43</v>
      </c>
      <c r="G264" s="23"/>
      <c r="H264" s="23">
        <v>19.3</v>
      </c>
      <c r="I264" s="4"/>
      <c r="J264" s="4"/>
      <c r="K264" s="4"/>
      <c r="L264" s="4"/>
      <c r="M264" s="4"/>
    </row>
    <row r="265" spans="1:13" ht="15.75" customHeight="1" x14ac:dyDescent="0.2">
      <c r="A265" s="4"/>
      <c r="B265" s="25"/>
      <c r="C265" s="210">
        <v>44068</v>
      </c>
      <c r="D265" s="8">
        <v>0.51736111111111105</v>
      </c>
      <c r="E265" s="1">
        <v>9</v>
      </c>
      <c r="F265" s="22">
        <v>7.83</v>
      </c>
      <c r="G265" s="23">
        <v>85.1</v>
      </c>
      <c r="H265" s="23">
        <v>18.399999999999999</v>
      </c>
      <c r="I265" s="4"/>
      <c r="J265" s="4"/>
      <c r="K265" s="4"/>
      <c r="L265" s="4"/>
      <c r="M265" s="4"/>
    </row>
    <row r="266" spans="1:13" ht="15.75" customHeight="1" x14ac:dyDescent="0.2">
      <c r="A266" s="4"/>
      <c r="B266" s="25"/>
      <c r="C266" s="210">
        <v>44068</v>
      </c>
      <c r="D266" s="8">
        <v>0.51736111111111105</v>
      </c>
      <c r="E266" s="1">
        <v>10</v>
      </c>
      <c r="F266" s="22">
        <v>8.11</v>
      </c>
      <c r="G266" s="23">
        <v>86.6</v>
      </c>
      <c r="H266" s="23">
        <v>14.7</v>
      </c>
      <c r="I266" s="4"/>
      <c r="J266" s="4"/>
      <c r="K266" s="4"/>
      <c r="L266" s="4"/>
      <c r="M266" s="4"/>
    </row>
    <row r="267" spans="1:13" ht="15.75" customHeight="1" x14ac:dyDescent="0.2">
      <c r="A267" s="4"/>
      <c r="B267" s="25"/>
      <c r="C267" s="210">
        <v>44068</v>
      </c>
      <c r="D267" s="8">
        <v>0.51736111111111105</v>
      </c>
      <c r="E267" s="1">
        <v>11</v>
      </c>
      <c r="F267" s="22">
        <v>8.94</v>
      </c>
      <c r="G267" s="23">
        <v>88.6</v>
      </c>
      <c r="H267" s="23">
        <v>14.2</v>
      </c>
      <c r="I267" s="4"/>
      <c r="J267" s="4"/>
      <c r="K267" s="4"/>
      <c r="L267" s="4"/>
      <c r="M267" s="4"/>
    </row>
    <row r="268" spans="1:13" ht="15.75" customHeight="1" x14ac:dyDescent="0.2">
      <c r="A268" s="4"/>
      <c r="B268" s="25"/>
      <c r="C268" s="210">
        <v>44068</v>
      </c>
      <c r="D268" s="8">
        <v>0.51736111111111105</v>
      </c>
      <c r="E268" s="1">
        <v>12</v>
      </c>
      <c r="F268" s="22">
        <v>9.1</v>
      </c>
      <c r="G268" s="23"/>
      <c r="H268" s="23">
        <v>12.5</v>
      </c>
      <c r="I268" s="4"/>
      <c r="J268" s="4"/>
      <c r="K268" s="4"/>
      <c r="L268" s="4"/>
      <c r="M268" s="4"/>
    </row>
    <row r="269" spans="1:13" ht="15.75" customHeight="1" x14ac:dyDescent="0.2">
      <c r="A269" s="4"/>
      <c r="B269" s="25"/>
      <c r="C269" s="210">
        <v>44068</v>
      </c>
      <c r="D269" s="8">
        <v>0.51736111111111105</v>
      </c>
      <c r="E269" s="1">
        <v>13</v>
      </c>
      <c r="F269" s="22">
        <v>9.2899999999999991</v>
      </c>
      <c r="G269" s="23"/>
      <c r="H269" s="23">
        <v>11.8</v>
      </c>
      <c r="I269" s="4"/>
      <c r="J269" s="4"/>
      <c r="K269" s="4"/>
      <c r="L269" s="4"/>
      <c r="M269" s="4"/>
    </row>
    <row r="270" spans="1:13" ht="15.75" customHeight="1" x14ac:dyDescent="0.2">
      <c r="A270" s="4"/>
      <c r="B270" s="25"/>
      <c r="C270" s="210">
        <v>44068</v>
      </c>
      <c r="D270" s="8">
        <v>0.51736111111111105</v>
      </c>
      <c r="E270" s="1">
        <v>14</v>
      </c>
      <c r="F270" s="22">
        <v>9.41</v>
      </c>
      <c r="G270" s="23"/>
      <c r="H270" s="23">
        <v>10</v>
      </c>
      <c r="I270" s="4"/>
      <c r="J270" s="4"/>
      <c r="K270" s="4"/>
      <c r="L270" s="4"/>
      <c r="M270" s="4"/>
    </row>
    <row r="271" spans="1:13" ht="15.75" customHeight="1" x14ac:dyDescent="0.2">
      <c r="A271" s="4"/>
      <c r="B271" s="25"/>
      <c r="C271" s="210">
        <v>44068</v>
      </c>
      <c r="D271" s="8">
        <v>0.51736111111111105</v>
      </c>
      <c r="E271" s="1">
        <v>16</v>
      </c>
      <c r="F271" s="22">
        <v>9.27</v>
      </c>
      <c r="G271" s="23"/>
      <c r="H271" s="23">
        <v>8.6</v>
      </c>
      <c r="I271" s="4"/>
      <c r="J271" s="4"/>
      <c r="K271" s="4"/>
      <c r="L271" s="4"/>
      <c r="M271" s="4"/>
    </row>
    <row r="272" spans="1:13" ht="15.75" customHeight="1" x14ac:dyDescent="0.2">
      <c r="A272" s="4"/>
      <c r="B272" s="25"/>
      <c r="C272" s="210">
        <v>44068</v>
      </c>
      <c r="D272" s="8">
        <v>0.51736111111111105</v>
      </c>
      <c r="E272" s="1">
        <v>18</v>
      </c>
      <c r="F272" s="22">
        <v>9.15</v>
      </c>
      <c r="G272" s="23"/>
      <c r="H272" s="23">
        <v>8.1</v>
      </c>
      <c r="I272" s="4"/>
      <c r="J272" s="4"/>
      <c r="K272" s="4"/>
      <c r="L272" s="4"/>
      <c r="M272" s="4"/>
    </row>
    <row r="273" spans="1:13" ht="15.75" customHeight="1" x14ac:dyDescent="0.2">
      <c r="A273" s="4"/>
      <c r="B273" s="25"/>
      <c r="C273" s="210">
        <v>44068</v>
      </c>
      <c r="D273" s="8">
        <v>0.51736111111111105</v>
      </c>
      <c r="E273" s="1">
        <v>20</v>
      </c>
      <c r="F273" s="22">
        <v>9.0399999999999991</v>
      </c>
      <c r="G273" s="23"/>
      <c r="H273" s="23">
        <v>7.2</v>
      </c>
      <c r="I273" s="4"/>
      <c r="J273" s="4"/>
      <c r="K273" s="4"/>
      <c r="L273" s="4"/>
      <c r="M273" s="4"/>
    </row>
    <row r="274" spans="1:13" ht="15.75" customHeight="1" x14ac:dyDescent="0.2">
      <c r="A274" s="4"/>
      <c r="B274" s="25"/>
      <c r="C274" s="210">
        <v>44068</v>
      </c>
      <c r="D274" s="8">
        <v>0.51736111111111105</v>
      </c>
      <c r="E274" s="1">
        <v>22</v>
      </c>
      <c r="F274" s="22">
        <v>8.91</v>
      </c>
      <c r="G274" s="23"/>
      <c r="H274" s="23">
        <v>6.8</v>
      </c>
      <c r="I274" s="4"/>
      <c r="J274" s="4"/>
      <c r="K274" s="4"/>
      <c r="L274" s="4"/>
      <c r="M274" s="4"/>
    </row>
    <row r="275" spans="1:13" ht="15.75" customHeight="1" x14ac:dyDescent="0.2">
      <c r="A275" s="4"/>
      <c r="B275" s="25"/>
      <c r="C275" s="210">
        <v>44068</v>
      </c>
      <c r="D275" s="8">
        <v>0.51736111111111105</v>
      </c>
      <c r="E275" s="1">
        <v>24</v>
      </c>
      <c r="F275" s="22">
        <v>8.85</v>
      </c>
      <c r="G275" s="23"/>
      <c r="H275" s="23">
        <v>6.6</v>
      </c>
      <c r="I275" s="4"/>
      <c r="J275" s="4"/>
      <c r="K275" s="4"/>
      <c r="L275" s="4"/>
      <c r="M275" s="4"/>
    </row>
    <row r="276" spans="1:13" ht="15.75" customHeight="1" x14ac:dyDescent="0.2">
      <c r="A276" s="4"/>
      <c r="B276" s="25"/>
      <c r="C276" s="210">
        <v>44068</v>
      </c>
      <c r="D276" s="8">
        <v>0.51736111111111105</v>
      </c>
      <c r="E276" s="1">
        <v>26</v>
      </c>
      <c r="F276" s="22">
        <v>8.8000000000000007</v>
      </c>
      <c r="G276" s="23"/>
      <c r="H276" s="23">
        <v>6.6</v>
      </c>
      <c r="I276" s="4"/>
      <c r="J276" s="4"/>
      <c r="K276" s="4"/>
      <c r="L276" s="4"/>
      <c r="M276" s="4"/>
    </row>
    <row r="277" spans="1:13" ht="15.75" customHeight="1" x14ac:dyDescent="0.2">
      <c r="A277" s="4"/>
      <c r="B277" s="25"/>
      <c r="C277" s="210">
        <v>44068</v>
      </c>
      <c r="D277" s="8">
        <v>0.51736111111111105</v>
      </c>
      <c r="E277" s="1">
        <v>28</v>
      </c>
      <c r="F277" s="22">
        <v>8.77</v>
      </c>
      <c r="G277" s="23"/>
      <c r="H277" s="23">
        <v>6.5</v>
      </c>
      <c r="I277" s="4"/>
      <c r="J277" s="4"/>
      <c r="K277" s="4"/>
      <c r="L277" s="4"/>
      <c r="M277" s="4"/>
    </row>
    <row r="278" spans="1:13" ht="15.75" customHeight="1" x14ac:dyDescent="0.2">
      <c r="A278" s="4"/>
      <c r="B278" s="25"/>
      <c r="C278" s="210">
        <v>44068</v>
      </c>
      <c r="D278" s="8">
        <v>0.51736111111111105</v>
      </c>
      <c r="E278" s="1">
        <v>30</v>
      </c>
      <c r="F278" s="22">
        <v>8.7200000000000006</v>
      </c>
      <c r="G278" s="23"/>
      <c r="H278" s="23">
        <v>6.4</v>
      </c>
      <c r="I278" s="4"/>
      <c r="J278" s="4"/>
      <c r="K278" s="4"/>
      <c r="L278" s="4"/>
      <c r="M278" s="4"/>
    </row>
    <row r="279" spans="1:13" ht="15.75" customHeight="1" x14ac:dyDescent="0.2">
      <c r="A279" s="4"/>
      <c r="B279" s="25"/>
      <c r="C279" s="210">
        <v>44068</v>
      </c>
      <c r="D279" s="8">
        <v>0.51736111111111105</v>
      </c>
      <c r="E279" s="1">
        <v>32</v>
      </c>
      <c r="F279" s="22">
        <v>8.69</v>
      </c>
      <c r="G279" s="23"/>
      <c r="H279" s="23">
        <v>6.3</v>
      </c>
      <c r="I279" s="4"/>
      <c r="J279" s="4"/>
      <c r="K279" s="4"/>
      <c r="L279" s="4"/>
      <c r="M279" s="4"/>
    </row>
    <row r="280" spans="1:13" ht="15.75" customHeight="1" x14ac:dyDescent="0.2">
      <c r="A280" s="4"/>
      <c r="B280" s="25"/>
      <c r="C280" s="210">
        <v>44068</v>
      </c>
      <c r="D280" s="8">
        <v>0.51736111111111105</v>
      </c>
      <c r="E280" s="1">
        <v>34</v>
      </c>
      <c r="F280" s="22">
        <v>8.67</v>
      </c>
      <c r="G280" s="23">
        <v>69.8</v>
      </c>
      <c r="H280" s="23">
        <v>6.3</v>
      </c>
      <c r="I280" s="4"/>
      <c r="J280" s="4"/>
      <c r="K280" s="4"/>
      <c r="L280" s="4"/>
    </row>
    <row r="281" spans="1:13" ht="15.75" customHeight="1" x14ac:dyDescent="0.2">
      <c r="A281" s="4"/>
      <c r="B281" s="25"/>
      <c r="C281" s="210">
        <v>44068</v>
      </c>
      <c r="D281" s="8">
        <v>0.51736111111111105</v>
      </c>
      <c r="E281" s="1">
        <v>36</v>
      </c>
      <c r="F281" s="22">
        <v>8.6199999999999992</v>
      </c>
      <c r="G281" s="23"/>
      <c r="H281" s="23"/>
      <c r="I281" s="4"/>
      <c r="J281" s="4"/>
      <c r="K281" s="4"/>
      <c r="L281" s="4"/>
    </row>
    <row r="282" spans="1:13" ht="15.75" customHeight="1" x14ac:dyDescent="0.2">
      <c r="A282" s="4"/>
      <c r="B282" s="25"/>
      <c r="C282" s="210"/>
      <c r="D282" s="4"/>
      <c r="F282" s="22"/>
      <c r="G282" s="23"/>
      <c r="H282" s="23"/>
      <c r="I282" s="4"/>
      <c r="J282" s="4"/>
      <c r="K282" s="4"/>
      <c r="L282" s="4"/>
    </row>
    <row r="283" spans="1:13" ht="15.75" customHeight="1" x14ac:dyDescent="0.2">
      <c r="A283" s="4"/>
      <c r="B283" s="25"/>
      <c r="C283" s="210"/>
      <c r="D283" s="4"/>
      <c r="E283" s="4"/>
      <c r="F283" s="22"/>
      <c r="G283" s="23"/>
      <c r="H283" s="23"/>
      <c r="I283" s="4"/>
      <c r="J283" s="4"/>
      <c r="K283" s="4"/>
      <c r="L283" s="4"/>
    </row>
    <row r="284" spans="1:13" ht="15.75" customHeight="1" x14ac:dyDescent="0.2">
      <c r="A284" s="4"/>
      <c r="B284" s="25"/>
      <c r="C284" s="210">
        <v>44102</v>
      </c>
      <c r="D284" s="4"/>
      <c r="E284" s="4"/>
      <c r="F284" s="22"/>
      <c r="G284" s="23"/>
      <c r="H284" s="23"/>
      <c r="I284" s="4"/>
      <c r="J284" s="4">
        <v>8.5</v>
      </c>
      <c r="K284" s="4">
        <v>9</v>
      </c>
      <c r="L284" s="4"/>
    </row>
    <row r="285" spans="1:13" ht="15.75" customHeight="1" x14ac:dyDescent="0.2">
      <c r="B285" s="3"/>
      <c r="C285" s="210">
        <v>44102</v>
      </c>
      <c r="D285" s="12">
        <v>0.52638888888888891</v>
      </c>
      <c r="E285" s="1">
        <v>0.1</v>
      </c>
      <c r="F285" s="24">
        <v>8.02</v>
      </c>
      <c r="G285" s="7">
        <v>83</v>
      </c>
      <c r="H285" s="7">
        <v>17</v>
      </c>
    </row>
    <row r="286" spans="1:13" ht="15.75" customHeight="1" x14ac:dyDescent="0.2">
      <c r="B286" s="3"/>
      <c r="C286" s="210">
        <v>44102</v>
      </c>
      <c r="D286" s="12">
        <v>0.52638888888888891</v>
      </c>
      <c r="E286" s="1">
        <v>1</v>
      </c>
      <c r="F286" s="24">
        <v>8.01</v>
      </c>
      <c r="G286" s="7"/>
      <c r="H286" s="7">
        <v>17</v>
      </c>
    </row>
    <row r="287" spans="1:13" ht="15.75" customHeight="1" x14ac:dyDescent="0.2">
      <c r="B287" s="3"/>
      <c r="C287" s="210">
        <v>44102</v>
      </c>
      <c r="D287" s="12">
        <v>0.52638888888888891</v>
      </c>
      <c r="E287" s="1">
        <v>2</v>
      </c>
      <c r="F287" s="24">
        <v>8</v>
      </c>
      <c r="G287" s="7"/>
      <c r="H287" s="7">
        <v>17</v>
      </c>
    </row>
    <row r="288" spans="1:13" ht="15.75" customHeight="1" x14ac:dyDescent="0.2">
      <c r="B288" s="3"/>
      <c r="C288" s="210">
        <v>44102</v>
      </c>
      <c r="D288" s="12">
        <v>0.52638888888888891</v>
      </c>
      <c r="E288" s="1">
        <v>3</v>
      </c>
      <c r="F288" s="24">
        <v>8</v>
      </c>
      <c r="G288" s="7"/>
      <c r="H288" s="7">
        <v>16.899999999999999</v>
      </c>
    </row>
    <row r="289" spans="2:8" ht="15.75" customHeight="1" x14ac:dyDescent="0.2">
      <c r="B289" s="3"/>
      <c r="C289" s="210">
        <v>44102</v>
      </c>
      <c r="D289" s="12">
        <v>0.52638888888888891</v>
      </c>
      <c r="E289" s="1">
        <v>4</v>
      </c>
      <c r="F289" s="24">
        <v>7.98</v>
      </c>
      <c r="G289" s="7"/>
      <c r="H289" s="7">
        <v>16.8</v>
      </c>
    </row>
    <row r="290" spans="2:8" ht="15.75" customHeight="1" x14ac:dyDescent="0.2">
      <c r="B290" s="3"/>
      <c r="C290" s="210">
        <v>44102</v>
      </c>
      <c r="D290" s="12">
        <v>0.52638888888888891</v>
      </c>
      <c r="E290" s="1">
        <v>5</v>
      </c>
      <c r="F290" s="24">
        <v>7.99</v>
      </c>
      <c r="G290" s="7"/>
      <c r="H290" s="7">
        <v>16.8</v>
      </c>
    </row>
    <row r="291" spans="2:8" ht="15.75" customHeight="1" x14ac:dyDescent="0.2">
      <c r="B291" s="3"/>
      <c r="C291" s="210">
        <v>44102</v>
      </c>
      <c r="D291" s="12">
        <v>0.52638888888888891</v>
      </c>
      <c r="E291" s="1">
        <v>6</v>
      </c>
      <c r="F291" s="24">
        <v>7.97</v>
      </c>
      <c r="G291" s="7"/>
      <c r="H291" s="7">
        <v>16.7</v>
      </c>
    </row>
    <row r="292" spans="2:8" ht="15.75" customHeight="1" x14ac:dyDescent="0.2">
      <c r="B292" s="3"/>
      <c r="C292" s="210">
        <v>44102</v>
      </c>
      <c r="D292" s="12">
        <v>0.52638888888888891</v>
      </c>
      <c r="E292" s="1">
        <v>7</v>
      </c>
      <c r="F292" s="24">
        <v>7.94</v>
      </c>
      <c r="G292" s="7"/>
      <c r="H292" s="7">
        <v>16.7</v>
      </c>
    </row>
    <row r="293" spans="2:8" ht="15.75" customHeight="1" x14ac:dyDescent="0.2">
      <c r="B293" s="3"/>
      <c r="C293" s="210">
        <v>44102</v>
      </c>
      <c r="D293" s="12">
        <v>0.52638888888888891</v>
      </c>
      <c r="E293" s="1">
        <v>8</v>
      </c>
      <c r="F293" s="24">
        <v>7.93</v>
      </c>
      <c r="G293" s="7"/>
      <c r="H293" s="7">
        <v>16.7</v>
      </c>
    </row>
    <row r="294" spans="2:8" ht="15.75" customHeight="1" x14ac:dyDescent="0.2">
      <c r="B294" s="3"/>
      <c r="C294" s="210">
        <v>44102</v>
      </c>
      <c r="D294" s="12">
        <v>0.52638888888888891</v>
      </c>
      <c r="E294" s="1">
        <v>9</v>
      </c>
      <c r="F294" s="24">
        <v>7.91</v>
      </c>
      <c r="G294" s="7"/>
      <c r="H294" s="7">
        <v>16.7</v>
      </c>
    </row>
    <row r="295" spans="2:8" ht="15.75" customHeight="1" x14ac:dyDescent="0.2">
      <c r="B295" s="3"/>
      <c r="C295" s="210">
        <v>44102</v>
      </c>
      <c r="D295" s="12">
        <v>0.52638888888888891</v>
      </c>
      <c r="E295" s="1">
        <v>10</v>
      </c>
      <c r="F295" s="24">
        <v>7.91</v>
      </c>
      <c r="G295" s="7"/>
      <c r="H295" s="7">
        <v>16.7</v>
      </c>
    </row>
    <row r="296" spans="2:8" ht="15.75" customHeight="1" x14ac:dyDescent="0.2">
      <c r="B296" s="3"/>
      <c r="C296" s="210">
        <v>44102</v>
      </c>
      <c r="D296" s="12">
        <v>0.52638888888888891</v>
      </c>
      <c r="E296" s="1">
        <v>11</v>
      </c>
      <c r="F296" s="24">
        <v>7.9</v>
      </c>
      <c r="G296" s="7"/>
      <c r="H296" s="7">
        <v>16.600000000000001</v>
      </c>
    </row>
    <row r="297" spans="2:8" ht="15.75" customHeight="1" x14ac:dyDescent="0.2">
      <c r="B297" s="3"/>
      <c r="C297" s="210">
        <v>44102</v>
      </c>
      <c r="D297" s="12">
        <v>0.52638888888888891</v>
      </c>
      <c r="E297" s="1">
        <v>12</v>
      </c>
      <c r="F297" s="24">
        <v>7.91</v>
      </c>
      <c r="G297" s="7">
        <v>80.599999999999994</v>
      </c>
      <c r="H297" s="7">
        <v>16.399999999999999</v>
      </c>
    </row>
    <row r="298" spans="2:8" ht="15.75" customHeight="1" x14ac:dyDescent="0.2">
      <c r="B298" s="3"/>
      <c r="C298" s="210">
        <v>44102</v>
      </c>
      <c r="D298" s="12">
        <v>0.52638888888888891</v>
      </c>
      <c r="E298" s="1">
        <v>13</v>
      </c>
      <c r="F298" s="24">
        <v>8.33</v>
      </c>
      <c r="G298" s="7">
        <v>80.7</v>
      </c>
      <c r="H298" s="7">
        <v>13.7</v>
      </c>
    </row>
    <row r="299" spans="2:8" ht="15.75" customHeight="1" x14ac:dyDescent="0.2">
      <c r="B299" s="3"/>
      <c r="C299" s="210">
        <v>44102</v>
      </c>
      <c r="D299" s="12">
        <v>0.52638888888888891</v>
      </c>
      <c r="E299" s="1">
        <v>14</v>
      </c>
      <c r="F299" s="24">
        <v>8.5500000000000007</v>
      </c>
      <c r="G299" s="7"/>
      <c r="H299" s="7">
        <v>11</v>
      </c>
    </row>
    <row r="300" spans="2:8" ht="15.75" customHeight="1" x14ac:dyDescent="0.2">
      <c r="B300" s="3"/>
      <c r="C300" s="210">
        <v>44102</v>
      </c>
      <c r="D300" s="12">
        <v>0.52638888888888891</v>
      </c>
      <c r="E300" s="1">
        <v>15</v>
      </c>
      <c r="F300" s="24">
        <v>8.67</v>
      </c>
      <c r="G300" s="7"/>
      <c r="H300" s="7">
        <v>9.9</v>
      </c>
    </row>
    <row r="301" spans="2:8" ht="15.75" customHeight="1" x14ac:dyDescent="0.2">
      <c r="B301" s="3"/>
      <c r="C301" s="210">
        <v>44102</v>
      </c>
      <c r="D301" s="12">
        <v>0.52638888888888891</v>
      </c>
      <c r="E301" s="1">
        <v>16</v>
      </c>
      <c r="F301" s="24">
        <v>8.66</v>
      </c>
      <c r="G301" s="7"/>
      <c r="H301" s="7">
        <v>9</v>
      </c>
    </row>
    <row r="302" spans="2:8" ht="15.75" customHeight="1" x14ac:dyDescent="0.2">
      <c r="B302" s="3"/>
      <c r="C302" s="210">
        <v>44102</v>
      </c>
      <c r="D302" s="12">
        <v>0.52638888888888891</v>
      </c>
      <c r="E302" s="1">
        <v>18</v>
      </c>
      <c r="F302" s="24">
        <v>8.69</v>
      </c>
      <c r="G302" s="7"/>
      <c r="H302" s="7">
        <v>8.3000000000000007</v>
      </c>
    </row>
    <row r="303" spans="2:8" ht="15.75" customHeight="1" x14ac:dyDescent="0.2">
      <c r="B303" s="3"/>
      <c r="C303" s="210">
        <v>44102</v>
      </c>
      <c r="D303" s="12">
        <v>0.52638888888888891</v>
      </c>
      <c r="E303" s="1">
        <v>20</v>
      </c>
      <c r="F303" s="24">
        <v>8.67</v>
      </c>
      <c r="G303" s="7"/>
      <c r="H303" s="7">
        <v>7.9</v>
      </c>
    </row>
    <row r="304" spans="2:8" ht="15.75" customHeight="1" x14ac:dyDescent="0.2">
      <c r="B304" s="3"/>
      <c r="C304" s="210">
        <v>44102</v>
      </c>
      <c r="D304" s="12">
        <v>0.52638888888888891</v>
      </c>
      <c r="E304" s="1">
        <v>22</v>
      </c>
      <c r="F304" s="24">
        <v>8.61</v>
      </c>
      <c r="G304" s="7"/>
      <c r="H304" s="7">
        <v>7.4</v>
      </c>
    </row>
    <row r="305" spans="2:11" ht="15.75" customHeight="1" x14ac:dyDescent="0.2">
      <c r="B305" s="3"/>
      <c r="C305" s="210">
        <v>44102</v>
      </c>
      <c r="D305" s="12">
        <v>0.52638888888888891</v>
      </c>
      <c r="E305" s="1">
        <v>24</v>
      </c>
      <c r="F305" s="24">
        <v>8.59</v>
      </c>
      <c r="G305" s="7"/>
      <c r="H305" s="7">
        <v>7.2</v>
      </c>
    </row>
    <row r="306" spans="2:11" ht="15.75" customHeight="1" x14ac:dyDescent="0.2">
      <c r="B306" s="3"/>
      <c r="C306" s="210">
        <v>44102</v>
      </c>
      <c r="D306" s="12">
        <v>0.52638888888888891</v>
      </c>
      <c r="E306" s="1">
        <v>26</v>
      </c>
      <c r="F306" s="24">
        <v>8.5500000000000007</v>
      </c>
      <c r="G306" s="7"/>
      <c r="H306" s="7">
        <v>7.1</v>
      </c>
    </row>
    <row r="307" spans="2:11" ht="15.75" customHeight="1" x14ac:dyDescent="0.2">
      <c r="B307" s="3"/>
      <c r="C307" s="210">
        <v>44102</v>
      </c>
      <c r="D307" s="12">
        <v>0.52638888888888891</v>
      </c>
      <c r="E307" s="1">
        <v>28</v>
      </c>
      <c r="F307" s="24">
        <v>8.51</v>
      </c>
      <c r="G307" s="7"/>
      <c r="H307" s="7">
        <v>6.9</v>
      </c>
    </row>
    <row r="308" spans="2:11" ht="15.75" customHeight="1" x14ac:dyDescent="0.2">
      <c r="B308" s="3"/>
      <c r="C308" s="210">
        <v>44102</v>
      </c>
      <c r="D308" s="12">
        <v>0.52638888888888891</v>
      </c>
      <c r="E308" s="1">
        <v>30</v>
      </c>
      <c r="F308" s="24">
        <v>8.48</v>
      </c>
      <c r="G308" s="7"/>
      <c r="H308" s="7">
        <v>6.7</v>
      </c>
    </row>
    <row r="309" spans="2:11" ht="15.75" customHeight="1" x14ac:dyDescent="0.2">
      <c r="B309" s="3"/>
      <c r="C309" s="210">
        <v>44102</v>
      </c>
      <c r="D309" s="12">
        <v>0.52638888888888891</v>
      </c>
      <c r="E309" s="1">
        <v>32</v>
      </c>
      <c r="F309" s="24">
        <v>8.4499999999999993</v>
      </c>
      <c r="G309" s="7"/>
      <c r="H309" s="7">
        <v>6.6</v>
      </c>
    </row>
    <row r="310" spans="2:11" ht="15.75" customHeight="1" x14ac:dyDescent="0.2">
      <c r="B310" s="3"/>
      <c r="C310" s="210">
        <v>44102</v>
      </c>
      <c r="D310" s="12">
        <v>0.52638888888888891</v>
      </c>
      <c r="E310" s="1">
        <v>34</v>
      </c>
      <c r="F310" s="24">
        <v>8.42</v>
      </c>
      <c r="G310" s="7"/>
      <c r="H310" s="7">
        <v>6.6</v>
      </c>
    </row>
    <row r="311" spans="2:11" ht="15.75" customHeight="1" x14ac:dyDescent="0.2">
      <c r="B311" s="3"/>
      <c r="C311" s="210">
        <v>44102</v>
      </c>
      <c r="D311" s="12">
        <v>0.52638888888888891</v>
      </c>
      <c r="E311" s="1">
        <v>36</v>
      </c>
      <c r="F311" s="24">
        <v>8.39</v>
      </c>
      <c r="G311" s="7">
        <v>68.3</v>
      </c>
      <c r="H311" s="7">
        <v>6.5</v>
      </c>
    </row>
    <row r="312" spans="2:11" ht="15.75" customHeight="1" x14ac:dyDescent="0.2">
      <c r="B312" s="3"/>
      <c r="F312" s="24"/>
      <c r="G312" s="13"/>
      <c r="H312" s="7"/>
    </row>
    <row r="313" spans="2:11" ht="15.75" customHeight="1" x14ac:dyDescent="0.2">
      <c r="B313" s="3"/>
      <c r="C313" s="210">
        <v>43634</v>
      </c>
      <c r="D313" s="4"/>
      <c r="E313" s="4"/>
      <c r="F313" s="22"/>
      <c r="G313" s="23"/>
      <c r="H313" s="23"/>
      <c r="J313" s="4">
        <v>6.5</v>
      </c>
      <c r="K313" s="4">
        <v>7</v>
      </c>
    </row>
    <row r="314" spans="2:11" ht="15.75" customHeight="1" x14ac:dyDescent="0.2">
      <c r="B314" s="3"/>
      <c r="C314" s="210">
        <v>43634</v>
      </c>
      <c r="D314" s="12">
        <v>0.32291666666666669</v>
      </c>
      <c r="E314" s="1">
        <v>0.1</v>
      </c>
      <c r="F314" s="24">
        <v>7.84</v>
      </c>
      <c r="G314" s="7">
        <v>84.1</v>
      </c>
      <c r="H314" s="7">
        <v>18.899999999999999</v>
      </c>
    </row>
    <row r="315" spans="2:11" ht="15.75" customHeight="1" x14ac:dyDescent="0.2">
      <c r="B315" s="3"/>
      <c r="C315" s="210">
        <v>43634</v>
      </c>
      <c r="D315" s="12">
        <v>0.32291666666666669</v>
      </c>
      <c r="E315" s="1">
        <v>1</v>
      </c>
      <c r="F315" s="24">
        <v>7.85</v>
      </c>
      <c r="G315" s="13"/>
      <c r="H315" s="7">
        <v>18.7</v>
      </c>
    </row>
    <row r="316" spans="2:11" ht="15.75" customHeight="1" x14ac:dyDescent="0.2">
      <c r="B316" s="3"/>
      <c r="C316" s="210">
        <v>43634</v>
      </c>
      <c r="D316" s="12">
        <v>0.32291666666666669</v>
      </c>
      <c r="E316" s="1">
        <v>2</v>
      </c>
      <c r="F316" s="24">
        <v>7.89</v>
      </c>
      <c r="G316" s="13"/>
      <c r="H316" s="7">
        <v>18.600000000000001</v>
      </c>
    </row>
    <row r="317" spans="2:11" ht="15.75" customHeight="1" x14ac:dyDescent="0.2">
      <c r="B317" s="3"/>
      <c r="C317" s="210">
        <v>43634</v>
      </c>
      <c r="D317" s="12">
        <v>0.32291666666666669</v>
      </c>
      <c r="E317" s="1">
        <v>3</v>
      </c>
      <c r="F317" s="24">
        <v>7.9</v>
      </c>
      <c r="G317" s="13"/>
      <c r="H317" s="7">
        <v>18.399999999999999</v>
      </c>
    </row>
    <row r="318" spans="2:11" ht="15.75" customHeight="1" x14ac:dyDescent="0.2">
      <c r="B318" s="3"/>
      <c r="C318" s="210">
        <v>43634</v>
      </c>
      <c r="D318" s="12">
        <v>0.32291666666666669</v>
      </c>
      <c r="E318" s="1">
        <v>4</v>
      </c>
      <c r="F318" s="24">
        <v>7.97</v>
      </c>
      <c r="G318" s="13">
        <v>84.5</v>
      </c>
      <c r="H318" s="7">
        <v>18.100000000000001</v>
      </c>
    </row>
    <row r="319" spans="2:11" ht="15.75" customHeight="1" x14ac:dyDescent="0.2">
      <c r="B319" s="3"/>
      <c r="C319" s="210">
        <v>43634</v>
      </c>
      <c r="D319" s="12">
        <v>0.32291666666666669</v>
      </c>
      <c r="E319" s="1">
        <v>5</v>
      </c>
      <c r="F319" s="24">
        <v>8.3699999999999992</v>
      </c>
      <c r="G319" s="13">
        <v>85.2</v>
      </c>
      <c r="H319" s="7">
        <v>16.100000000000001</v>
      </c>
    </row>
    <row r="320" spans="2:11" ht="15.75" customHeight="1" x14ac:dyDescent="0.2">
      <c r="B320" s="3"/>
      <c r="C320" s="210">
        <v>43634</v>
      </c>
      <c r="D320" s="12">
        <v>0.32291666666666669</v>
      </c>
      <c r="E320" s="1">
        <v>6</v>
      </c>
      <c r="F320" s="24">
        <v>8.51</v>
      </c>
      <c r="G320" s="13">
        <v>85.3</v>
      </c>
      <c r="H320" s="7">
        <v>15.5</v>
      </c>
    </row>
    <row r="321" spans="2:13" ht="15.75" customHeight="1" x14ac:dyDescent="0.2">
      <c r="B321" s="3"/>
      <c r="C321" s="210">
        <v>43634</v>
      </c>
      <c r="D321" s="12">
        <v>0.32291666666666669</v>
      </c>
      <c r="E321" s="1">
        <v>7</v>
      </c>
      <c r="F321" s="24">
        <v>8.66</v>
      </c>
      <c r="H321" s="7">
        <v>14.7</v>
      </c>
    </row>
    <row r="322" spans="2:13" ht="15.75" customHeight="1" x14ac:dyDescent="0.2">
      <c r="B322" s="3"/>
      <c r="C322" s="210">
        <v>43634</v>
      </c>
      <c r="D322" s="12">
        <v>0.32291666666666669</v>
      </c>
      <c r="E322" s="1">
        <v>8</v>
      </c>
      <c r="F322" s="24">
        <v>8.73</v>
      </c>
      <c r="H322" s="7">
        <v>14.3</v>
      </c>
    </row>
    <row r="323" spans="2:13" ht="15.75" customHeight="1" x14ac:dyDescent="0.2">
      <c r="B323" s="3"/>
      <c r="C323" s="210">
        <v>43634</v>
      </c>
      <c r="D323" s="12">
        <v>0.32291666666666669</v>
      </c>
      <c r="E323" s="1">
        <v>9</v>
      </c>
      <c r="F323" s="24">
        <v>8.8800000000000008</v>
      </c>
      <c r="G323" s="206">
        <v>84.9</v>
      </c>
      <c r="H323" s="7">
        <v>13.4</v>
      </c>
    </row>
    <row r="324" spans="2:13" ht="15.75" customHeight="1" x14ac:dyDescent="0.2">
      <c r="B324" s="3"/>
      <c r="C324" s="210">
        <v>43634</v>
      </c>
      <c r="D324" s="12">
        <v>0.32291666666666669</v>
      </c>
      <c r="E324" s="1">
        <v>10</v>
      </c>
      <c r="F324" s="24">
        <v>9.32</v>
      </c>
      <c r="G324" s="206">
        <v>85.4</v>
      </c>
      <c r="H324" s="7">
        <v>11.4</v>
      </c>
    </row>
    <row r="325" spans="2:13" ht="15.75" customHeight="1" x14ac:dyDescent="0.2">
      <c r="B325" s="3"/>
      <c r="C325" s="210">
        <v>43634</v>
      </c>
      <c r="D325" s="12">
        <v>0.32291666666666669</v>
      </c>
      <c r="E325" s="1">
        <v>12</v>
      </c>
      <c r="F325" s="24">
        <v>9.56</v>
      </c>
      <c r="G325" s="206">
        <v>84.4</v>
      </c>
      <c r="H325" s="7">
        <v>10</v>
      </c>
    </row>
    <row r="326" spans="2:13" ht="15.75" customHeight="1" x14ac:dyDescent="0.2">
      <c r="B326" s="3"/>
      <c r="C326" s="210">
        <v>43634</v>
      </c>
      <c r="D326" s="12">
        <v>0.32291666666666669</v>
      </c>
      <c r="E326" s="1">
        <v>14</v>
      </c>
      <c r="F326" s="24">
        <v>9.76</v>
      </c>
      <c r="H326" s="7">
        <v>8.8000000000000007</v>
      </c>
    </row>
    <row r="327" spans="2:13" ht="15.75" customHeight="1" x14ac:dyDescent="0.2">
      <c r="B327" s="3"/>
      <c r="C327" s="210">
        <v>43634</v>
      </c>
      <c r="D327" s="12">
        <v>0.32291666666666669</v>
      </c>
      <c r="E327" s="1">
        <v>16</v>
      </c>
      <c r="F327" s="24">
        <v>9.69</v>
      </c>
      <c r="H327" s="7">
        <v>7.9</v>
      </c>
    </row>
    <row r="328" spans="2:13" ht="15.75" customHeight="1" x14ac:dyDescent="0.2">
      <c r="B328" s="3"/>
      <c r="C328" s="210">
        <v>43634</v>
      </c>
      <c r="D328" s="12">
        <v>0.32291666666666669</v>
      </c>
      <c r="E328" s="1">
        <v>18</v>
      </c>
      <c r="F328" s="24">
        <v>9.64</v>
      </c>
      <c r="H328" s="7">
        <v>7.5</v>
      </c>
    </row>
    <row r="329" spans="2:13" ht="15.75" customHeight="1" x14ac:dyDescent="0.2">
      <c r="B329" s="3"/>
      <c r="C329" s="210">
        <v>43634</v>
      </c>
      <c r="D329" s="12">
        <v>0.32291666666666669</v>
      </c>
      <c r="E329" s="1">
        <v>20</v>
      </c>
      <c r="F329" s="24">
        <v>9.5500000000000007</v>
      </c>
      <c r="H329" s="7">
        <v>7.2</v>
      </c>
    </row>
    <row r="330" spans="2:13" ht="15.75" customHeight="1" x14ac:dyDescent="0.2">
      <c r="B330" s="3"/>
      <c r="C330" s="210">
        <v>43634</v>
      </c>
      <c r="D330" s="12">
        <v>0.32291666666666669</v>
      </c>
      <c r="E330" s="1">
        <v>22</v>
      </c>
      <c r="F330" s="24">
        <v>9.4700000000000006</v>
      </c>
      <c r="H330" s="7">
        <v>6.9</v>
      </c>
    </row>
    <row r="331" spans="2:13" ht="15.75" customHeight="1" x14ac:dyDescent="0.2">
      <c r="B331" s="3"/>
      <c r="C331" s="210">
        <v>43634</v>
      </c>
      <c r="D331" s="12">
        <v>0.32291666666666669</v>
      </c>
      <c r="E331" s="1">
        <v>24</v>
      </c>
      <c r="F331" s="24">
        <v>9.4</v>
      </c>
      <c r="H331" s="7">
        <v>6.7</v>
      </c>
    </row>
    <row r="332" spans="2:13" ht="15.75" customHeight="1" x14ac:dyDescent="0.2">
      <c r="B332" s="3"/>
      <c r="C332" s="210">
        <v>43634</v>
      </c>
      <c r="D332" s="12">
        <v>0.32291666666666669</v>
      </c>
      <c r="E332" s="1">
        <v>26</v>
      </c>
      <c r="F332" s="24">
        <v>9.2799999999999994</v>
      </c>
      <c r="H332" s="7">
        <v>6.3</v>
      </c>
    </row>
    <row r="333" spans="2:13" ht="15.75" customHeight="1" x14ac:dyDescent="0.2">
      <c r="B333" s="3"/>
      <c r="C333" s="210">
        <v>43634</v>
      </c>
      <c r="D333" s="12">
        <v>0.32291666666666669</v>
      </c>
      <c r="E333" s="1">
        <v>28</v>
      </c>
      <c r="F333" s="24">
        <v>9.2100000000000009</v>
      </c>
      <c r="H333" s="7">
        <v>6.1</v>
      </c>
    </row>
    <row r="334" spans="2:13" ht="15.75" customHeight="1" x14ac:dyDescent="0.2">
      <c r="B334" s="3"/>
      <c r="C334" s="210">
        <v>43634</v>
      </c>
      <c r="D334" s="12">
        <v>0.32291666666666669</v>
      </c>
      <c r="E334" s="1">
        <v>30</v>
      </c>
      <c r="F334" s="24">
        <v>9.1199999999999992</v>
      </c>
      <c r="H334" s="7">
        <v>6</v>
      </c>
    </row>
    <row r="335" spans="2:13" ht="15.75" customHeight="1" x14ac:dyDescent="0.2">
      <c r="B335" s="3"/>
      <c r="C335" s="210">
        <v>43634</v>
      </c>
      <c r="D335" s="12">
        <v>0.32291666666666669</v>
      </c>
      <c r="E335" s="1">
        <v>32</v>
      </c>
      <c r="F335" s="24">
        <v>9.0500000000000007</v>
      </c>
      <c r="H335" s="7">
        <v>5.6</v>
      </c>
    </row>
    <row r="336" spans="2:13" ht="15.75" customHeight="1" x14ac:dyDescent="0.2">
      <c r="B336" s="3"/>
      <c r="C336" s="210">
        <v>43634</v>
      </c>
      <c r="D336" s="12">
        <v>0.32291666666666669</v>
      </c>
      <c r="E336" s="1">
        <v>34</v>
      </c>
      <c r="F336" s="24">
        <v>8.94</v>
      </c>
      <c r="H336" s="7">
        <v>5.2</v>
      </c>
      <c r="M336" s="1"/>
    </row>
    <row r="337" spans="2:12" ht="15.75" customHeight="1" x14ac:dyDescent="0.2">
      <c r="B337" s="3"/>
      <c r="C337" s="210">
        <v>43634</v>
      </c>
      <c r="D337" s="12">
        <v>0.32291666666666669</v>
      </c>
      <c r="E337" s="1">
        <v>36</v>
      </c>
      <c r="F337" s="24">
        <v>8.8800000000000008</v>
      </c>
      <c r="H337" s="7">
        <v>5.2</v>
      </c>
    </row>
    <row r="338" spans="2:12" ht="15.75" customHeight="1" x14ac:dyDescent="0.2">
      <c r="B338" s="3"/>
      <c r="C338" s="210">
        <v>43634</v>
      </c>
      <c r="D338" s="12">
        <v>0.32291666666666669</v>
      </c>
      <c r="E338" s="1">
        <v>38</v>
      </c>
      <c r="F338" s="24">
        <v>7.87</v>
      </c>
      <c r="G338" s="206">
        <v>61</v>
      </c>
      <c r="H338" s="7">
        <v>5.2</v>
      </c>
    </row>
    <row r="339" spans="2:12" ht="15.75" customHeight="1" x14ac:dyDescent="0.2">
      <c r="B339" s="3"/>
      <c r="C339" s="210"/>
      <c r="D339" s="12"/>
      <c r="F339" s="24"/>
      <c r="H339" s="7"/>
    </row>
    <row r="340" spans="2:12" ht="15.75" customHeight="1" x14ac:dyDescent="0.2">
      <c r="B340" s="3"/>
      <c r="C340" s="210"/>
      <c r="D340" s="12"/>
      <c r="F340" s="24"/>
      <c r="H340" s="7"/>
    </row>
    <row r="341" spans="2:12" ht="15.75" customHeight="1" x14ac:dyDescent="0.2">
      <c r="B341" s="3"/>
      <c r="C341" s="210">
        <v>43629</v>
      </c>
      <c r="D341" s="12">
        <v>0.375</v>
      </c>
      <c r="F341" s="24"/>
      <c r="H341" s="7"/>
      <c r="J341" s="1">
        <v>7</v>
      </c>
      <c r="K341" s="1">
        <v>8</v>
      </c>
      <c r="L341" s="10"/>
    </row>
    <row r="342" spans="2:12" ht="15.75" customHeight="1" x14ac:dyDescent="0.2">
      <c r="B342" s="3"/>
      <c r="C342" s="210">
        <v>43629</v>
      </c>
      <c r="D342" s="12">
        <v>0.38541666666666669</v>
      </c>
      <c r="E342" s="1">
        <v>0.1</v>
      </c>
      <c r="H342" s="24">
        <v>14.2</v>
      </c>
      <c r="L342" s="10"/>
    </row>
    <row r="343" spans="2:12" ht="15.75" customHeight="1" x14ac:dyDescent="0.2">
      <c r="B343" s="3"/>
      <c r="C343" s="210">
        <v>43629</v>
      </c>
      <c r="D343" s="12">
        <v>0.38541666666666669</v>
      </c>
      <c r="E343" s="1">
        <v>1</v>
      </c>
      <c r="H343" s="24">
        <v>14</v>
      </c>
      <c r="L343" s="10"/>
    </row>
    <row r="344" spans="2:12" ht="15.75" customHeight="1" x14ac:dyDescent="0.2">
      <c r="B344" s="3"/>
      <c r="C344" s="210">
        <v>43629</v>
      </c>
      <c r="D344" s="12">
        <v>0.38541666666666669</v>
      </c>
      <c r="E344" s="1">
        <v>2</v>
      </c>
      <c r="H344" s="24">
        <v>13.8</v>
      </c>
      <c r="L344" s="10"/>
    </row>
    <row r="345" spans="2:12" ht="15.75" customHeight="1" x14ac:dyDescent="0.2">
      <c r="B345" s="3"/>
      <c r="C345" s="210">
        <v>43629</v>
      </c>
      <c r="D345" s="12">
        <v>0.38541666666666669</v>
      </c>
      <c r="E345" s="1">
        <v>3</v>
      </c>
      <c r="H345" s="24">
        <v>13.8</v>
      </c>
      <c r="L345" s="10"/>
    </row>
    <row r="346" spans="2:12" ht="15.75" customHeight="1" x14ac:dyDescent="0.2">
      <c r="B346" s="3"/>
      <c r="C346" s="210">
        <v>43629</v>
      </c>
      <c r="D346" s="12">
        <v>0.38541666666666669</v>
      </c>
      <c r="E346" s="1">
        <v>4</v>
      </c>
      <c r="H346" s="24">
        <v>13.3</v>
      </c>
      <c r="L346" s="10"/>
    </row>
    <row r="347" spans="2:12" ht="15.75" customHeight="1" x14ac:dyDescent="0.2">
      <c r="B347" s="3"/>
      <c r="C347" s="210">
        <v>43629</v>
      </c>
      <c r="D347" s="12">
        <v>0.38541666666666669</v>
      </c>
      <c r="E347" s="1">
        <v>5</v>
      </c>
      <c r="H347" s="24">
        <v>13.1</v>
      </c>
      <c r="L347" s="10"/>
    </row>
    <row r="348" spans="2:12" ht="15.75" customHeight="1" x14ac:dyDescent="0.2">
      <c r="B348" s="3"/>
      <c r="C348" s="210">
        <v>43629</v>
      </c>
      <c r="D348" s="12">
        <v>0.38541666666666669</v>
      </c>
      <c r="E348" s="1">
        <v>6</v>
      </c>
      <c r="H348" s="24">
        <v>12.9</v>
      </c>
      <c r="L348" s="10"/>
    </row>
    <row r="349" spans="2:12" ht="15.75" customHeight="1" x14ac:dyDescent="0.2">
      <c r="B349" s="3"/>
      <c r="C349" s="210">
        <v>43629</v>
      </c>
      <c r="D349" s="12">
        <v>0.38541666666666669</v>
      </c>
      <c r="E349" s="1">
        <v>7</v>
      </c>
      <c r="H349" s="24">
        <v>12.8</v>
      </c>
      <c r="L349" s="10"/>
    </row>
    <row r="350" spans="2:12" ht="15.75" customHeight="1" x14ac:dyDescent="0.2">
      <c r="B350" s="3"/>
      <c r="C350" s="210">
        <v>43629</v>
      </c>
      <c r="D350" s="12">
        <v>0.38541666666666669</v>
      </c>
      <c r="E350" s="1">
        <v>8</v>
      </c>
      <c r="H350" s="24">
        <v>12.5</v>
      </c>
      <c r="L350" s="10"/>
    </row>
    <row r="351" spans="2:12" ht="15.75" customHeight="1" x14ac:dyDescent="0.2">
      <c r="B351" s="3"/>
      <c r="C351" s="210">
        <v>43629</v>
      </c>
      <c r="D351" s="12">
        <v>0.38541666666666669</v>
      </c>
      <c r="E351" s="1">
        <v>9</v>
      </c>
      <c r="H351" s="24">
        <v>11.9</v>
      </c>
      <c r="L351" s="10"/>
    </row>
    <row r="352" spans="2:12" ht="15.75" customHeight="1" x14ac:dyDescent="0.2">
      <c r="B352" s="3"/>
      <c r="C352" s="210">
        <v>43629</v>
      </c>
      <c r="D352" s="12">
        <v>0.38541666666666669</v>
      </c>
      <c r="E352" s="1">
        <v>10</v>
      </c>
      <c r="H352" s="24">
        <v>11.7</v>
      </c>
      <c r="L352" s="10"/>
    </row>
    <row r="353" spans="2:14" ht="15.75" customHeight="1" x14ac:dyDescent="0.2">
      <c r="B353" s="3"/>
      <c r="C353" s="210">
        <v>43629</v>
      </c>
      <c r="D353" s="12">
        <v>0.38541666666666669</v>
      </c>
      <c r="E353" s="1">
        <v>11</v>
      </c>
      <c r="H353" s="24">
        <v>11.6</v>
      </c>
      <c r="L353" s="10"/>
    </row>
    <row r="354" spans="2:14" ht="15.75" customHeight="1" x14ac:dyDescent="0.2">
      <c r="B354" s="3"/>
      <c r="C354" s="210">
        <v>43629</v>
      </c>
      <c r="D354" s="12">
        <v>0.38541666666666669</v>
      </c>
      <c r="E354" s="1">
        <v>12</v>
      </c>
      <c r="H354" s="24">
        <v>11.4</v>
      </c>
      <c r="L354" s="10"/>
    </row>
    <row r="355" spans="2:14" ht="15.75" customHeight="1" x14ac:dyDescent="0.2">
      <c r="B355" s="3"/>
      <c r="C355" s="210">
        <v>43629</v>
      </c>
      <c r="D355" s="12">
        <v>0.38541666666666669</v>
      </c>
      <c r="E355" s="1">
        <v>13</v>
      </c>
      <c r="H355" s="24">
        <v>11.1</v>
      </c>
      <c r="L355" s="10"/>
    </row>
    <row r="356" spans="2:14" ht="15.75" customHeight="1" x14ac:dyDescent="0.2">
      <c r="B356" s="3"/>
      <c r="C356" s="210">
        <v>43629</v>
      </c>
      <c r="D356" s="12">
        <v>0.38541666666666669</v>
      </c>
      <c r="E356" s="1">
        <v>14</v>
      </c>
      <c r="H356" s="24">
        <v>10.4</v>
      </c>
      <c r="L356" s="10"/>
    </row>
    <row r="357" spans="2:14" ht="15.75" customHeight="1" x14ac:dyDescent="0.2">
      <c r="B357" s="3"/>
      <c r="C357" s="210">
        <v>43629</v>
      </c>
      <c r="D357" s="12">
        <v>0.38541666666666669</v>
      </c>
      <c r="E357" s="1">
        <v>15</v>
      </c>
      <c r="H357" s="24">
        <v>7.8</v>
      </c>
      <c r="L357" s="10"/>
    </row>
    <row r="358" spans="2:14" ht="15.75" customHeight="1" x14ac:dyDescent="0.2">
      <c r="B358" s="3"/>
      <c r="C358" s="210">
        <v>43629</v>
      </c>
      <c r="D358" s="12">
        <v>0.38541666666666669</v>
      </c>
      <c r="E358" s="1">
        <v>17</v>
      </c>
      <c r="H358" s="24">
        <v>6</v>
      </c>
      <c r="L358" s="10"/>
    </row>
    <row r="359" spans="2:14" ht="15.75" customHeight="1" x14ac:dyDescent="0.2">
      <c r="B359" s="3"/>
      <c r="C359" s="210">
        <v>43629</v>
      </c>
      <c r="D359" s="12">
        <v>0.38541666666666669</v>
      </c>
      <c r="E359" s="1">
        <v>19</v>
      </c>
      <c r="H359" s="24">
        <v>5.5</v>
      </c>
      <c r="L359" s="10"/>
    </row>
    <row r="360" spans="2:14" ht="15.75" customHeight="1" x14ac:dyDescent="0.2">
      <c r="B360" s="3"/>
      <c r="C360" s="210">
        <v>43629</v>
      </c>
      <c r="D360" s="12">
        <v>0.38541666666666669</v>
      </c>
      <c r="E360" s="1">
        <v>21</v>
      </c>
      <c r="H360" s="24">
        <v>5.4</v>
      </c>
      <c r="L360" s="10"/>
    </row>
    <row r="361" spans="2:14" ht="15.75" customHeight="1" x14ac:dyDescent="0.2">
      <c r="B361" s="3"/>
      <c r="C361" s="210">
        <v>43629</v>
      </c>
      <c r="D361" s="12">
        <v>0.38541666666666669</v>
      </c>
      <c r="E361" s="1">
        <v>23</v>
      </c>
      <c r="H361" s="24">
        <v>5.3</v>
      </c>
      <c r="L361" s="10"/>
    </row>
    <row r="362" spans="2:14" ht="15.75" customHeight="1" x14ac:dyDescent="0.2">
      <c r="B362" s="3"/>
      <c r="C362" s="210">
        <v>43629</v>
      </c>
      <c r="D362" s="12">
        <v>0.38541666666666669</v>
      </c>
      <c r="E362" s="1">
        <v>25</v>
      </c>
      <c r="H362" s="24">
        <v>5.3</v>
      </c>
      <c r="L362" s="10"/>
    </row>
    <row r="363" spans="2:14" ht="15.75" customHeight="1" x14ac:dyDescent="0.2">
      <c r="B363" s="3"/>
      <c r="C363" s="210">
        <v>43629</v>
      </c>
      <c r="D363" s="12">
        <v>0.38541666666666669</v>
      </c>
      <c r="E363" s="1">
        <v>27</v>
      </c>
      <c r="H363" s="24">
        <v>5.3</v>
      </c>
      <c r="L363" s="10"/>
    </row>
    <row r="364" spans="2:14" ht="15.75" customHeight="1" x14ac:dyDescent="0.2">
      <c r="B364" s="3"/>
      <c r="C364" s="210">
        <v>43629</v>
      </c>
      <c r="D364" s="12">
        <v>0.38541666666666669</v>
      </c>
      <c r="E364" s="1">
        <v>29</v>
      </c>
      <c r="H364" s="24">
        <v>5.2</v>
      </c>
      <c r="L364" s="10"/>
      <c r="M364" s="1"/>
      <c r="N364" s="1"/>
    </row>
    <row r="365" spans="2:14" ht="15.75" customHeight="1" x14ac:dyDescent="0.2">
      <c r="B365" s="3"/>
      <c r="C365" s="210">
        <v>43629</v>
      </c>
      <c r="D365" s="12">
        <v>0.38541666666666669</v>
      </c>
      <c r="E365" s="1">
        <v>31</v>
      </c>
      <c r="H365" s="24">
        <v>5.2</v>
      </c>
      <c r="L365" s="10"/>
    </row>
    <row r="366" spans="2:14" ht="15.75" customHeight="1" x14ac:dyDescent="0.2">
      <c r="B366" s="3"/>
      <c r="C366" s="210">
        <v>43629</v>
      </c>
      <c r="D366" s="12">
        <v>0.38541666666666669</v>
      </c>
      <c r="E366" s="1">
        <v>33</v>
      </c>
      <c r="H366" s="24">
        <v>5.2</v>
      </c>
      <c r="L366" s="10"/>
    </row>
    <row r="367" spans="2:14" ht="15.75" customHeight="1" x14ac:dyDescent="0.2">
      <c r="B367" s="3"/>
      <c r="C367" s="210">
        <v>43629</v>
      </c>
      <c r="D367" s="12">
        <v>0.38541666666666669</v>
      </c>
      <c r="E367" s="1">
        <v>35</v>
      </c>
      <c r="H367" s="24">
        <v>5</v>
      </c>
      <c r="L367" s="10"/>
    </row>
    <row r="368" spans="2:14" ht="15.75" customHeight="1" x14ac:dyDescent="0.2">
      <c r="B368" s="3"/>
      <c r="C368" s="210"/>
      <c r="D368" s="12"/>
      <c r="F368" s="24"/>
      <c r="H368" s="7"/>
      <c r="L368" s="10"/>
    </row>
    <row r="369" spans="2:12" ht="15.75" customHeight="1" x14ac:dyDescent="0.2">
      <c r="B369" s="3"/>
      <c r="C369" s="210">
        <v>43290</v>
      </c>
      <c r="D369" s="12">
        <v>0.33680555555555558</v>
      </c>
      <c r="F369" s="24"/>
      <c r="H369" s="7"/>
      <c r="J369" s="1">
        <v>8</v>
      </c>
      <c r="K369" s="1">
        <v>9</v>
      </c>
      <c r="L369" s="10"/>
    </row>
    <row r="370" spans="2:12" ht="15.75" customHeight="1" x14ac:dyDescent="0.2">
      <c r="B370" s="3"/>
      <c r="C370" s="210">
        <v>43290</v>
      </c>
      <c r="D370" s="12">
        <v>0.34375</v>
      </c>
      <c r="E370" s="1">
        <v>0.1</v>
      </c>
      <c r="H370" s="24">
        <v>18.5</v>
      </c>
      <c r="L370" s="10"/>
    </row>
    <row r="371" spans="2:12" ht="15.75" customHeight="1" x14ac:dyDescent="0.2">
      <c r="B371" s="3"/>
      <c r="C371" s="210">
        <v>43290</v>
      </c>
      <c r="D371" s="12">
        <v>0.34375</v>
      </c>
      <c r="E371" s="1">
        <v>1</v>
      </c>
      <c r="H371" s="24">
        <v>18.399999999999999</v>
      </c>
      <c r="L371" s="10"/>
    </row>
    <row r="372" spans="2:12" ht="15.75" customHeight="1" x14ac:dyDescent="0.2">
      <c r="B372" s="3"/>
      <c r="C372" s="210">
        <v>43290</v>
      </c>
      <c r="D372" s="12">
        <v>0.34375</v>
      </c>
      <c r="E372" s="1">
        <v>2</v>
      </c>
      <c r="H372" s="24">
        <v>18.5</v>
      </c>
      <c r="L372" s="10"/>
    </row>
    <row r="373" spans="2:12" ht="15.75" customHeight="1" x14ac:dyDescent="0.2">
      <c r="B373" s="3"/>
      <c r="C373" s="210">
        <v>43290</v>
      </c>
      <c r="D373" s="12">
        <v>0.34375</v>
      </c>
      <c r="E373" s="1">
        <v>3</v>
      </c>
      <c r="H373" s="24">
        <v>18.3</v>
      </c>
      <c r="L373" s="10"/>
    </row>
    <row r="374" spans="2:12" ht="15.75" customHeight="1" x14ac:dyDescent="0.2">
      <c r="B374" s="3"/>
      <c r="C374" s="210">
        <v>43290</v>
      </c>
      <c r="D374" s="12">
        <v>0.34375</v>
      </c>
      <c r="E374" s="1">
        <v>4</v>
      </c>
      <c r="H374" s="24">
        <v>18.2</v>
      </c>
      <c r="L374" s="10"/>
    </row>
    <row r="375" spans="2:12" ht="15.75" customHeight="1" x14ac:dyDescent="0.2">
      <c r="B375" s="3"/>
      <c r="C375" s="210">
        <v>43290</v>
      </c>
      <c r="D375" s="12">
        <v>0.34375</v>
      </c>
      <c r="E375" s="1">
        <v>5</v>
      </c>
      <c r="H375" s="24">
        <v>18</v>
      </c>
      <c r="L375" s="10"/>
    </row>
    <row r="376" spans="2:12" ht="15.75" customHeight="1" x14ac:dyDescent="0.2">
      <c r="B376" s="3"/>
      <c r="C376" s="210">
        <v>43290</v>
      </c>
      <c r="D376" s="12">
        <v>0.34375</v>
      </c>
      <c r="E376" s="1">
        <v>6</v>
      </c>
      <c r="H376" s="24">
        <v>17.899999999999999</v>
      </c>
      <c r="L376" s="10"/>
    </row>
    <row r="377" spans="2:12" ht="15.75" customHeight="1" x14ac:dyDescent="0.2">
      <c r="B377" s="3"/>
      <c r="C377" s="210">
        <v>43290</v>
      </c>
      <c r="D377" s="12">
        <v>0.34375</v>
      </c>
      <c r="E377" s="1">
        <v>7</v>
      </c>
      <c r="H377" s="24">
        <v>17.600000000000001</v>
      </c>
      <c r="L377" s="10"/>
    </row>
    <row r="378" spans="2:12" ht="15.75" customHeight="1" x14ac:dyDescent="0.2">
      <c r="B378" s="3"/>
      <c r="C378" s="210">
        <v>43290</v>
      </c>
      <c r="D378" s="12">
        <v>0.34375</v>
      </c>
      <c r="E378" s="1">
        <v>8</v>
      </c>
      <c r="H378" s="24">
        <v>17.399999999999999</v>
      </c>
      <c r="L378" s="10"/>
    </row>
    <row r="379" spans="2:12" ht="15.75" customHeight="1" x14ac:dyDescent="0.2">
      <c r="B379" s="3"/>
      <c r="C379" s="210">
        <v>43290</v>
      </c>
      <c r="D379" s="12">
        <v>0.34375</v>
      </c>
      <c r="E379" s="1">
        <v>9</v>
      </c>
      <c r="H379" s="24">
        <v>17.100000000000001</v>
      </c>
      <c r="L379" s="10"/>
    </row>
    <row r="380" spans="2:12" ht="15.75" customHeight="1" x14ac:dyDescent="0.2">
      <c r="B380" s="3"/>
      <c r="C380" s="210">
        <v>43290</v>
      </c>
      <c r="D380" s="12">
        <v>0.34375</v>
      </c>
      <c r="E380" s="1">
        <v>10</v>
      </c>
      <c r="H380" s="24">
        <v>14.9</v>
      </c>
      <c r="L380" s="10"/>
    </row>
    <row r="381" spans="2:12" ht="15.75" customHeight="1" x14ac:dyDescent="0.2">
      <c r="B381" s="3"/>
      <c r="C381" s="210">
        <v>43290</v>
      </c>
      <c r="D381" s="12">
        <v>0.34375</v>
      </c>
      <c r="E381" s="1">
        <v>12</v>
      </c>
      <c r="H381" s="24">
        <v>10.7</v>
      </c>
      <c r="L381" s="10"/>
    </row>
    <row r="382" spans="2:12" ht="15.75" customHeight="1" x14ac:dyDescent="0.2">
      <c r="B382" s="3"/>
      <c r="C382" s="210">
        <v>43290</v>
      </c>
      <c r="D382" s="12">
        <v>0.34375</v>
      </c>
      <c r="E382" s="1">
        <v>14</v>
      </c>
      <c r="H382" s="24">
        <v>7.8</v>
      </c>
      <c r="L382" s="10"/>
    </row>
    <row r="383" spans="2:12" ht="15.75" customHeight="1" x14ac:dyDescent="0.2">
      <c r="B383" s="3"/>
      <c r="C383" s="210">
        <v>43290</v>
      </c>
      <c r="D383" s="12">
        <v>0.34375</v>
      </c>
      <c r="E383" s="1">
        <v>16</v>
      </c>
      <c r="H383" s="24">
        <v>7.1</v>
      </c>
      <c r="L383" s="10"/>
    </row>
    <row r="384" spans="2:12" ht="15.75" customHeight="1" x14ac:dyDescent="0.2">
      <c r="B384" s="3"/>
      <c r="C384" s="210">
        <v>43290</v>
      </c>
      <c r="D384" s="12">
        <v>0.34375</v>
      </c>
      <c r="E384" s="1">
        <v>18</v>
      </c>
      <c r="H384" s="24">
        <v>6.5</v>
      </c>
      <c r="L384" s="10"/>
    </row>
    <row r="385" spans="2:14" ht="15.75" customHeight="1" x14ac:dyDescent="0.2">
      <c r="B385" s="3"/>
      <c r="C385" s="210">
        <v>43290</v>
      </c>
      <c r="D385" s="12">
        <v>0.34375</v>
      </c>
      <c r="E385" s="1">
        <v>20</v>
      </c>
      <c r="H385" s="24">
        <v>6.2</v>
      </c>
      <c r="L385" s="10"/>
    </row>
    <row r="386" spans="2:14" ht="15.75" customHeight="1" x14ac:dyDescent="0.2">
      <c r="B386" s="3"/>
      <c r="C386" s="210">
        <v>43290</v>
      </c>
      <c r="D386" s="12">
        <v>0.34375</v>
      </c>
      <c r="E386" s="1">
        <v>22</v>
      </c>
      <c r="H386" s="24">
        <v>5.9</v>
      </c>
      <c r="L386" s="10"/>
    </row>
    <row r="387" spans="2:14" ht="15.75" customHeight="1" x14ac:dyDescent="0.2">
      <c r="B387" s="3"/>
      <c r="C387" s="210">
        <v>43290</v>
      </c>
      <c r="D387" s="12">
        <v>0.34375</v>
      </c>
      <c r="E387" s="1">
        <v>24</v>
      </c>
      <c r="H387" s="24">
        <v>5.8</v>
      </c>
      <c r="L387" s="10"/>
    </row>
    <row r="388" spans="2:14" ht="15.75" customHeight="1" x14ac:dyDescent="0.2">
      <c r="B388" s="3"/>
      <c r="C388" s="210">
        <v>43290</v>
      </c>
      <c r="D388" s="12">
        <v>0.34375</v>
      </c>
      <c r="E388" s="1">
        <v>26</v>
      </c>
      <c r="H388" s="24">
        <v>5.8</v>
      </c>
      <c r="L388" s="10"/>
    </row>
    <row r="389" spans="2:14" ht="15.75" customHeight="1" x14ac:dyDescent="0.2">
      <c r="B389" s="3"/>
      <c r="C389" s="210">
        <v>43290</v>
      </c>
      <c r="D389" s="12">
        <v>0.34375</v>
      </c>
      <c r="E389" s="1">
        <v>28</v>
      </c>
      <c r="H389" s="24">
        <v>5.7</v>
      </c>
      <c r="L389" s="10"/>
    </row>
    <row r="390" spans="2:14" ht="15.75" customHeight="1" x14ac:dyDescent="0.2">
      <c r="B390" s="3"/>
      <c r="C390" s="210">
        <v>43290</v>
      </c>
      <c r="D390" s="12">
        <v>0.34375</v>
      </c>
      <c r="E390" s="1">
        <v>30</v>
      </c>
      <c r="H390" s="24">
        <v>5.7</v>
      </c>
      <c r="L390" s="10"/>
      <c r="M390" s="1"/>
      <c r="N390" s="1"/>
    </row>
    <row r="391" spans="2:14" ht="15.75" customHeight="1" x14ac:dyDescent="0.2">
      <c r="B391" s="3"/>
      <c r="C391" s="210">
        <v>43290</v>
      </c>
      <c r="D391" s="12">
        <v>0.34375</v>
      </c>
      <c r="E391" s="1">
        <v>32</v>
      </c>
      <c r="H391" s="24">
        <v>5.6</v>
      </c>
      <c r="L391" s="10"/>
    </row>
    <row r="392" spans="2:14" ht="15.75" customHeight="1" x14ac:dyDescent="0.2">
      <c r="B392" s="3"/>
      <c r="C392" s="210">
        <v>43290</v>
      </c>
      <c r="D392" s="12">
        <v>0.34375</v>
      </c>
      <c r="E392" s="1">
        <v>34</v>
      </c>
      <c r="H392" s="24">
        <v>5</v>
      </c>
      <c r="L392" s="10"/>
    </row>
    <row r="393" spans="2:14" ht="15.75" customHeight="1" x14ac:dyDescent="0.2">
      <c r="B393" s="3"/>
      <c r="C393" s="210">
        <v>43290</v>
      </c>
      <c r="D393" s="12">
        <v>0.34375</v>
      </c>
      <c r="E393" s="1">
        <v>36</v>
      </c>
      <c r="H393" s="24">
        <v>4.9000000000000004</v>
      </c>
      <c r="L393" s="10"/>
    </row>
    <row r="394" spans="2:14" ht="15.75" customHeight="1" x14ac:dyDescent="0.2">
      <c r="B394" s="3"/>
      <c r="C394" s="211"/>
      <c r="D394" s="12"/>
      <c r="F394" s="24"/>
      <c r="H394" s="7"/>
      <c r="L394" s="10"/>
    </row>
    <row r="395" spans="2:14" ht="15.75" customHeight="1" x14ac:dyDescent="0.2">
      <c r="B395" s="3"/>
      <c r="C395" s="210">
        <v>43318</v>
      </c>
      <c r="D395" s="12">
        <v>0.33680555555555558</v>
      </c>
      <c r="F395" s="24"/>
      <c r="H395" s="7"/>
      <c r="J395" s="1">
        <v>12</v>
      </c>
      <c r="K395" s="1">
        <v>14</v>
      </c>
      <c r="L395" s="10"/>
    </row>
    <row r="396" spans="2:14" ht="15.75" customHeight="1" x14ac:dyDescent="0.2">
      <c r="B396" s="3"/>
      <c r="C396" s="210">
        <v>43318</v>
      </c>
      <c r="D396" s="12">
        <v>0.34375</v>
      </c>
      <c r="E396" s="1">
        <v>0.1</v>
      </c>
      <c r="H396" s="24">
        <v>21.9</v>
      </c>
      <c r="L396" s="10"/>
    </row>
    <row r="397" spans="2:14" ht="15.75" customHeight="1" x14ac:dyDescent="0.2">
      <c r="B397" s="3"/>
      <c r="C397" s="210">
        <v>43318</v>
      </c>
      <c r="D397" s="12">
        <v>0.34375</v>
      </c>
      <c r="E397" s="1">
        <v>1</v>
      </c>
      <c r="H397" s="24">
        <v>22</v>
      </c>
      <c r="L397" s="10"/>
    </row>
    <row r="398" spans="2:14" ht="15.75" customHeight="1" x14ac:dyDescent="0.2">
      <c r="B398" s="3"/>
      <c r="C398" s="210">
        <v>43318</v>
      </c>
      <c r="D398" s="12">
        <v>0.34375</v>
      </c>
      <c r="E398" s="1">
        <v>2</v>
      </c>
      <c r="H398" s="24">
        <v>22</v>
      </c>
      <c r="L398" s="10"/>
    </row>
    <row r="399" spans="2:14" ht="15.75" customHeight="1" x14ac:dyDescent="0.2">
      <c r="B399" s="3"/>
      <c r="C399" s="210">
        <v>43318</v>
      </c>
      <c r="D399" s="12">
        <v>0.34375</v>
      </c>
      <c r="E399" s="1">
        <v>3</v>
      </c>
      <c r="H399" s="24">
        <v>22.1</v>
      </c>
      <c r="L399" s="10"/>
    </row>
    <row r="400" spans="2:14" ht="15.75" customHeight="1" x14ac:dyDescent="0.2">
      <c r="B400" s="3"/>
      <c r="C400" s="210">
        <v>43318</v>
      </c>
      <c r="D400" s="12">
        <v>0.34375</v>
      </c>
      <c r="E400" s="1">
        <v>4</v>
      </c>
      <c r="H400" s="24">
        <v>22.1</v>
      </c>
      <c r="L400" s="10"/>
    </row>
    <row r="401" spans="2:14" ht="15.75" customHeight="1" x14ac:dyDescent="0.2">
      <c r="B401" s="3"/>
      <c r="C401" s="210">
        <v>43318</v>
      </c>
      <c r="D401" s="12">
        <v>0.34375</v>
      </c>
      <c r="E401" s="1">
        <v>5</v>
      </c>
      <c r="H401" s="24">
        <v>22</v>
      </c>
      <c r="L401" s="10"/>
    </row>
    <row r="402" spans="2:14" ht="15.75" customHeight="1" x14ac:dyDescent="0.2">
      <c r="B402" s="3"/>
      <c r="C402" s="210">
        <v>43318</v>
      </c>
      <c r="D402" s="12">
        <v>0.34375</v>
      </c>
      <c r="E402" s="1">
        <v>6</v>
      </c>
      <c r="H402" s="24">
        <v>21.7</v>
      </c>
      <c r="L402" s="10"/>
    </row>
    <row r="403" spans="2:14" ht="15.75" customHeight="1" x14ac:dyDescent="0.2">
      <c r="B403" s="3"/>
      <c r="C403" s="210">
        <v>43318</v>
      </c>
      <c r="D403" s="12">
        <v>0.34375</v>
      </c>
      <c r="E403" s="1">
        <v>7</v>
      </c>
      <c r="H403" s="24">
        <v>21.4</v>
      </c>
      <c r="L403" s="10"/>
    </row>
    <row r="404" spans="2:14" ht="15.75" customHeight="1" x14ac:dyDescent="0.2">
      <c r="B404" s="3"/>
      <c r="C404" s="210">
        <v>43318</v>
      </c>
      <c r="D404" s="12">
        <v>0.34375</v>
      </c>
      <c r="E404" s="1">
        <v>8</v>
      </c>
      <c r="H404" s="24">
        <v>20.8</v>
      </c>
      <c r="L404" s="10"/>
    </row>
    <row r="405" spans="2:14" ht="15.75" customHeight="1" x14ac:dyDescent="0.2">
      <c r="B405" s="3"/>
      <c r="C405" s="210">
        <v>43318</v>
      </c>
      <c r="D405" s="12">
        <v>0.34375</v>
      </c>
      <c r="E405" s="1">
        <v>9</v>
      </c>
      <c r="H405" s="24">
        <v>19.3</v>
      </c>
      <c r="L405" s="10"/>
    </row>
    <row r="406" spans="2:14" ht="15.75" customHeight="1" x14ac:dyDescent="0.2">
      <c r="B406" s="3"/>
      <c r="C406" s="210">
        <v>43318</v>
      </c>
      <c r="D406" s="12">
        <v>0.34375</v>
      </c>
      <c r="E406" s="1">
        <v>10</v>
      </c>
      <c r="H406" s="24">
        <v>14</v>
      </c>
      <c r="L406" s="10"/>
    </row>
    <row r="407" spans="2:14" ht="15.75" customHeight="1" x14ac:dyDescent="0.2">
      <c r="B407" s="3"/>
      <c r="C407" s="210">
        <v>43318</v>
      </c>
      <c r="D407" s="12">
        <v>0.34375</v>
      </c>
      <c r="E407" s="1">
        <v>12</v>
      </c>
      <c r="H407" s="24">
        <v>8.9</v>
      </c>
      <c r="L407" s="10"/>
    </row>
    <row r="408" spans="2:14" ht="15.75" customHeight="1" x14ac:dyDescent="0.2">
      <c r="B408" s="3"/>
      <c r="C408" s="210">
        <v>43318</v>
      </c>
      <c r="D408" s="12">
        <v>0.34375</v>
      </c>
      <c r="E408" s="1">
        <v>14</v>
      </c>
      <c r="H408" s="24">
        <v>7.7</v>
      </c>
      <c r="L408" s="10"/>
    </row>
    <row r="409" spans="2:14" ht="15.75" customHeight="1" x14ac:dyDescent="0.2">
      <c r="B409" s="3"/>
      <c r="C409" s="210">
        <v>43318</v>
      </c>
      <c r="D409" s="12">
        <v>0.34375</v>
      </c>
      <c r="E409" s="1">
        <v>16</v>
      </c>
      <c r="H409" s="24">
        <v>7.1</v>
      </c>
      <c r="L409" s="10"/>
    </row>
    <row r="410" spans="2:14" ht="15.75" customHeight="1" x14ac:dyDescent="0.2">
      <c r="B410" s="3"/>
      <c r="C410" s="210">
        <v>43318</v>
      </c>
      <c r="D410" s="12">
        <v>0.34375</v>
      </c>
      <c r="E410" s="1">
        <v>18</v>
      </c>
      <c r="H410" s="24">
        <v>6.9</v>
      </c>
      <c r="L410" s="10"/>
    </row>
    <row r="411" spans="2:14" ht="15.75" customHeight="1" x14ac:dyDescent="0.2">
      <c r="B411" s="3"/>
      <c r="C411" s="210">
        <v>43318</v>
      </c>
      <c r="D411" s="12">
        <v>0.34375</v>
      </c>
      <c r="E411" s="1">
        <v>20</v>
      </c>
      <c r="H411" s="24">
        <v>6.4</v>
      </c>
      <c r="L411" s="10"/>
    </row>
    <row r="412" spans="2:14" ht="15.75" customHeight="1" x14ac:dyDescent="0.2">
      <c r="B412" s="3"/>
      <c r="C412" s="210">
        <v>43318</v>
      </c>
      <c r="D412" s="12">
        <v>0.34375</v>
      </c>
      <c r="E412" s="1">
        <v>22</v>
      </c>
      <c r="H412" s="24">
        <v>6.1</v>
      </c>
      <c r="L412" s="10"/>
    </row>
    <row r="413" spans="2:14" ht="15.75" customHeight="1" x14ac:dyDescent="0.2">
      <c r="B413" s="3"/>
      <c r="C413" s="210">
        <v>43318</v>
      </c>
      <c r="D413" s="12">
        <v>0.34375</v>
      </c>
      <c r="E413" s="1">
        <v>24</v>
      </c>
      <c r="H413" s="24">
        <v>6</v>
      </c>
      <c r="L413" s="10"/>
    </row>
    <row r="414" spans="2:14" ht="15.75" customHeight="1" x14ac:dyDescent="0.2">
      <c r="B414" s="3"/>
      <c r="C414" s="210">
        <v>43318</v>
      </c>
      <c r="D414" s="12">
        <v>0.34375</v>
      </c>
      <c r="E414" s="1">
        <v>26</v>
      </c>
      <c r="H414" s="24">
        <v>5.9</v>
      </c>
      <c r="L414" s="10"/>
    </row>
    <row r="415" spans="2:14" ht="15.75" customHeight="1" x14ac:dyDescent="0.2">
      <c r="B415" s="3"/>
      <c r="C415" s="210">
        <v>43318</v>
      </c>
      <c r="D415" s="12">
        <v>0.34375</v>
      </c>
      <c r="E415" s="1">
        <v>28</v>
      </c>
      <c r="H415" s="24">
        <v>5.8</v>
      </c>
      <c r="L415" s="10"/>
    </row>
    <row r="416" spans="2:14" ht="15.75" customHeight="1" x14ac:dyDescent="0.2">
      <c r="B416" s="3"/>
      <c r="C416" s="210">
        <v>43318</v>
      </c>
      <c r="D416" s="12">
        <v>0.34375</v>
      </c>
      <c r="E416" s="1">
        <v>30</v>
      </c>
      <c r="H416" s="24">
        <v>5.7</v>
      </c>
      <c r="L416" s="10"/>
      <c r="M416" s="1"/>
      <c r="N416" s="1"/>
    </row>
    <row r="417" spans="2:12" ht="15.75" customHeight="1" x14ac:dyDescent="0.2">
      <c r="B417" s="3"/>
      <c r="C417" s="210">
        <v>43318</v>
      </c>
      <c r="D417" s="12">
        <v>0.34375</v>
      </c>
      <c r="E417" s="1">
        <v>32</v>
      </c>
      <c r="H417" s="24">
        <v>5.6</v>
      </c>
      <c r="L417" s="10"/>
    </row>
    <row r="418" spans="2:12" ht="15.75" customHeight="1" x14ac:dyDescent="0.2">
      <c r="B418" s="3"/>
      <c r="C418" s="210">
        <v>43318</v>
      </c>
      <c r="D418" s="12">
        <v>0.34375</v>
      </c>
      <c r="E418" s="1">
        <v>34</v>
      </c>
      <c r="H418" s="24">
        <v>5.4</v>
      </c>
      <c r="L418" s="10"/>
    </row>
    <row r="419" spans="2:12" ht="15.75" customHeight="1" x14ac:dyDescent="0.2">
      <c r="B419" s="3"/>
      <c r="C419" s="210">
        <v>43318</v>
      </c>
      <c r="D419" s="12">
        <v>0.34375</v>
      </c>
      <c r="E419" s="1">
        <v>36</v>
      </c>
      <c r="H419" s="24">
        <v>5.4</v>
      </c>
      <c r="L419" s="10"/>
    </row>
    <row r="420" spans="2:12" ht="15.75" customHeight="1" x14ac:dyDescent="0.2">
      <c r="B420" s="3"/>
      <c r="C420" s="211"/>
      <c r="D420" s="12"/>
      <c r="F420" s="24"/>
      <c r="H420" s="7"/>
      <c r="L420" s="10"/>
    </row>
    <row r="421" spans="2:12" ht="15.75" customHeight="1" x14ac:dyDescent="0.2">
      <c r="B421" s="3"/>
      <c r="C421" s="210">
        <v>43318</v>
      </c>
      <c r="D421" s="12"/>
      <c r="F421" s="24"/>
      <c r="H421" s="7"/>
      <c r="J421" s="1">
        <v>11</v>
      </c>
      <c r="K421" s="1">
        <v>13</v>
      </c>
      <c r="L421" s="10"/>
    </row>
    <row r="422" spans="2:12" ht="15.75" customHeight="1" x14ac:dyDescent="0.2">
      <c r="B422" s="3"/>
      <c r="C422" s="210"/>
      <c r="D422" s="12"/>
      <c r="F422" s="24"/>
      <c r="H422" s="7"/>
    </row>
    <row r="423" spans="2:12" ht="15.75" customHeight="1" x14ac:dyDescent="0.2">
      <c r="B423" s="3"/>
      <c r="C423" s="210">
        <v>42877</v>
      </c>
      <c r="D423" s="12">
        <v>0.33333333333333331</v>
      </c>
      <c r="F423" s="24"/>
      <c r="H423" s="7"/>
      <c r="J423">
        <v>7</v>
      </c>
      <c r="K423">
        <v>8</v>
      </c>
    </row>
    <row r="424" spans="2:12" ht="15.75" customHeight="1" x14ac:dyDescent="0.2">
      <c r="B424" s="3"/>
      <c r="C424" s="210">
        <v>42877</v>
      </c>
      <c r="D424" s="12">
        <v>0.34375</v>
      </c>
      <c r="E424">
        <v>0.1</v>
      </c>
      <c r="F424" s="24">
        <v>9.3800000000000008</v>
      </c>
      <c r="G424" s="186">
        <v>88.4</v>
      </c>
      <c r="H424" s="7">
        <v>12.7</v>
      </c>
    </row>
    <row r="425" spans="2:12" ht="15.75" customHeight="1" x14ac:dyDescent="0.2">
      <c r="B425" s="3"/>
      <c r="C425" s="210">
        <v>42877</v>
      </c>
      <c r="D425" s="12">
        <v>0.34375</v>
      </c>
      <c r="E425">
        <v>1</v>
      </c>
      <c r="F425" s="24">
        <v>9.44</v>
      </c>
      <c r="G425" s="186">
        <v>88.8</v>
      </c>
      <c r="H425" s="7">
        <v>12.7</v>
      </c>
    </row>
    <row r="426" spans="2:12" ht="15.75" customHeight="1" x14ac:dyDescent="0.2">
      <c r="B426" s="3"/>
      <c r="C426" s="210">
        <v>42877</v>
      </c>
      <c r="D426" s="12">
        <v>0.34375</v>
      </c>
      <c r="E426">
        <v>2</v>
      </c>
      <c r="F426" s="24">
        <v>9.44</v>
      </c>
      <c r="G426" s="186">
        <v>87.4</v>
      </c>
      <c r="H426" s="7">
        <v>12</v>
      </c>
    </row>
    <row r="427" spans="2:12" ht="15.75" customHeight="1" x14ac:dyDescent="0.2">
      <c r="B427" s="3"/>
      <c r="C427" s="210">
        <v>42877</v>
      </c>
      <c r="D427" s="12">
        <v>0.34375</v>
      </c>
      <c r="E427">
        <v>3</v>
      </c>
      <c r="F427" s="24">
        <v>9.7100000000000009</v>
      </c>
      <c r="G427" s="186">
        <v>87.6</v>
      </c>
      <c r="H427" s="7">
        <v>10.8</v>
      </c>
    </row>
    <row r="428" spans="2:12" ht="15.75" customHeight="1" x14ac:dyDescent="0.2">
      <c r="B428" s="3"/>
      <c r="C428" s="210">
        <v>42877</v>
      </c>
      <c r="D428" s="12">
        <v>0.34375</v>
      </c>
      <c r="E428">
        <v>4</v>
      </c>
      <c r="F428" s="24">
        <v>9.7899999999999991</v>
      </c>
      <c r="G428" s="186">
        <v>86.9</v>
      </c>
      <c r="H428" s="7">
        <v>10.1</v>
      </c>
    </row>
    <row r="429" spans="2:12" ht="15.75" customHeight="1" x14ac:dyDescent="0.2">
      <c r="B429" s="3"/>
      <c r="C429" s="210">
        <v>42877</v>
      </c>
      <c r="D429" s="12">
        <v>0.34375</v>
      </c>
      <c r="E429">
        <v>5</v>
      </c>
      <c r="F429" s="24">
        <v>9.75</v>
      </c>
      <c r="G429" s="186">
        <v>85.7</v>
      </c>
      <c r="H429" s="7">
        <v>9.6999999999999993</v>
      </c>
    </row>
    <row r="430" spans="2:12" ht="15.75" customHeight="1" x14ac:dyDescent="0.2">
      <c r="B430" s="3"/>
      <c r="C430" s="210">
        <v>42877</v>
      </c>
      <c r="D430" s="12">
        <v>0.34375</v>
      </c>
      <c r="E430">
        <v>6</v>
      </c>
      <c r="F430" s="24">
        <v>9.7899999999999991</v>
      </c>
      <c r="G430" s="186">
        <v>85.3</v>
      </c>
      <c r="H430" s="7">
        <v>9.3000000000000007</v>
      </c>
    </row>
    <row r="431" spans="2:12" ht="15.75" customHeight="1" x14ac:dyDescent="0.2">
      <c r="B431" s="3"/>
      <c r="C431" s="210">
        <v>42877</v>
      </c>
      <c r="D431" s="12">
        <v>0.34375</v>
      </c>
      <c r="E431">
        <v>7</v>
      </c>
      <c r="F431" s="24">
        <v>9.7899999999999991</v>
      </c>
      <c r="G431" s="186">
        <v>84.9</v>
      </c>
      <c r="H431" s="7">
        <v>9.1</v>
      </c>
    </row>
    <row r="432" spans="2:12" ht="15.75" customHeight="1" x14ac:dyDescent="0.2">
      <c r="B432" s="3"/>
      <c r="C432" s="210">
        <v>42877</v>
      </c>
      <c r="D432" s="12">
        <v>0.34375</v>
      </c>
      <c r="E432">
        <v>8</v>
      </c>
      <c r="F432" s="24">
        <v>9.77</v>
      </c>
      <c r="G432" s="186">
        <v>83.9</v>
      </c>
      <c r="H432" s="7">
        <v>8.8000000000000007</v>
      </c>
    </row>
    <row r="433" spans="2:8" ht="15.75" customHeight="1" x14ac:dyDescent="0.2">
      <c r="B433" s="3"/>
      <c r="C433" s="210">
        <v>42877</v>
      </c>
      <c r="D433" s="12">
        <v>0.34375</v>
      </c>
      <c r="E433">
        <v>9</v>
      </c>
      <c r="F433" s="24">
        <v>9.77</v>
      </c>
      <c r="G433" s="186">
        <v>83.3</v>
      </c>
      <c r="H433" s="7">
        <v>8.4</v>
      </c>
    </row>
    <row r="434" spans="2:8" ht="15.75" customHeight="1" x14ac:dyDescent="0.2">
      <c r="B434" s="3"/>
      <c r="C434" s="210">
        <v>42877</v>
      </c>
      <c r="D434" s="12">
        <v>0.34375</v>
      </c>
      <c r="E434">
        <v>10</v>
      </c>
      <c r="F434" s="24">
        <v>9.77</v>
      </c>
      <c r="G434" s="186">
        <v>82.6</v>
      </c>
      <c r="H434" s="7">
        <v>8</v>
      </c>
    </row>
    <row r="435" spans="2:8" ht="15.75" customHeight="1" x14ac:dyDescent="0.2">
      <c r="B435" s="3"/>
      <c r="C435" s="210">
        <v>42877</v>
      </c>
      <c r="D435" s="12">
        <v>0.34375</v>
      </c>
      <c r="E435">
        <v>11</v>
      </c>
      <c r="F435" s="24">
        <v>9.7799999999999994</v>
      </c>
      <c r="G435" s="186">
        <v>81.900000000000006</v>
      </c>
      <c r="H435" s="7">
        <v>7.8</v>
      </c>
    </row>
    <row r="436" spans="2:8" ht="15.75" customHeight="1" x14ac:dyDescent="0.2">
      <c r="B436" s="3"/>
      <c r="C436" s="210">
        <v>42877</v>
      </c>
      <c r="D436" s="12">
        <v>0.34375</v>
      </c>
      <c r="E436">
        <v>12</v>
      </c>
      <c r="F436" s="24">
        <v>9.76</v>
      </c>
      <c r="G436" s="186">
        <v>81.599999999999994</v>
      </c>
      <c r="H436" s="7">
        <v>7.6</v>
      </c>
    </row>
    <row r="437" spans="2:8" ht="15.75" customHeight="1" x14ac:dyDescent="0.2">
      <c r="B437" s="3"/>
      <c r="C437" s="210">
        <v>42877</v>
      </c>
      <c r="D437" s="12">
        <v>0.34375</v>
      </c>
      <c r="E437">
        <v>13</v>
      </c>
      <c r="F437" s="24">
        <v>9.74</v>
      </c>
      <c r="G437" s="186">
        <v>81.2</v>
      </c>
      <c r="H437" s="7">
        <v>7.5</v>
      </c>
    </row>
    <row r="438" spans="2:8" ht="15.75" customHeight="1" x14ac:dyDescent="0.2">
      <c r="B438" s="3"/>
      <c r="C438" s="210">
        <v>42877</v>
      </c>
      <c r="D438" s="12">
        <v>0.34375</v>
      </c>
      <c r="E438">
        <v>14</v>
      </c>
      <c r="F438" s="24">
        <v>9.6999999999999993</v>
      </c>
      <c r="G438" s="186">
        <v>80.099999999999994</v>
      </c>
      <c r="H438" s="7">
        <v>7.2</v>
      </c>
    </row>
    <row r="439" spans="2:8" ht="15.75" customHeight="1" x14ac:dyDescent="0.2">
      <c r="B439" s="3"/>
      <c r="C439" s="210">
        <v>42877</v>
      </c>
      <c r="D439" s="12">
        <v>0.34375</v>
      </c>
      <c r="E439">
        <v>15</v>
      </c>
      <c r="F439" s="24">
        <v>9.6999999999999993</v>
      </c>
      <c r="G439" s="186">
        <v>79.400000000000006</v>
      </c>
      <c r="H439" s="7">
        <v>6.8</v>
      </c>
    </row>
    <row r="440" spans="2:8" ht="15.75" customHeight="1" x14ac:dyDescent="0.2">
      <c r="B440" s="3"/>
      <c r="C440" s="210">
        <v>42877</v>
      </c>
      <c r="D440" s="12">
        <v>0.34375</v>
      </c>
      <c r="E440">
        <v>16</v>
      </c>
      <c r="F440" s="24">
        <v>9.67</v>
      </c>
      <c r="G440" s="186">
        <v>78.400000000000006</v>
      </c>
      <c r="H440" s="7">
        <v>6.4</v>
      </c>
    </row>
    <row r="441" spans="2:8" ht="15.75" customHeight="1" x14ac:dyDescent="0.2">
      <c r="B441" s="3"/>
      <c r="C441" s="210">
        <v>42877</v>
      </c>
      <c r="D441" s="12">
        <v>0.34375</v>
      </c>
      <c r="E441">
        <v>17</v>
      </c>
      <c r="F441" s="24">
        <v>9.67</v>
      </c>
      <c r="G441" s="186">
        <v>78.099999999999994</v>
      </c>
      <c r="H441" s="7">
        <v>6.2</v>
      </c>
    </row>
    <row r="442" spans="2:8" ht="15.75" customHeight="1" x14ac:dyDescent="0.2">
      <c r="B442" s="3"/>
      <c r="C442" s="210">
        <v>42877</v>
      </c>
      <c r="D442" s="12">
        <v>0.34375</v>
      </c>
      <c r="E442">
        <v>18</v>
      </c>
      <c r="F442" s="24">
        <v>9.6300000000000008</v>
      </c>
      <c r="G442" s="186">
        <v>77.3</v>
      </c>
      <c r="H442" s="7">
        <v>6.1</v>
      </c>
    </row>
    <row r="443" spans="2:8" ht="15.75" customHeight="1" x14ac:dyDescent="0.2">
      <c r="B443" s="3"/>
      <c r="C443" s="210">
        <v>42877</v>
      </c>
      <c r="D443" s="12">
        <v>0.34375</v>
      </c>
      <c r="E443">
        <v>19</v>
      </c>
      <c r="F443" s="24">
        <v>9.58</v>
      </c>
      <c r="G443" s="186">
        <v>76.7</v>
      </c>
      <c r="H443" s="7">
        <v>5.9</v>
      </c>
    </row>
    <row r="444" spans="2:8" ht="15.75" customHeight="1" x14ac:dyDescent="0.2">
      <c r="B444" s="3"/>
      <c r="C444" s="210">
        <v>42877</v>
      </c>
      <c r="D444" s="12">
        <v>0.34375</v>
      </c>
      <c r="E444">
        <v>20</v>
      </c>
      <c r="F444" s="24">
        <v>9.5399999999999991</v>
      </c>
      <c r="G444" s="186">
        <v>76.3</v>
      </c>
      <c r="H444" s="7">
        <v>5.8</v>
      </c>
    </row>
    <row r="445" spans="2:8" ht="15.75" customHeight="1" x14ac:dyDescent="0.2">
      <c r="B445" s="3"/>
      <c r="C445" s="210">
        <v>42877</v>
      </c>
      <c r="D445" s="12">
        <v>0.34375</v>
      </c>
      <c r="E445">
        <v>21</v>
      </c>
      <c r="F445" s="24">
        <v>9.5</v>
      </c>
      <c r="G445" s="186">
        <v>75.599999999999994</v>
      </c>
      <c r="H445" s="7">
        <v>5.7</v>
      </c>
    </row>
    <row r="446" spans="2:8" ht="15.75" customHeight="1" x14ac:dyDescent="0.2">
      <c r="B446" s="3"/>
      <c r="C446" s="210">
        <v>42877</v>
      </c>
      <c r="D446" s="12">
        <v>0.34375</v>
      </c>
      <c r="E446">
        <v>22</v>
      </c>
      <c r="F446" s="24">
        <v>9.4600000000000009</v>
      </c>
      <c r="G446" s="186">
        <v>75.099999999999994</v>
      </c>
      <c r="H446" s="7">
        <v>5.6</v>
      </c>
    </row>
    <row r="447" spans="2:8" ht="15.75" customHeight="1" x14ac:dyDescent="0.2">
      <c r="B447" s="3"/>
      <c r="C447" s="210">
        <v>42877</v>
      </c>
      <c r="D447" s="12">
        <v>0.34375</v>
      </c>
      <c r="E447">
        <v>23</v>
      </c>
      <c r="F447" s="24">
        <v>9.4</v>
      </c>
      <c r="G447" s="186">
        <v>74.7</v>
      </c>
      <c r="H447" s="7">
        <v>5.6</v>
      </c>
    </row>
    <row r="448" spans="2:8" ht="15.75" customHeight="1" x14ac:dyDescent="0.2">
      <c r="B448" s="3"/>
      <c r="C448" s="210">
        <v>42877</v>
      </c>
      <c r="D448" s="12">
        <v>0.34375</v>
      </c>
      <c r="E448">
        <v>24</v>
      </c>
      <c r="F448" s="24">
        <v>9.4</v>
      </c>
      <c r="G448" s="186">
        <v>74.599999999999994</v>
      </c>
      <c r="H448" s="7">
        <v>5.5</v>
      </c>
    </row>
    <row r="449" spans="2:11" ht="15.75" customHeight="1" x14ac:dyDescent="0.2">
      <c r="B449" s="3"/>
      <c r="C449" s="210">
        <v>42877</v>
      </c>
      <c r="D449" s="12">
        <v>0.34375</v>
      </c>
      <c r="E449">
        <v>25</v>
      </c>
      <c r="F449" s="24">
        <v>9.3800000000000008</v>
      </c>
      <c r="G449" s="186">
        <v>74.400000000000006</v>
      </c>
      <c r="H449" s="7">
        <v>5.5</v>
      </c>
    </row>
    <row r="450" spans="2:11" ht="15.75" customHeight="1" x14ac:dyDescent="0.2">
      <c r="B450" s="3"/>
      <c r="C450" s="210">
        <v>42877</v>
      </c>
      <c r="D450" s="12">
        <v>0.34375</v>
      </c>
      <c r="E450">
        <v>26</v>
      </c>
      <c r="F450" s="24">
        <v>9.34</v>
      </c>
      <c r="G450" s="186">
        <v>73.7</v>
      </c>
      <c r="H450" s="7">
        <v>5.4</v>
      </c>
    </row>
    <row r="451" spans="2:11" ht="15.75" customHeight="1" x14ac:dyDescent="0.2">
      <c r="B451" s="3"/>
      <c r="C451" s="210">
        <v>42877</v>
      </c>
      <c r="D451" s="12">
        <v>0.34375</v>
      </c>
      <c r="E451">
        <v>27</v>
      </c>
      <c r="F451" s="24">
        <v>9.2899999999999991</v>
      </c>
      <c r="G451" s="186">
        <v>73</v>
      </c>
      <c r="H451" s="7">
        <v>5.2</v>
      </c>
    </row>
    <row r="452" spans="2:11" ht="15.75" customHeight="1" x14ac:dyDescent="0.2">
      <c r="B452" s="3"/>
      <c r="C452" s="210">
        <v>42877</v>
      </c>
      <c r="D452" s="12">
        <v>0.34375</v>
      </c>
      <c r="E452">
        <v>28</v>
      </c>
      <c r="F452" s="24">
        <v>9.2200000000000006</v>
      </c>
      <c r="G452" s="186">
        <v>72.099999999999994</v>
      </c>
      <c r="H452" s="7">
        <v>5.2</v>
      </c>
    </row>
    <row r="453" spans="2:11" ht="15.75" customHeight="1" x14ac:dyDescent="0.2">
      <c r="B453" s="3"/>
      <c r="C453" s="210">
        <v>42877</v>
      </c>
      <c r="D453" s="12">
        <v>0.34375</v>
      </c>
      <c r="E453">
        <v>29</v>
      </c>
      <c r="F453" s="24">
        <v>9.1300000000000008</v>
      </c>
      <c r="G453" s="186">
        <v>71.400000000000006</v>
      </c>
      <c r="H453" s="7">
        <v>5</v>
      </c>
    </row>
    <row r="454" spans="2:11" ht="15.75" customHeight="1" x14ac:dyDescent="0.2">
      <c r="B454" s="3"/>
      <c r="C454" s="210">
        <v>42877</v>
      </c>
      <c r="D454" s="12">
        <v>0.34375</v>
      </c>
      <c r="E454">
        <v>30</v>
      </c>
      <c r="F454" s="24">
        <v>9.07</v>
      </c>
      <c r="G454" s="186">
        <v>70.900000000000006</v>
      </c>
      <c r="H454" s="7">
        <v>5</v>
      </c>
    </row>
    <row r="455" spans="2:11" ht="15.75" customHeight="1" x14ac:dyDescent="0.2">
      <c r="B455" s="3"/>
      <c r="C455" s="210">
        <v>42877</v>
      </c>
      <c r="D455" s="12">
        <v>0.34375</v>
      </c>
      <c r="E455">
        <v>31</v>
      </c>
      <c r="F455" s="24">
        <v>8.99</v>
      </c>
      <c r="G455" s="186">
        <v>70</v>
      </c>
      <c r="H455" s="7">
        <v>4.9000000000000004</v>
      </c>
    </row>
    <row r="456" spans="2:11" ht="15.75" customHeight="1" x14ac:dyDescent="0.2">
      <c r="B456" s="3"/>
      <c r="C456" s="210">
        <v>42877</v>
      </c>
      <c r="D456" s="12">
        <v>0.34375</v>
      </c>
      <c r="E456">
        <v>32</v>
      </c>
      <c r="F456" s="24">
        <v>8.92</v>
      </c>
      <c r="G456" s="186">
        <v>69.599999999999994</v>
      </c>
      <c r="H456" s="7">
        <v>4.9000000000000004</v>
      </c>
    </row>
    <row r="457" spans="2:11" ht="15.75" customHeight="1" x14ac:dyDescent="0.2">
      <c r="B457" s="3"/>
      <c r="C457" s="210"/>
      <c r="D457" s="12"/>
      <c r="F457" s="24"/>
      <c r="H457" s="7"/>
    </row>
    <row r="458" spans="2:11" ht="15.75" customHeight="1" x14ac:dyDescent="0.2">
      <c r="B458" s="3"/>
      <c r="C458" s="210">
        <v>42905</v>
      </c>
      <c r="D458" s="12">
        <v>0.3263888888888889</v>
      </c>
      <c r="F458" s="24"/>
      <c r="H458" s="7"/>
      <c r="J458">
        <v>8</v>
      </c>
      <c r="K458">
        <v>9</v>
      </c>
    </row>
    <row r="459" spans="2:11" ht="15.75" customHeight="1" x14ac:dyDescent="0.2">
      <c r="B459" s="3"/>
      <c r="C459" s="210">
        <v>42905</v>
      </c>
      <c r="D459" s="12">
        <v>0.33333333333333331</v>
      </c>
      <c r="E459">
        <v>0.1</v>
      </c>
      <c r="F459" s="24">
        <v>8.86</v>
      </c>
      <c r="G459" s="186">
        <v>87.4</v>
      </c>
      <c r="H459" s="7">
        <v>14.8</v>
      </c>
    </row>
    <row r="460" spans="2:11" ht="15.75" customHeight="1" x14ac:dyDescent="0.2">
      <c r="B460" s="3"/>
      <c r="C460" s="210">
        <v>42905</v>
      </c>
      <c r="D460" s="12">
        <v>0.33333333333333331</v>
      </c>
      <c r="E460">
        <v>1</v>
      </c>
      <c r="F460" s="24">
        <v>8.9</v>
      </c>
      <c r="G460" s="186">
        <v>87.5</v>
      </c>
      <c r="H460" s="7">
        <v>14.7</v>
      </c>
    </row>
    <row r="461" spans="2:11" ht="15.75" customHeight="1" x14ac:dyDescent="0.2">
      <c r="B461" s="3"/>
      <c r="C461" s="210">
        <v>42905</v>
      </c>
      <c r="D461" s="12">
        <v>0.33333333333333331</v>
      </c>
      <c r="E461">
        <v>2</v>
      </c>
      <c r="F461" s="24">
        <v>8.76</v>
      </c>
      <c r="G461" s="186">
        <v>86.3</v>
      </c>
      <c r="H461" s="7">
        <v>14.6</v>
      </c>
    </row>
    <row r="462" spans="2:11" ht="15.75" customHeight="1" x14ac:dyDescent="0.2">
      <c r="B462" s="3"/>
      <c r="C462" s="210">
        <v>42905</v>
      </c>
      <c r="D462" s="12">
        <v>0.33333333333333331</v>
      </c>
      <c r="E462">
        <v>3</v>
      </c>
      <c r="F462" s="24">
        <v>8.85</v>
      </c>
      <c r="G462" s="186">
        <v>86.9</v>
      </c>
      <c r="H462" s="7">
        <v>14.5</v>
      </c>
    </row>
    <row r="463" spans="2:11" ht="15.75" customHeight="1" x14ac:dyDescent="0.2">
      <c r="B463" s="3"/>
      <c r="C463" s="210">
        <v>42905</v>
      </c>
      <c r="D463" s="12">
        <v>0.33333333333333331</v>
      </c>
      <c r="E463">
        <v>4</v>
      </c>
      <c r="F463" s="24">
        <v>8.8800000000000008</v>
      </c>
      <c r="G463" s="186">
        <v>86.9</v>
      </c>
      <c r="H463" s="7">
        <v>14.4</v>
      </c>
    </row>
    <row r="464" spans="2:11" ht="15.75" customHeight="1" x14ac:dyDescent="0.2">
      <c r="B464" s="3"/>
      <c r="C464" s="210">
        <v>42905</v>
      </c>
      <c r="D464" s="12">
        <v>0.33333333333333331</v>
      </c>
      <c r="E464">
        <v>5</v>
      </c>
      <c r="F464" s="24">
        <v>8.84</v>
      </c>
      <c r="G464" s="186">
        <v>86.2</v>
      </c>
      <c r="H464" s="7">
        <v>14.2</v>
      </c>
    </row>
    <row r="465" spans="2:8" ht="15.75" customHeight="1" x14ac:dyDescent="0.2">
      <c r="B465" s="3"/>
      <c r="C465" s="210">
        <v>42905</v>
      </c>
      <c r="D465" s="12">
        <v>0.33333333333333331</v>
      </c>
      <c r="E465">
        <v>6</v>
      </c>
      <c r="F465" s="24">
        <v>8.84</v>
      </c>
      <c r="G465" s="186">
        <v>85.6</v>
      </c>
      <c r="H465" s="7">
        <v>14</v>
      </c>
    </row>
    <row r="466" spans="2:8" ht="15.75" customHeight="1" x14ac:dyDescent="0.2">
      <c r="B466" s="3"/>
      <c r="C466" s="210">
        <v>42905</v>
      </c>
      <c r="D466" s="12">
        <v>0.33333333333333331</v>
      </c>
      <c r="E466">
        <v>7</v>
      </c>
      <c r="F466" s="24">
        <v>8.89</v>
      </c>
      <c r="G466" s="186">
        <v>85.5</v>
      </c>
      <c r="H466" s="7">
        <v>13.7</v>
      </c>
    </row>
    <row r="467" spans="2:8" ht="15.75" customHeight="1" x14ac:dyDescent="0.2">
      <c r="B467" s="3"/>
      <c r="C467" s="210">
        <v>42905</v>
      </c>
      <c r="D467" s="12">
        <v>0.33333333333333331</v>
      </c>
      <c r="E467">
        <v>8</v>
      </c>
      <c r="F467" s="24">
        <v>8.89</v>
      </c>
      <c r="G467" s="186">
        <v>85.3</v>
      </c>
      <c r="H467" s="7">
        <v>13.5</v>
      </c>
    </row>
    <row r="468" spans="2:8" ht="15.75" customHeight="1" x14ac:dyDescent="0.2">
      <c r="B468" s="3"/>
      <c r="C468" s="210">
        <v>42905</v>
      </c>
      <c r="D468" s="12">
        <v>0.33333333333333331</v>
      </c>
      <c r="E468">
        <v>9</v>
      </c>
      <c r="F468" s="24">
        <v>8.93</v>
      </c>
      <c r="G468" s="186">
        <v>84.6</v>
      </c>
      <c r="H468" s="7">
        <v>12.8</v>
      </c>
    </row>
    <row r="469" spans="2:8" ht="15.75" customHeight="1" x14ac:dyDescent="0.2">
      <c r="B469" s="3"/>
      <c r="C469" s="210">
        <v>42905</v>
      </c>
      <c r="D469" s="12">
        <v>0.33333333333333331</v>
      </c>
      <c r="E469">
        <v>10</v>
      </c>
      <c r="F469" s="24">
        <v>8.9499999999999993</v>
      </c>
      <c r="G469" s="186">
        <v>83.6</v>
      </c>
      <c r="H469" s="7">
        <v>12.4</v>
      </c>
    </row>
    <row r="470" spans="2:8" ht="15.75" customHeight="1" x14ac:dyDescent="0.2">
      <c r="B470" s="3"/>
      <c r="C470" s="210">
        <v>42905</v>
      </c>
      <c r="D470" s="12">
        <v>0.33333333333333331</v>
      </c>
      <c r="E470">
        <v>11</v>
      </c>
      <c r="F470" s="24">
        <v>8.9600000000000009</v>
      </c>
      <c r="G470" s="186">
        <v>83.1</v>
      </c>
      <c r="H470" s="7">
        <v>12</v>
      </c>
    </row>
    <row r="471" spans="2:8" ht="15.75" customHeight="1" x14ac:dyDescent="0.2">
      <c r="B471" s="3"/>
      <c r="C471" s="210">
        <v>42905</v>
      </c>
      <c r="D471" s="12">
        <v>0.33333333333333331</v>
      </c>
      <c r="E471">
        <v>12</v>
      </c>
      <c r="F471" s="24">
        <v>8.99</v>
      </c>
      <c r="G471" s="186">
        <v>82.1</v>
      </c>
      <c r="H471" s="7">
        <v>11.3</v>
      </c>
    </row>
    <row r="472" spans="2:8" ht="15.75" customHeight="1" x14ac:dyDescent="0.2">
      <c r="B472" s="3"/>
      <c r="C472" s="210">
        <v>42905</v>
      </c>
      <c r="D472" s="12">
        <v>0.33333333333333331</v>
      </c>
      <c r="E472">
        <v>13</v>
      </c>
      <c r="F472" s="24">
        <v>9.0399999999999991</v>
      </c>
      <c r="G472" s="186">
        <v>80.2</v>
      </c>
      <c r="H472" s="7">
        <v>10</v>
      </c>
    </row>
    <row r="473" spans="2:8" ht="15.75" customHeight="1" x14ac:dyDescent="0.2">
      <c r="B473" s="3"/>
      <c r="C473" s="210">
        <v>42905</v>
      </c>
      <c r="D473" s="12">
        <v>0.33333333333333331</v>
      </c>
      <c r="E473">
        <v>14</v>
      </c>
      <c r="F473" s="24">
        <v>9.15</v>
      </c>
      <c r="G473" s="186">
        <v>80.099999999999994</v>
      </c>
      <c r="H473" s="7">
        <v>9.6</v>
      </c>
    </row>
    <row r="474" spans="2:8" ht="15.75" customHeight="1" x14ac:dyDescent="0.2">
      <c r="B474" s="3"/>
      <c r="C474" s="210">
        <v>42905</v>
      </c>
      <c r="D474" s="12">
        <v>0.33333333333333331</v>
      </c>
      <c r="E474">
        <v>15</v>
      </c>
      <c r="F474" s="24">
        <v>9.17</v>
      </c>
      <c r="G474" s="186">
        <v>79.8</v>
      </c>
      <c r="H474" s="7">
        <v>9.1999999999999993</v>
      </c>
    </row>
    <row r="475" spans="2:8" ht="15.75" customHeight="1" x14ac:dyDescent="0.2">
      <c r="B475" s="3"/>
      <c r="C475" s="210">
        <v>42905</v>
      </c>
      <c r="D475" s="12">
        <v>0.33333333333333331</v>
      </c>
      <c r="E475">
        <v>16</v>
      </c>
      <c r="F475" s="24">
        <v>9.17</v>
      </c>
      <c r="G475" s="186">
        <v>78.5</v>
      </c>
      <c r="H475" s="7">
        <v>8.6</v>
      </c>
    </row>
    <row r="476" spans="2:8" ht="15.75" customHeight="1" x14ac:dyDescent="0.2">
      <c r="B476" s="3"/>
      <c r="C476" s="210">
        <v>42905</v>
      </c>
      <c r="D476" s="12">
        <v>0.33333333333333331</v>
      </c>
      <c r="E476">
        <v>17</v>
      </c>
      <c r="F476" s="24">
        <v>9.23</v>
      </c>
      <c r="G476" s="186">
        <v>77.099999999999994</v>
      </c>
      <c r="H476" s="7">
        <v>7.6</v>
      </c>
    </row>
    <row r="477" spans="2:8" ht="15.75" customHeight="1" x14ac:dyDescent="0.2">
      <c r="B477" s="3"/>
      <c r="C477" s="210">
        <v>42905</v>
      </c>
      <c r="D477" s="12">
        <v>0.33333333333333331</v>
      </c>
      <c r="E477">
        <v>18</v>
      </c>
      <c r="F477" s="24">
        <v>9.2200000000000006</v>
      </c>
      <c r="G477" s="186">
        <v>76.099999999999994</v>
      </c>
      <c r="H477" s="7">
        <v>7.1</v>
      </c>
    </row>
    <row r="478" spans="2:8" ht="15.75" customHeight="1" x14ac:dyDescent="0.2">
      <c r="B478" s="3"/>
      <c r="C478" s="210">
        <v>42905</v>
      </c>
      <c r="D478" s="12">
        <v>0.33333333333333331</v>
      </c>
      <c r="E478">
        <v>19</v>
      </c>
      <c r="F478" s="24">
        <v>9.18</v>
      </c>
      <c r="G478" s="186">
        <v>74.900000000000006</v>
      </c>
      <c r="H478" s="7">
        <v>6.6</v>
      </c>
    </row>
    <row r="479" spans="2:8" ht="15.75" customHeight="1" x14ac:dyDescent="0.2">
      <c r="B479" s="3"/>
      <c r="C479" s="210">
        <v>42905</v>
      </c>
      <c r="D479" s="12">
        <v>0.33333333333333331</v>
      </c>
      <c r="E479">
        <v>20</v>
      </c>
      <c r="F479" s="24">
        <v>9.1999999999999993</v>
      </c>
      <c r="G479" s="186">
        <v>74.400000000000006</v>
      </c>
      <c r="H479" s="7">
        <v>6.3</v>
      </c>
    </row>
    <row r="480" spans="2:8" ht="15.75" customHeight="1" x14ac:dyDescent="0.2">
      <c r="B480" s="3"/>
      <c r="C480" s="210">
        <v>42905</v>
      </c>
      <c r="D480" s="12">
        <v>0.33333333333333331</v>
      </c>
      <c r="E480">
        <v>21</v>
      </c>
      <c r="F480" s="24">
        <v>9.14</v>
      </c>
      <c r="G480" s="186">
        <v>73.5</v>
      </c>
      <c r="H480" s="7">
        <v>6.1</v>
      </c>
    </row>
    <row r="481" spans="2:12" ht="15.75" customHeight="1" x14ac:dyDescent="0.2">
      <c r="B481" s="3"/>
      <c r="C481" s="210">
        <v>42905</v>
      </c>
      <c r="D481" s="12">
        <v>0.33333333333333331</v>
      </c>
      <c r="E481">
        <v>22</v>
      </c>
      <c r="F481" s="24">
        <v>9.1</v>
      </c>
      <c r="G481" s="186">
        <v>72.7</v>
      </c>
      <c r="H481" s="7">
        <v>5.8</v>
      </c>
    </row>
    <row r="482" spans="2:12" ht="15.75" customHeight="1" x14ac:dyDescent="0.2">
      <c r="B482" s="3"/>
      <c r="C482" s="210">
        <v>42905</v>
      </c>
      <c r="D482" s="12">
        <v>0.33333333333333331</v>
      </c>
      <c r="E482">
        <v>23</v>
      </c>
      <c r="F482" s="24">
        <v>9.0399999999999991</v>
      </c>
      <c r="G482" s="186">
        <v>71.599999999999994</v>
      </c>
      <c r="H482" s="7">
        <v>5.6</v>
      </c>
    </row>
    <row r="483" spans="2:12" ht="15.75" customHeight="1" x14ac:dyDescent="0.2">
      <c r="B483" s="3"/>
      <c r="C483" s="210">
        <v>42905</v>
      </c>
      <c r="D483" s="12">
        <v>0.33333333333333331</v>
      </c>
      <c r="E483">
        <v>24</v>
      </c>
      <c r="F483" s="24">
        <v>9</v>
      </c>
      <c r="G483" s="186">
        <v>70.900000000000006</v>
      </c>
      <c r="H483" s="7">
        <v>5.3</v>
      </c>
    </row>
    <row r="484" spans="2:12" ht="15.75" customHeight="1" x14ac:dyDescent="0.2">
      <c r="B484" s="3"/>
      <c r="C484" s="210">
        <v>42905</v>
      </c>
      <c r="D484" s="12">
        <v>0.33333333333333331</v>
      </c>
      <c r="E484">
        <v>25</v>
      </c>
      <c r="F484" s="24">
        <v>8.9700000000000006</v>
      </c>
      <c r="G484" s="186">
        <v>70.5</v>
      </c>
      <c r="H484" s="7">
        <v>5.2</v>
      </c>
    </row>
    <row r="485" spans="2:12" ht="15.75" customHeight="1" x14ac:dyDescent="0.2">
      <c r="B485" s="3"/>
      <c r="C485" s="210">
        <v>42905</v>
      </c>
      <c r="D485" s="12">
        <v>0.33333333333333331</v>
      </c>
      <c r="E485">
        <v>26</v>
      </c>
      <c r="F485" s="24">
        <v>8.93</v>
      </c>
      <c r="G485" s="186">
        <v>70.099999999999994</v>
      </c>
      <c r="H485" s="7">
        <v>5.0999999999999996</v>
      </c>
    </row>
    <row r="486" spans="2:12" ht="15.75" customHeight="1" x14ac:dyDescent="0.2">
      <c r="B486" s="3"/>
      <c r="C486" s="210">
        <v>42905</v>
      </c>
      <c r="D486" s="12">
        <v>0.33333333333333331</v>
      </c>
      <c r="E486">
        <v>27</v>
      </c>
      <c r="F486" s="24">
        <v>8.89</v>
      </c>
      <c r="G486" s="186">
        <v>69.900000000000006</v>
      </c>
      <c r="H486" s="7">
        <v>5.2</v>
      </c>
    </row>
    <row r="487" spans="2:12" ht="15.75" customHeight="1" x14ac:dyDescent="0.2">
      <c r="B487" s="3"/>
      <c r="C487" s="210">
        <v>42905</v>
      </c>
      <c r="D487" s="12">
        <v>0.33333333333333331</v>
      </c>
      <c r="E487">
        <v>28</v>
      </c>
      <c r="F487" s="24">
        <v>8.8699999999999992</v>
      </c>
      <c r="G487" s="186">
        <v>69.599999999999994</v>
      </c>
      <c r="H487" s="7">
        <v>5.0999999999999996</v>
      </c>
    </row>
    <row r="488" spans="2:12" ht="15.75" customHeight="1" x14ac:dyDescent="0.2">
      <c r="B488" s="3"/>
      <c r="C488" s="210">
        <v>42905</v>
      </c>
      <c r="D488" s="12">
        <v>0.33333333333333331</v>
      </c>
      <c r="E488">
        <v>29</v>
      </c>
      <c r="F488" s="24">
        <v>8.86</v>
      </c>
      <c r="G488" s="186">
        <v>69.3</v>
      </c>
      <c r="H488" s="7">
        <v>5</v>
      </c>
    </row>
    <row r="489" spans="2:12" ht="15.75" customHeight="1" x14ac:dyDescent="0.2">
      <c r="B489" s="3"/>
      <c r="C489" s="210">
        <v>42905</v>
      </c>
      <c r="D489" s="12">
        <v>0.33333333333333331</v>
      </c>
      <c r="E489">
        <v>30</v>
      </c>
      <c r="F489" s="24">
        <v>8.84</v>
      </c>
      <c r="G489" s="186">
        <v>69.2</v>
      </c>
      <c r="H489" s="7">
        <v>5</v>
      </c>
    </row>
    <row r="490" spans="2:12" ht="15.75" customHeight="1" x14ac:dyDescent="0.2">
      <c r="B490" s="3"/>
      <c r="C490" s="210">
        <v>42905</v>
      </c>
      <c r="D490" s="12">
        <v>0.33333333333333331</v>
      </c>
      <c r="E490">
        <v>31</v>
      </c>
      <c r="F490" s="24">
        <v>8.82</v>
      </c>
      <c r="G490" s="186">
        <v>69</v>
      </c>
      <c r="H490" s="7">
        <v>5</v>
      </c>
    </row>
    <row r="491" spans="2:12" ht="15.75" customHeight="1" x14ac:dyDescent="0.2">
      <c r="B491" s="3"/>
      <c r="C491" s="210">
        <v>42905</v>
      </c>
      <c r="D491" s="12">
        <v>0.33333333333333331</v>
      </c>
      <c r="E491">
        <v>32</v>
      </c>
      <c r="F491" s="24">
        <v>8.7899999999999991</v>
      </c>
      <c r="G491" s="186">
        <v>68.8</v>
      </c>
      <c r="H491" s="7">
        <v>5</v>
      </c>
    </row>
    <row r="492" spans="2:12" ht="15.75" customHeight="1" x14ac:dyDescent="0.2">
      <c r="B492" s="3"/>
      <c r="C492" s="210">
        <v>42905</v>
      </c>
      <c r="D492" s="12">
        <v>0.33333333333333331</v>
      </c>
      <c r="E492">
        <v>33</v>
      </c>
      <c r="F492" s="24">
        <v>8.7899999999999991</v>
      </c>
      <c r="G492" s="186">
        <v>68.599999999999994</v>
      </c>
      <c r="H492" s="7">
        <v>4.9000000000000004</v>
      </c>
    </row>
    <row r="493" spans="2:12" ht="15.75" customHeight="1" x14ac:dyDescent="0.2">
      <c r="B493" s="3"/>
      <c r="C493" s="210">
        <v>42905</v>
      </c>
      <c r="D493" s="12">
        <v>0.33333333333333331</v>
      </c>
      <c r="E493">
        <v>34</v>
      </c>
      <c r="F493" s="24">
        <v>8.7799999999999994</v>
      </c>
      <c r="G493" s="186">
        <v>68.5</v>
      </c>
      <c r="H493" s="7">
        <v>4.9000000000000004</v>
      </c>
    </row>
    <row r="494" spans="2:12" ht="15.75" customHeight="1" x14ac:dyDescent="0.2">
      <c r="B494" s="3"/>
      <c r="F494" s="24"/>
      <c r="H494" s="7"/>
    </row>
    <row r="495" spans="2:12" ht="15.75" customHeight="1" x14ac:dyDescent="0.2">
      <c r="B495" s="3"/>
      <c r="F495" s="24"/>
      <c r="H495" s="7"/>
    </row>
    <row r="496" spans="2:12" ht="15.75" customHeight="1" x14ac:dyDescent="0.2">
      <c r="B496" s="3"/>
      <c r="C496" s="210">
        <v>42933</v>
      </c>
      <c r="D496" s="12">
        <v>0.33680555555555558</v>
      </c>
      <c r="F496" s="24"/>
      <c r="H496" s="7"/>
      <c r="J496" s="1">
        <v>9</v>
      </c>
      <c r="K496" s="1">
        <v>13</v>
      </c>
      <c r="L496" s="10"/>
    </row>
    <row r="497" spans="2:12" ht="15.75" customHeight="1" x14ac:dyDescent="0.2">
      <c r="B497" s="3"/>
      <c r="C497" s="210">
        <v>42933</v>
      </c>
      <c r="D497" s="12">
        <v>0.34722222222222227</v>
      </c>
      <c r="E497" s="1">
        <v>0.1</v>
      </c>
      <c r="F497" s="188">
        <v>7.72</v>
      </c>
      <c r="G497" s="186">
        <v>86.9</v>
      </c>
      <c r="H497" s="7">
        <v>21.2</v>
      </c>
      <c r="L497" s="10"/>
    </row>
    <row r="498" spans="2:12" ht="15.75" customHeight="1" x14ac:dyDescent="0.2">
      <c r="B498" s="3"/>
      <c r="C498" s="210">
        <v>42933</v>
      </c>
      <c r="D498" s="12">
        <v>0.34722222222222227</v>
      </c>
      <c r="E498" s="1">
        <v>1</v>
      </c>
      <c r="F498" s="188">
        <v>7.68</v>
      </c>
      <c r="G498" s="186">
        <v>86.6</v>
      </c>
      <c r="H498" s="7">
        <v>21.3</v>
      </c>
      <c r="L498" s="10"/>
    </row>
    <row r="499" spans="2:12" ht="15.75" customHeight="1" x14ac:dyDescent="0.2">
      <c r="B499" s="3"/>
      <c r="C499" s="210">
        <v>42933</v>
      </c>
      <c r="D499" s="12">
        <v>0.34722222222222227</v>
      </c>
      <c r="E499" s="1">
        <v>2</v>
      </c>
      <c r="F499" s="188">
        <v>7.64</v>
      </c>
      <c r="G499" s="186">
        <v>86.3</v>
      </c>
      <c r="H499" s="7">
        <v>21.4</v>
      </c>
      <c r="L499" s="10"/>
    </row>
    <row r="500" spans="2:12" ht="15.75" customHeight="1" x14ac:dyDescent="0.2">
      <c r="B500" s="3"/>
      <c r="C500" s="210">
        <v>42933</v>
      </c>
      <c r="D500" s="12">
        <v>0.34722222222222227</v>
      </c>
      <c r="E500" s="1">
        <v>3</v>
      </c>
      <c r="F500" s="188">
        <v>7.63</v>
      </c>
      <c r="G500" s="186">
        <v>86.2</v>
      </c>
      <c r="H500" s="7">
        <v>21.4</v>
      </c>
      <c r="L500" s="10"/>
    </row>
    <row r="501" spans="2:12" ht="15.75" customHeight="1" x14ac:dyDescent="0.2">
      <c r="B501" s="3"/>
      <c r="C501" s="210">
        <v>42933</v>
      </c>
      <c r="D501" s="12">
        <v>0.34722222222222227</v>
      </c>
      <c r="E501" s="1">
        <v>4</v>
      </c>
      <c r="F501" s="188">
        <v>7.61</v>
      </c>
      <c r="G501" s="186">
        <v>86.1</v>
      </c>
      <c r="H501" s="7">
        <v>21.4</v>
      </c>
      <c r="L501" s="10"/>
    </row>
    <row r="502" spans="2:12" ht="15.75" customHeight="1" x14ac:dyDescent="0.2">
      <c r="B502" s="3"/>
      <c r="C502" s="210">
        <v>42933</v>
      </c>
      <c r="D502" s="12">
        <v>0.34722222222222227</v>
      </c>
      <c r="E502" s="1">
        <v>5</v>
      </c>
      <c r="F502" s="188">
        <v>7.6</v>
      </c>
      <c r="G502" s="186">
        <v>85.9</v>
      </c>
      <c r="H502" s="7">
        <v>21.4</v>
      </c>
      <c r="L502" s="10"/>
    </row>
    <row r="503" spans="2:12" ht="15.75" customHeight="1" x14ac:dyDescent="0.2">
      <c r="B503" s="3"/>
      <c r="C503" s="210">
        <v>42933</v>
      </c>
      <c r="D503" s="12">
        <v>0.34722222222222227</v>
      </c>
      <c r="E503" s="1">
        <v>6</v>
      </c>
      <c r="F503" s="188">
        <v>7.68</v>
      </c>
      <c r="G503" s="186">
        <v>86</v>
      </c>
      <c r="H503" s="7">
        <v>20.8</v>
      </c>
      <c r="L503" s="10"/>
    </row>
    <row r="504" spans="2:12" ht="15.75" customHeight="1" x14ac:dyDescent="0.2">
      <c r="B504" s="3"/>
      <c r="C504" s="210">
        <v>42933</v>
      </c>
      <c r="D504" s="12">
        <v>0.34722222222222227</v>
      </c>
      <c r="E504" s="1">
        <v>7</v>
      </c>
      <c r="F504" s="188">
        <v>8.0399999999999991</v>
      </c>
      <c r="G504" s="186">
        <v>87.3</v>
      </c>
      <c r="H504" s="7">
        <v>19.2</v>
      </c>
      <c r="L504" s="10"/>
    </row>
    <row r="505" spans="2:12" ht="15.75" customHeight="1" x14ac:dyDescent="0.2">
      <c r="B505" s="3"/>
      <c r="C505" s="210">
        <v>42933</v>
      </c>
      <c r="D505" s="12">
        <v>0.34722222222222227</v>
      </c>
      <c r="E505" s="1">
        <v>8</v>
      </c>
      <c r="F505" s="188">
        <v>8.2899999999999991</v>
      </c>
      <c r="G505" s="186">
        <v>88.3</v>
      </c>
      <c r="H505" s="7">
        <v>18.399999999999999</v>
      </c>
      <c r="L505" s="10"/>
    </row>
    <row r="506" spans="2:12" ht="15.75" customHeight="1" x14ac:dyDescent="0.2">
      <c r="B506" s="3"/>
      <c r="C506" s="210">
        <v>42933</v>
      </c>
      <c r="D506" s="12">
        <v>0.34722222222222227</v>
      </c>
      <c r="E506" s="1">
        <v>9</v>
      </c>
      <c r="F506" s="188">
        <v>8.39</v>
      </c>
      <c r="G506" s="186">
        <v>88.5</v>
      </c>
      <c r="H506" s="7">
        <v>18</v>
      </c>
      <c r="L506" s="10"/>
    </row>
    <row r="507" spans="2:12" ht="15.75" customHeight="1" x14ac:dyDescent="0.2">
      <c r="B507" s="3"/>
      <c r="C507" s="210">
        <v>42933</v>
      </c>
      <c r="D507" s="12">
        <v>0.34722222222222227</v>
      </c>
      <c r="E507" s="1">
        <v>10</v>
      </c>
      <c r="F507" s="188">
        <v>8.44</v>
      </c>
      <c r="G507" s="186">
        <v>88.8</v>
      </c>
      <c r="H507" s="7">
        <v>17.8</v>
      </c>
      <c r="L507" s="10"/>
    </row>
    <row r="508" spans="2:12" ht="15.75" customHeight="1" x14ac:dyDescent="0.2">
      <c r="B508" s="3"/>
      <c r="C508" s="210">
        <v>42933</v>
      </c>
      <c r="D508" s="12">
        <v>0.34722222222222227</v>
      </c>
      <c r="E508" s="1">
        <v>11</v>
      </c>
      <c r="F508" s="188">
        <v>8.6300000000000008</v>
      </c>
      <c r="G508" s="186">
        <v>88.2</v>
      </c>
      <c r="H508" s="7">
        <v>16.399999999999999</v>
      </c>
      <c r="L508" s="10"/>
    </row>
    <row r="509" spans="2:12" ht="15.75" customHeight="1" x14ac:dyDescent="0.2">
      <c r="B509" s="3"/>
      <c r="C509" s="210">
        <v>42933</v>
      </c>
      <c r="D509" s="12">
        <v>0.34722222222222227</v>
      </c>
      <c r="E509" s="1">
        <v>12</v>
      </c>
      <c r="F509" s="188">
        <v>9.2799999999999994</v>
      </c>
      <c r="G509" s="186">
        <v>86.7</v>
      </c>
      <c r="H509" s="7">
        <v>12.2</v>
      </c>
      <c r="L509" s="10"/>
    </row>
    <row r="510" spans="2:12" ht="15.75" customHeight="1" x14ac:dyDescent="0.2">
      <c r="B510" s="3"/>
      <c r="C510" s="210">
        <v>42933</v>
      </c>
      <c r="D510" s="12">
        <v>0.34722222222222227</v>
      </c>
      <c r="E510" s="1">
        <v>13</v>
      </c>
      <c r="F510" s="188">
        <v>9.34</v>
      </c>
      <c r="G510" s="186">
        <v>84.9</v>
      </c>
      <c r="H510" s="7">
        <v>11.1</v>
      </c>
      <c r="L510" s="10"/>
    </row>
    <row r="511" spans="2:12" ht="15.75" customHeight="1" x14ac:dyDescent="0.2">
      <c r="B511" s="3"/>
      <c r="C511" s="210">
        <v>42933</v>
      </c>
      <c r="D511" s="12">
        <v>0.34722222222222227</v>
      </c>
      <c r="E511" s="1">
        <v>16</v>
      </c>
      <c r="F511" s="188">
        <v>9.41</v>
      </c>
      <c r="G511" s="186">
        <v>84.3</v>
      </c>
      <c r="H511" s="7">
        <v>10.5</v>
      </c>
      <c r="L511" s="10"/>
    </row>
    <row r="512" spans="2:12" ht="15.75" customHeight="1" x14ac:dyDescent="0.2">
      <c r="B512" s="3"/>
      <c r="C512" s="210">
        <v>42933</v>
      </c>
      <c r="D512" s="12">
        <v>0.34722222222222227</v>
      </c>
      <c r="E512" s="1">
        <v>18</v>
      </c>
      <c r="F512" s="188">
        <v>9.3699999999999992</v>
      </c>
      <c r="G512" s="186">
        <v>81.400000000000006</v>
      </c>
      <c r="H512" s="7">
        <v>9.3000000000000007</v>
      </c>
      <c r="L512" s="10"/>
    </row>
    <row r="513" spans="2:12" ht="15.75" customHeight="1" x14ac:dyDescent="0.2">
      <c r="B513" s="3"/>
      <c r="C513" s="210">
        <v>42933</v>
      </c>
      <c r="D513" s="12">
        <v>0.34722222222222227</v>
      </c>
      <c r="E513" s="1">
        <v>20</v>
      </c>
      <c r="F513" s="188">
        <v>9.2799999999999994</v>
      </c>
      <c r="G513" s="186">
        <v>79.400000000000006</v>
      </c>
      <c r="H513" s="7">
        <v>8.6</v>
      </c>
      <c r="L513" s="10"/>
    </row>
    <row r="514" spans="2:12" ht="15.75" customHeight="1" x14ac:dyDescent="0.2">
      <c r="B514" s="3"/>
      <c r="C514" s="210">
        <v>42933</v>
      </c>
      <c r="D514" s="12">
        <v>0.34722222222222227</v>
      </c>
      <c r="E514" s="1">
        <v>22</v>
      </c>
      <c r="F514" s="188">
        <v>9.1999999999999993</v>
      </c>
      <c r="G514" s="186">
        <v>77.8</v>
      </c>
      <c r="H514" s="7">
        <v>8.1999999999999993</v>
      </c>
      <c r="L514" s="10"/>
    </row>
    <row r="515" spans="2:12" ht="15.75" customHeight="1" x14ac:dyDescent="0.2">
      <c r="B515" s="3"/>
      <c r="C515" s="210">
        <v>42933</v>
      </c>
      <c r="D515" s="12">
        <v>0.34722222222222227</v>
      </c>
      <c r="E515" s="1">
        <v>24</v>
      </c>
      <c r="F515" s="188">
        <v>9.1</v>
      </c>
      <c r="G515" s="186">
        <v>75.8</v>
      </c>
      <c r="H515" s="7">
        <v>7.5</v>
      </c>
      <c r="L515" s="10"/>
    </row>
    <row r="516" spans="2:12" ht="15.75" customHeight="1" x14ac:dyDescent="0.2">
      <c r="B516" s="3"/>
      <c r="C516" s="210">
        <v>42933</v>
      </c>
      <c r="D516" s="12">
        <v>0.34722222222222227</v>
      </c>
      <c r="E516" s="1">
        <v>26</v>
      </c>
      <c r="F516" s="188">
        <v>8.93</v>
      </c>
      <c r="G516" s="186">
        <v>73.099999999999994</v>
      </c>
      <c r="H516" s="7">
        <v>6.8</v>
      </c>
      <c r="L516" s="10"/>
    </row>
    <row r="517" spans="2:12" ht="15.75" customHeight="1" x14ac:dyDescent="0.2">
      <c r="B517" s="3"/>
      <c r="C517" s="210">
        <v>42933</v>
      </c>
      <c r="D517" s="12">
        <v>0.34722222222222227</v>
      </c>
      <c r="E517" s="1">
        <v>28</v>
      </c>
      <c r="F517" s="188">
        <v>8.8699999999999992</v>
      </c>
      <c r="G517" s="186">
        <v>72</v>
      </c>
      <c r="H517" s="7">
        <v>6.5</v>
      </c>
      <c r="L517" s="10"/>
    </row>
    <row r="518" spans="2:12" ht="15.75" customHeight="1" x14ac:dyDescent="0.2">
      <c r="B518" s="3"/>
      <c r="C518" s="210">
        <v>42933</v>
      </c>
      <c r="D518" s="12">
        <v>0.34722222222222227</v>
      </c>
      <c r="E518" s="1">
        <v>30</v>
      </c>
      <c r="F518" s="188">
        <v>8.83</v>
      </c>
      <c r="G518" s="186">
        <v>71.099999999999994</v>
      </c>
      <c r="H518" s="7">
        <v>6.1</v>
      </c>
      <c r="L518" s="10"/>
    </row>
    <row r="519" spans="2:12" ht="15.75" customHeight="1" x14ac:dyDescent="0.2">
      <c r="B519" s="3"/>
      <c r="C519" s="210">
        <v>42933</v>
      </c>
      <c r="D519" s="12">
        <v>0.34722222222222227</v>
      </c>
      <c r="E519" s="1">
        <v>32</v>
      </c>
      <c r="F519" s="188">
        <v>8.75</v>
      </c>
      <c r="G519" s="186">
        <v>70.099999999999994</v>
      </c>
      <c r="H519" s="7">
        <v>6</v>
      </c>
      <c r="L519" s="10"/>
    </row>
    <row r="520" spans="2:12" ht="15.75" customHeight="1" x14ac:dyDescent="0.2">
      <c r="B520" s="3"/>
      <c r="C520" s="210">
        <v>42933</v>
      </c>
      <c r="D520" s="12">
        <v>0.34722222222222227</v>
      </c>
      <c r="E520" s="1">
        <v>34</v>
      </c>
      <c r="F520" s="188">
        <v>8.67</v>
      </c>
      <c r="G520" s="186">
        <v>69.400000000000006</v>
      </c>
      <c r="H520" s="7">
        <v>5.9</v>
      </c>
      <c r="L520" s="10"/>
    </row>
    <row r="521" spans="2:12" ht="15.75" customHeight="1" x14ac:dyDescent="0.2">
      <c r="B521" s="3"/>
      <c r="C521" s="211"/>
      <c r="F521" s="24"/>
      <c r="H521" s="7"/>
      <c r="L521" s="10"/>
    </row>
    <row r="522" spans="2:12" ht="15.75" customHeight="1" x14ac:dyDescent="0.2">
      <c r="B522" s="3"/>
      <c r="C522" s="211"/>
      <c r="F522" s="24"/>
      <c r="H522" s="7"/>
      <c r="L522" s="10"/>
    </row>
    <row r="523" spans="2:12" ht="15.75" customHeight="1" x14ac:dyDescent="0.2">
      <c r="B523" s="3"/>
      <c r="C523" s="210">
        <v>42968</v>
      </c>
      <c r="D523" s="12">
        <v>0.35069444444444442</v>
      </c>
      <c r="F523" s="24"/>
      <c r="H523" s="7"/>
      <c r="J523" s="1">
        <v>12</v>
      </c>
      <c r="K523" s="1">
        <v>13</v>
      </c>
      <c r="L523" s="10"/>
    </row>
    <row r="524" spans="2:12" ht="15.75" customHeight="1" x14ac:dyDescent="0.2">
      <c r="B524" s="3"/>
      <c r="C524" s="210">
        <v>42968</v>
      </c>
      <c r="D524" s="12">
        <v>0.3611111111111111</v>
      </c>
      <c r="E524" s="1">
        <v>0.1</v>
      </c>
      <c r="F524" s="188">
        <v>7.59</v>
      </c>
      <c r="G524" s="186">
        <v>85.5</v>
      </c>
      <c r="H524" s="7">
        <v>21.2</v>
      </c>
      <c r="L524" s="10"/>
    </row>
    <row r="525" spans="2:12" ht="15.75" customHeight="1" x14ac:dyDescent="0.2">
      <c r="B525" s="3"/>
      <c r="C525" s="210">
        <v>42968</v>
      </c>
      <c r="D525" s="12">
        <v>0.3611111111111111</v>
      </c>
      <c r="E525" s="1">
        <v>1</v>
      </c>
      <c r="F525" s="188">
        <v>7.56</v>
      </c>
      <c r="G525" s="186">
        <v>85.4</v>
      </c>
      <c r="H525" s="7">
        <v>21.3</v>
      </c>
      <c r="L525" s="10"/>
    </row>
    <row r="526" spans="2:12" ht="15.75" customHeight="1" x14ac:dyDescent="0.2">
      <c r="B526" s="3"/>
      <c r="C526" s="210">
        <v>42968</v>
      </c>
      <c r="D526" s="12">
        <v>0.3611111111111111</v>
      </c>
      <c r="E526" s="1">
        <v>2</v>
      </c>
      <c r="F526" s="188">
        <v>7.55</v>
      </c>
      <c r="G526" s="186">
        <v>85.2</v>
      </c>
      <c r="H526" s="7">
        <v>21.3</v>
      </c>
      <c r="L526" s="10"/>
    </row>
    <row r="527" spans="2:12" ht="15.75" customHeight="1" x14ac:dyDescent="0.2">
      <c r="B527" s="3"/>
      <c r="C527" s="210">
        <v>42968</v>
      </c>
      <c r="D527" s="12">
        <v>0.3611111111111111</v>
      </c>
      <c r="E527" s="1">
        <v>3</v>
      </c>
      <c r="F527" s="188">
        <v>7.56</v>
      </c>
      <c r="G527" s="186">
        <v>85.1</v>
      </c>
      <c r="H527" s="7">
        <v>21.2</v>
      </c>
      <c r="L527" s="10"/>
    </row>
    <row r="528" spans="2:12" ht="15.75" customHeight="1" x14ac:dyDescent="0.2">
      <c r="B528" s="3"/>
      <c r="C528" s="210">
        <v>42968</v>
      </c>
      <c r="D528" s="12">
        <v>0.3611111111111111</v>
      </c>
      <c r="E528" s="1">
        <v>4</v>
      </c>
      <c r="F528" s="188">
        <v>7.55</v>
      </c>
      <c r="G528" s="186">
        <v>85</v>
      </c>
      <c r="H528" s="7">
        <v>21.2</v>
      </c>
      <c r="L528" s="10"/>
    </row>
    <row r="529" spans="2:12" ht="15.75" customHeight="1" x14ac:dyDescent="0.2">
      <c r="B529" s="3"/>
      <c r="C529" s="210">
        <v>42968</v>
      </c>
      <c r="D529" s="12">
        <v>0.3611111111111111</v>
      </c>
      <c r="E529" s="1">
        <v>5</v>
      </c>
      <c r="F529" s="188">
        <v>7.54</v>
      </c>
      <c r="G529" s="186">
        <v>84.9</v>
      </c>
      <c r="H529" s="7">
        <v>21.2</v>
      </c>
      <c r="L529" s="10"/>
    </row>
    <row r="530" spans="2:12" ht="15.75" customHeight="1" x14ac:dyDescent="0.2">
      <c r="B530" s="3"/>
      <c r="C530" s="210">
        <v>42968</v>
      </c>
      <c r="D530" s="12">
        <v>0.3611111111111111</v>
      </c>
      <c r="E530" s="1">
        <v>6</v>
      </c>
      <c r="F530" s="188">
        <v>7.53</v>
      </c>
      <c r="G530" s="186">
        <v>84.8</v>
      </c>
      <c r="H530" s="7">
        <v>21.2</v>
      </c>
      <c r="L530" s="10"/>
    </row>
    <row r="531" spans="2:12" ht="15.75" customHeight="1" x14ac:dyDescent="0.2">
      <c r="B531" s="3"/>
      <c r="C531" s="210">
        <v>42968</v>
      </c>
      <c r="D531" s="12">
        <v>0.3611111111111111</v>
      </c>
      <c r="E531" s="1">
        <v>7</v>
      </c>
      <c r="F531" s="188">
        <v>7.52</v>
      </c>
      <c r="G531" s="186">
        <v>84.7</v>
      </c>
      <c r="H531" s="7">
        <v>21.2</v>
      </c>
      <c r="L531" s="10"/>
    </row>
    <row r="532" spans="2:12" ht="15.75" customHeight="1" x14ac:dyDescent="0.2">
      <c r="B532" s="3"/>
      <c r="C532" s="210">
        <v>42968</v>
      </c>
      <c r="D532" s="12">
        <v>0.3611111111111111</v>
      </c>
      <c r="E532" s="1">
        <v>8</v>
      </c>
      <c r="F532" s="188">
        <v>7.51</v>
      </c>
      <c r="G532" s="186">
        <v>84.6</v>
      </c>
      <c r="H532" s="7">
        <v>21.2</v>
      </c>
      <c r="L532" s="10"/>
    </row>
    <row r="533" spans="2:12" ht="15.75" customHeight="1" x14ac:dyDescent="0.2">
      <c r="B533" s="3"/>
      <c r="C533" s="210">
        <v>42968</v>
      </c>
      <c r="D533" s="12">
        <v>0.3611111111111111</v>
      </c>
      <c r="E533" s="1">
        <v>9</v>
      </c>
      <c r="F533" s="188">
        <v>7.55</v>
      </c>
      <c r="G533" s="186">
        <v>84.7</v>
      </c>
      <c r="H533" s="7">
        <v>21</v>
      </c>
      <c r="L533" s="10"/>
    </row>
    <row r="534" spans="2:12" ht="15.75" customHeight="1" x14ac:dyDescent="0.2">
      <c r="B534" s="3"/>
      <c r="C534" s="210">
        <v>42968</v>
      </c>
      <c r="D534" s="12">
        <v>0.3611111111111111</v>
      </c>
      <c r="E534" s="1">
        <v>10</v>
      </c>
      <c r="F534" s="188">
        <v>8.23</v>
      </c>
      <c r="G534" s="186">
        <v>87.2</v>
      </c>
      <c r="H534" s="7">
        <v>18.100000000000001</v>
      </c>
      <c r="L534" s="10"/>
    </row>
    <row r="535" spans="2:12" ht="15.75" customHeight="1" x14ac:dyDescent="0.2">
      <c r="B535" s="3"/>
      <c r="C535" s="210">
        <v>42968</v>
      </c>
      <c r="D535" s="12">
        <v>0.3611111111111111</v>
      </c>
      <c r="E535" s="1">
        <v>12</v>
      </c>
      <c r="F535" s="188">
        <v>9.32</v>
      </c>
      <c r="G535" s="186">
        <v>86.5</v>
      </c>
      <c r="H535" s="7">
        <v>12</v>
      </c>
      <c r="L535" s="10"/>
    </row>
    <row r="536" spans="2:12" ht="15.75" customHeight="1" x14ac:dyDescent="0.2">
      <c r="B536" s="3"/>
      <c r="C536" s="210">
        <v>42968</v>
      </c>
      <c r="D536" s="12">
        <v>0.3611111111111111</v>
      </c>
      <c r="E536" s="1">
        <v>14</v>
      </c>
      <c r="F536" s="188">
        <v>9.4600000000000009</v>
      </c>
      <c r="G536" s="186">
        <v>83.4</v>
      </c>
      <c r="H536" s="7">
        <v>9.9</v>
      </c>
      <c r="L536" s="10"/>
    </row>
    <row r="537" spans="2:12" ht="15.75" customHeight="1" x14ac:dyDescent="0.2">
      <c r="B537" s="3"/>
      <c r="C537" s="210">
        <v>42968</v>
      </c>
      <c r="D537" s="12">
        <v>0.3611111111111111</v>
      </c>
      <c r="E537" s="1">
        <v>16</v>
      </c>
      <c r="F537" s="188">
        <v>9.16</v>
      </c>
      <c r="G537" s="186">
        <v>76.7</v>
      </c>
      <c r="H537" s="7">
        <v>7.7</v>
      </c>
      <c r="L537" s="10"/>
    </row>
    <row r="538" spans="2:12" ht="15.75" customHeight="1" x14ac:dyDescent="0.2">
      <c r="B538" s="3"/>
      <c r="C538" s="210">
        <v>42968</v>
      </c>
      <c r="D538" s="12">
        <v>0.3611111111111111</v>
      </c>
      <c r="E538" s="1">
        <v>18</v>
      </c>
      <c r="F538" s="188">
        <v>9.0299999999999994</v>
      </c>
      <c r="G538" s="186">
        <v>74.7</v>
      </c>
      <c r="H538" s="7">
        <v>7.2</v>
      </c>
      <c r="L538" s="10"/>
    </row>
    <row r="539" spans="2:12" ht="15.75" customHeight="1" x14ac:dyDescent="0.2">
      <c r="B539" s="3"/>
      <c r="C539" s="210">
        <v>42968</v>
      </c>
      <c r="D539" s="12">
        <v>0.3611111111111111</v>
      </c>
      <c r="E539" s="1">
        <v>20</v>
      </c>
      <c r="F539" s="188">
        <v>8.91</v>
      </c>
      <c r="G539" s="186">
        <v>73</v>
      </c>
      <c r="H539" s="7">
        <v>6.8</v>
      </c>
      <c r="L539" s="10"/>
    </row>
    <row r="540" spans="2:12" ht="15.75" customHeight="1" x14ac:dyDescent="0.2">
      <c r="B540" s="3"/>
      <c r="C540" s="210">
        <v>42968</v>
      </c>
      <c r="D540" s="12">
        <v>0.3611111111111111</v>
      </c>
      <c r="E540" s="1">
        <v>22</v>
      </c>
      <c r="F540" s="188">
        <v>8.8000000000000007</v>
      </c>
      <c r="G540" s="186">
        <v>71.3</v>
      </c>
      <c r="H540" s="7">
        <v>6.5</v>
      </c>
      <c r="L540" s="10"/>
    </row>
    <row r="541" spans="2:12" ht="15.75" customHeight="1" x14ac:dyDescent="0.2">
      <c r="B541" s="3"/>
      <c r="C541" s="210">
        <v>42968</v>
      </c>
      <c r="D541" s="12">
        <v>0.3611111111111111</v>
      </c>
      <c r="E541" s="1">
        <v>24</v>
      </c>
      <c r="F541" s="188">
        <v>8.7200000000000006</v>
      </c>
      <c r="G541" s="186">
        <v>70.5</v>
      </c>
      <c r="H541" s="7">
        <v>6.3</v>
      </c>
      <c r="L541" s="10"/>
    </row>
    <row r="542" spans="2:12" ht="15.75" customHeight="1" x14ac:dyDescent="0.2">
      <c r="B542" s="3"/>
      <c r="C542" s="210">
        <v>42968</v>
      </c>
      <c r="D542" s="12">
        <v>0.3611111111111111</v>
      </c>
      <c r="E542" s="1">
        <v>26</v>
      </c>
      <c r="F542" s="188">
        <v>8.64</v>
      </c>
      <c r="G542" s="186">
        <v>69.7</v>
      </c>
      <c r="H542" s="7">
        <v>6.2</v>
      </c>
      <c r="L542" s="10"/>
    </row>
    <row r="543" spans="2:12" ht="15.75" customHeight="1" x14ac:dyDescent="0.2">
      <c r="B543" s="3"/>
      <c r="C543" s="210">
        <v>42968</v>
      </c>
      <c r="D543" s="12">
        <v>0.3611111111111111</v>
      </c>
      <c r="E543" s="1">
        <v>28</v>
      </c>
      <c r="F543" s="188">
        <v>8.57</v>
      </c>
      <c r="G543" s="186">
        <v>68.8</v>
      </c>
      <c r="H543" s="7">
        <v>6</v>
      </c>
      <c r="L543" s="10"/>
    </row>
    <row r="544" spans="2:12" ht="15.75" customHeight="1" x14ac:dyDescent="0.2">
      <c r="B544" s="3"/>
      <c r="C544" s="210">
        <v>42968</v>
      </c>
      <c r="D544" s="12">
        <v>0.3611111111111111</v>
      </c>
      <c r="E544" s="1">
        <v>30</v>
      </c>
      <c r="F544" s="188">
        <v>8.51</v>
      </c>
      <c r="G544" s="186">
        <v>68</v>
      </c>
      <c r="H544" s="7">
        <v>5.8</v>
      </c>
      <c r="L544" s="10"/>
    </row>
    <row r="545" spans="2:12" ht="15.75" customHeight="1" x14ac:dyDescent="0.2">
      <c r="B545" s="3"/>
      <c r="C545" s="210">
        <v>42968</v>
      </c>
      <c r="D545" s="12">
        <v>0.3611111111111111</v>
      </c>
      <c r="E545" s="1">
        <v>32</v>
      </c>
      <c r="F545" s="188">
        <v>8.44</v>
      </c>
      <c r="G545" s="186">
        <v>67.3</v>
      </c>
      <c r="H545" s="7">
        <v>5.7</v>
      </c>
      <c r="L545" s="10"/>
    </row>
    <row r="546" spans="2:12" ht="15.75" customHeight="1" x14ac:dyDescent="0.2">
      <c r="B546" s="3"/>
      <c r="C546" s="210">
        <v>42968</v>
      </c>
      <c r="D546" s="12">
        <v>0.3611111111111111</v>
      </c>
      <c r="E546" s="1">
        <v>34</v>
      </c>
      <c r="F546" s="188">
        <v>8.4</v>
      </c>
      <c r="G546" s="186">
        <v>67</v>
      </c>
      <c r="H546" s="7">
        <v>5.7</v>
      </c>
      <c r="L546" s="10"/>
    </row>
    <row r="547" spans="2:12" ht="15.75" customHeight="1" x14ac:dyDescent="0.2">
      <c r="B547" s="3"/>
      <c r="C547" s="210">
        <v>42968</v>
      </c>
      <c r="D547" s="12">
        <v>0.3611111111111111</v>
      </c>
      <c r="E547" s="1">
        <v>36</v>
      </c>
      <c r="F547" s="188">
        <v>8.35</v>
      </c>
      <c r="G547" s="186">
        <v>66.099999999999994</v>
      </c>
      <c r="H547" s="7">
        <v>5.5</v>
      </c>
      <c r="L547" s="10"/>
    </row>
    <row r="548" spans="2:12" ht="15.75" customHeight="1" x14ac:dyDescent="0.2">
      <c r="B548" s="3"/>
      <c r="C548" s="210"/>
      <c r="F548" s="24"/>
      <c r="H548" s="7"/>
      <c r="L548" s="10"/>
    </row>
    <row r="549" spans="2:12" ht="15.75" customHeight="1" x14ac:dyDescent="0.2">
      <c r="B549" s="3"/>
      <c r="C549" s="210">
        <v>43003</v>
      </c>
      <c r="D549" s="185">
        <v>0.35416666666666669</v>
      </c>
      <c r="F549" s="24"/>
      <c r="H549" s="7"/>
      <c r="J549">
        <v>9</v>
      </c>
      <c r="K549">
        <v>11.5</v>
      </c>
      <c r="L549" s="10"/>
    </row>
    <row r="550" spans="2:12" ht="15.75" customHeight="1" x14ac:dyDescent="0.2">
      <c r="B550" s="3"/>
      <c r="C550" s="210">
        <v>43003</v>
      </c>
      <c r="D550" s="185">
        <v>0.36458333333333331</v>
      </c>
      <c r="E550">
        <v>0.1</v>
      </c>
      <c r="F550" s="24">
        <v>8.2799999999999994</v>
      </c>
      <c r="G550" s="186">
        <v>84</v>
      </c>
      <c r="H550" s="7">
        <v>16.100000000000001</v>
      </c>
      <c r="L550" s="10"/>
    </row>
    <row r="551" spans="2:12" ht="15.75" customHeight="1" x14ac:dyDescent="0.2">
      <c r="B551" s="3"/>
      <c r="C551" s="210">
        <v>43003</v>
      </c>
      <c r="D551" s="185">
        <v>0.36458333333333331</v>
      </c>
      <c r="E551">
        <v>1</v>
      </c>
      <c r="F551" s="24">
        <v>8.23</v>
      </c>
      <c r="G551" s="186">
        <v>83.7</v>
      </c>
      <c r="H551" s="7">
        <v>16.2</v>
      </c>
      <c r="L551" s="10"/>
    </row>
    <row r="552" spans="2:12" ht="15.75" customHeight="1" x14ac:dyDescent="0.2">
      <c r="B552" s="3"/>
      <c r="C552" s="210">
        <v>43003</v>
      </c>
      <c r="D552" s="185">
        <v>0.36458333333333331</v>
      </c>
      <c r="E552">
        <v>2</v>
      </c>
      <c r="F552" s="24">
        <v>8.19</v>
      </c>
      <c r="G552" s="186">
        <v>83.5</v>
      </c>
      <c r="H552" s="7">
        <v>16.3</v>
      </c>
      <c r="L552" s="10"/>
    </row>
    <row r="553" spans="2:12" ht="15.75" customHeight="1" x14ac:dyDescent="0.2">
      <c r="B553" s="3"/>
      <c r="C553" s="210">
        <v>43003</v>
      </c>
      <c r="D553" s="185">
        <v>0.36458333333333331</v>
      </c>
      <c r="E553">
        <v>3</v>
      </c>
      <c r="F553" s="24">
        <v>8.17</v>
      </c>
      <c r="G553" s="186">
        <v>83.2</v>
      </c>
      <c r="H553" s="7">
        <v>16.3</v>
      </c>
      <c r="L553" s="10"/>
    </row>
    <row r="554" spans="2:12" ht="15.75" customHeight="1" x14ac:dyDescent="0.2">
      <c r="B554" s="3"/>
      <c r="C554" s="210">
        <v>43003</v>
      </c>
      <c r="D554" s="185">
        <v>0.36458333333333331</v>
      </c>
      <c r="E554">
        <v>4</v>
      </c>
      <c r="F554" s="24">
        <v>8.1300000000000008</v>
      </c>
      <c r="G554" s="186">
        <v>83</v>
      </c>
      <c r="H554" s="7">
        <v>16.3</v>
      </c>
      <c r="L554" s="10"/>
    </row>
    <row r="555" spans="2:12" ht="15.75" customHeight="1" x14ac:dyDescent="0.2">
      <c r="B555" s="3"/>
      <c r="C555" s="210">
        <v>43003</v>
      </c>
      <c r="D555" s="185">
        <v>0.36458333333333331</v>
      </c>
      <c r="E555">
        <v>5</v>
      </c>
      <c r="F555" s="24">
        <v>8.11</v>
      </c>
      <c r="G555" s="186">
        <v>82.9</v>
      </c>
      <c r="H555" s="7">
        <v>16.399999999999999</v>
      </c>
      <c r="L555" s="10"/>
    </row>
    <row r="556" spans="2:12" ht="15.75" customHeight="1" x14ac:dyDescent="0.2">
      <c r="B556" s="3"/>
      <c r="C556" s="210">
        <v>43003</v>
      </c>
      <c r="D556" s="185">
        <v>0.36458333333333331</v>
      </c>
      <c r="E556">
        <v>6</v>
      </c>
      <c r="F556" s="24">
        <v>8.1</v>
      </c>
      <c r="G556" s="186">
        <v>82.7</v>
      </c>
      <c r="H556" s="7">
        <v>16.399999999999999</v>
      </c>
      <c r="L556" s="10"/>
    </row>
    <row r="557" spans="2:12" ht="15.75" customHeight="1" x14ac:dyDescent="0.2">
      <c r="B557" s="3"/>
      <c r="C557" s="210">
        <v>43003</v>
      </c>
      <c r="D557" s="185">
        <v>0.36458333333333331</v>
      </c>
      <c r="E557">
        <v>7</v>
      </c>
      <c r="F557" s="24">
        <v>8.08</v>
      </c>
      <c r="G557" s="186">
        <v>82.6</v>
      </c>
      <c r="H557" s="7">
        <v>16.399999999999999</v>
      </c>
      <c r="L557" s="10"/>
    </row>
    <row r="558" spans="2:12" ht="15.75" customHeight="1" x14ac:dyDescent="0.2">
      <c r="B558" s="3"/>
      <c r="C558" s="210">
        <v>43003</v>
      </c>
      <c r="D558" s="185">
        <v>0.36458333333333331</v>
      </c>
      <c r="E558">
        <v>8</v>
      </c>
      <c r="F558" s="24">
        <v>8.07</v>
      </c>
      <c r="G558" s="186">
        <v>82.4</v>
      </c>
      <c r="H558" s="7">
        <v>16.399999999999999</v>
      </c>
      <c r="L558" s="10"/>
    </row>
    <row r="559" spans="2:12" ht="15.75" customHeight="1" x14ac:dyDescent="0.2">
      <c r="B559" s="3"/>
      <c r="C559" s="210">
        <v>43003</v>
      </c>
      <c r="D559" s="185">
        <v>0.36458333333333331</v>
      </c>
      <c r="E559">
        <v>9</v>
      </c>
      <c r="F559" s="24">
        <v>8.0500000000000007</v>
      </c>
      <c r="G559" s="186">
        <v>82.2</v>
      </c>
      <c r="H559" s="7">
        <v>16.399999999999999</v>
      </c>
      <c r="L559" s="10"/>
    </row>
    <row r="560" spans="2:12" ht="15.75" customHeight="1" x14ac:dyDescent="0.2">
      <c r="B560" s="3"/>
      <c r="C560" s="210">
        <v>43003</v>
      </c>
      <c r="D560" s="185">
        <v>0.36458333333333331</v>
      </c>
      <c r="E560">
        <v>10</v>
      </c>
      <c r="F560" s="24">
        <v>8.0299999999999994</v>
      </c>
      <c r="G560" s="186">
        <v>82</v>
      </c>
      <c r="H560" s="7">
        <v>16.399999999999999</v>
      </c>
      <c r="L560" s="10"/>
    </row>
    <row r="561" spans="2:12" ht="15.75" customHeight="1" x14ac:dyDescent="0.2">
      <c r="B561" s="3"/>
      <c r="C561" s="210">
        <v>43003</v>
      </c>
      <c r="D561" s="185">
        <v>0.36458333333333331</v>
      </c>
      <c r="E561">
        <v>11</v>
      </c>
      <c r="F561" s="24">
        <v>8.02</v>
      </c>
      <c r="G561" s="186">
        <v>81.7</v>
      </c>
      <c r="H561" s="7">
        <v>16.3</v>
      </c>
      <c r="L561" s="10"/>
    </row>
    <row r="562" spans="2:12" ht="15.75" customHeight="1" x14ac:dyDescent="0.2">
      <c r="B562" s="3"/>
      <c r="C562" s="210">
        <v>43003</v>
      </c>
      <c r="D562" s="185">
        <v>0.36458333333333331</v>
      </c>
      <c r="E562">
        <v>12</v>
      </c>
      <c r="F562" s="24">
        <v>8.0399999999999991</v>
      </c>
      <c r="G562" s="186">
        <v>81.3</v>
      </c>
      <c r="H562" s="7">
        <v>15.9</v>
      </c>
      <c r="L562" s="10"/>
    </row>
    <row r="563" spans="2:12" ht="15.75" customHeight="1" x14ac:dyDescent="0.2">
      <c r="B563" s="3"/>
      <c r="C563" s="210">
        <v>43003</v>
      </c>
      <c r="D563" s="185">
        <v>0.36458333333333331</v>
      </c>
      <c r="E563">
        <v>13</v>
      </c>
      <c r="F563" s="24">
        <v>8.69</v>
      </c>
      <c r="G563" s="186">
        <v>82.2</v>
      </c>
      <c r="H563" s="7">
        <v>12.8</v>
      </c>
      <c r="L563" s="10"/>
    </row>
    <row r="564" spans="2:12" ht="15.75" customHeight="1" x14ac:dyDescent="0.2">
      <c r="B564" s="3"/>
      <c r="C564" s="210">
        <v>43003</v>
      </c>
      <c r="D564" s="185">
        <v>0.36458333333333331</v>
      </c>
      <c r="E564">
        <v>14</v>
      </c>
      <c r="F564" s="24"/>
      <c r="H564" s="7"/>
      <c r="L564" s="10"/>
    </row>
    <row r="565" spans="2:12" ht="15.75" customHeight="1" x14ac:dyDescent="0.2">
      <c r="B565" s="3"/>
      <c r="C565" s="210">
        <v>43003</v>
      </c>
      <c r="D565" s="185">
        <v>0.36458333333333331</v>
      </c>
      <c r="E565">
        <v>15</v>
      </c>
      <c r="F565" s="24">
        <v>8.9499999999999993</v>
      </c>
      <c r="G565" s="186">
        <v>77.8</v>
      </c>
      <c r="H565" s="7">
        <v>9.1999999999999993</v>
      </c>
      <c r="L565" s="10"/>
    </row>
    <row r="566" spans="2:12" ht="15.75" customHeight="1" x14ac:dyDescent="0.2">
      <c r="B566" s="3"/>
      <c r="C566" s="210">
        <v>43003</v>
      </c>
      <c r="D566" s="185">
        <v>0.36458333333333331</v>
      </c>
      <c r="E566">
        <v>16</v>
      </c>
      <c r="F566" s="24"/>
      <c r="H566" s="7"/>
      <c r="L566" s="10"/>
    </row>
    <row r="567" spans="2:12" ht="15.75" customHeight="1" x14ac:dyDescent="0.2">
      <c r="B567" s="3"/>
      <c r="C567" s="210">
        <v>43003</v>
      </c>
      <c r="D567" s="185">
        <v>0.36458333333333331</v>
      </c>
      <c r="E567">
        <v>17</v>
      </c>
      <c r="F567" s="24">
        <v>8.84</v>
      </c>
      <c r="G567" s="186">
        <v>74.2</v>
      </c>
      <c r="H567" s="7">
        <v>7.8</v>
      </c>
      <c r="L567" s="10"/>
    </row>
    <row r="568" spans="2:12" ht="15.75" customHeight="1" x14ac:dyDescent="0.2">
      <c r="B568" s="3"/>
      <c r="C568" s="210">
        <v>43003</v>
      </c>
      <c r="D568" s="185">
        <v>0.36458333333333331</v>
      </c>
      <c r="E568">
        <v>18</v>
      </c>
      <c r="F568" s="24"/>
      <c r="H568" s="7"/>
      <c r="L568" s="10"/>
    </row>
    <row r="569" spans="2:12" ht="15.75" customHeight="1" x14ac:dyDescent="0.2">
      <c r="B569" s="3"/>
      <c r="C569" s="210">
        <v>43003</v>
      </c>
      <c r="D569" s="185">
        <v>0.36458333333333331</v>
      </c>
      <c r="E569">
        <v>19</v>
      </c>
      <c r="F569" s="24">
        <v>8.7200000000000006</v>
      </c>
      <c r="G569" s="186">
        <v>72.2</v>
      </c>
      <c r="H569" s="7">
        <v>7.3</v>
      </c>
      <c r="L569" s="10"/>
    </row>
    <row r="570" spans="2:12" ht="15.75" customHeight="1" x14ac:dyDescent="0.2">
      <c r="B570" s="3"/>
      <c r="C570" s="210">
        <v>43003</v>
      </c>
      <c r="D570" s="185">
        <v>0.36458333333333331</v>
      </c>
      <c r="E570">
        <v>20</v>
      </c>
      <c r="F570" s="24"/>
      <c r="H570" s="7"/>
      <c r="L570" s="10"/>
    </row>
    <row r="571" spans="2:12" ht="15.75" customHeight="1" x14ac:dyDescent="0.2">
      <c r="B571" s="3"/>
      <c r="C571" s="210">
        <v>43003</v>
      </c>
      <c r="D571" s="185">
        <v>0.36458333333333331</v>
      </c>
      <c r="E571">
        <v>21</v>
      </c>
      <c r="F571" s="24">
        <v>8.64</v>
      </c>
      <c r="G571" s="186">
        <v>71.5</v>
      </c>
      <c r="H571" s="7">
        <v>7.2</v>
      </c>
      <c r="L571" s="10"/>
    </row>
    <row r="572" spans="2:12" ht="15.75" customHeight="1" x14ac:dyDescent="0.2">
      <c r="B572" s="3"/>
      <c r="C572" s="210">
        <v>43003</v>
      </c>
      <c r="D572" s="185">
        <v>0.36458333333333331</v>
      </c>
      <c r="E572">
        <v>22</v>
      </c>
      <c r="F572" s="24"/>
      <c r="H572" s="7"/>
      <c r="L572" s="10"/>
    </row>
    <row r="573" spans="2:12" ht="15.75" customHeight="1" x14ac:dyDescent="0.2">
      <c r="B573" s="3"/>
      <c r="C573" s="210">
        <v>43003</v>
      </c>
      <c r="D573" s="185">
        <v>0.36458333333333331</v>
      </c>
      <c r="E573">
        <v>23</v>
      </c>
      <c r="F573" s="24">
        <v>8.57</v>
      </c>
      <c r="G573" s="186">
        <v>70.2</v>
      </c>
      <c r="H573" s="7">
        <v>6.8</v>
      </c>
      <c r="L573" s="10"/>
    </row>
    <row r="574" spans="2:12" ht="15.75" customHeight="1" x14ac:dyDescent="0.2">
      <c r="B574" s="3"/>
      <c r="C574" s="210">
        <v>43003</v>
      </c>
      <c r="D574" s="185">
        <v>0.36458333333333331</v>
      </c>
      <c r="E574">
        <v>24</v>
      </c>
      <c r="F574" s="24"/>
      <c r="H574" s="7"/>
      <c r="L574" s="10"/>
    </row>
    <row r="575" spans="2:12" ht="15.75" customHeight="1" x14ac:dyDescent="0.2">
      <c r="B575" s="3"/>
      <c r="C575" s="210">
        <v>43003</v>
      </c>
      <c r="D575" s="185">
        <v>0.36458333333333331</v>
      </c>
      <c r="E575">
        <v>25</v>
      </c>
      <c r="F575" s="24">
        <v>8.4600000000000009</v>
      </c>
      <c r="G575" s="186">
        <v>68.7</v>
      </c>
      <c r="H575" s="7">
        <v>6.5</v>
      </c>
      <c r="L575" s="10"/>
    </row>
    <row r="576" spans="2:12" ht="15.75" customHeight="1" x14ac:dyDescent="0.2">
      <c r="B576" s="3"/>
      <c r="C576" s="210">
        <v>43003</v>
      </c>
      <c r="D576" s="185">
        <v>0.36458333333333331</v>
      </c>
      <c r="E576">
        <v>26</v>
      </c>
      <c r="F576" s="24"/>
      <c r="H576" s="7"/>
      <c r="L576" s="10"/>
    </row>
    <row r="577" spans="2:12" ht="15.75" customHeight="1" x14ac:dyDescent="0.2">
      <c r="B577" s="3"/>
      <c r="C577" s="210">
        <v>43003</v>
      </c>
      <c r="D577" s="185">
        <v>0.36458333333333331</v>
      </c>
      <c r="E577">
        <v>27</v>
      </c>
      <c r="F577" s="24">
        <v>8.35</v>
      </c>
      <c r="G577" s="186">
        <v>66.900000000000006</v>
      </c>
      <c r="H577" s="7">
        <v>6</v>
      </c>
      <c r="L577" s="10"/>
    </row>
    <row r="578" spans="2:12" ht="15.75" customHeight="1" x14ac:dyDescent="0.2">
      <c r="B578" s="3"/>
      <c r="C578" s="210">
        <v>43003</v>
      </c>
      <c r="D578" s="185">
        <v>0.36458333333333331</v>
      </c>
      <c r="E578">
        <v>28</v>
      </c>
      <c r="F578" s="24"/>
      <c r="H578" s="7"/>
      <c r="L578" s="10"/>
    </row>
    <row r="579" spans="2:12" ht="15.75" customHeight="1" x14ac:dyDescent="0.2">
      <c r="B579" s="3"/>
      <c r="C579" s="210">
        <v>43003</v>
      </c>
      <c r="D579" s="185">
        <v>0.36458333333333331</v>
      </c>
      <c r="E579">
        <v>29</v>
      </c>
      <c r="F579" s="24">
        <v>8.25</v>
      </c>
      <c r="G579" s="186">
        <v>65.900000000000006</v>
      </c>
      <c r="H579" s="7">
        <v>5.8</v>
      </c>
      <c r="L579" s="10"/>
    </row>
    <row r="580" spans="2:12" ht="15.75" customHeight="1" x14ac:dyDescent="0.2">
      <c r="B580" s="3"/>
      <c r="C580" s="210">
        <v>43003</v>
      </c>
      <c r="D580" s="185">
        <v>0.36458333333333331</v>
      </c>
      <c r="E580">
        <v>30</v>
      </c>
      <c r="F580" s="24"/>
      <c r="H580" s="7"/>
      <c r="L580" s="10"/>
    </row>
    <row r="581" spans="2:12" ht="15.75" customHeight="1" x14ac:dyDescent="0.2">
      <c r="B581" s="3"/>
      <c r="C581" s="210">
        <v>43003</v>
      </c>
      <c r="D581" s="185">
        <v>0.36458333333333331</v>
      </c>
      <c r="E581">
        <v>31</v>
      </c>
      <c r="F581" s="24">
        <v>8.18</v>
      </c>
      <c r="G581" s="186">
        <v>65.099999999999994</v>
      </c>
      <c r="H581" s="7">
        <v>5.7</v>
      </c>
      <c r="L581" s="10"/>
    </row>
    <row r="582" spans="2:12" ht="15.75" customHeight="1" x14ac:dyDescent="0.2">
      <c r="B582" s="3"/>
      <c r="C582" s="210">
        <v>43003</v>
      </c>
      <c r="D582" s="185">
        <v>0.36458333333333331</v>
      </c>
      <c r="E582">
        <v>32</v>
      </c>
      <c r="F582" s="24"/>
      <c r="H582" s="7"/>
      <c r="L582" s="10"/>
    </row>
    <row r="583" spans="2:12" ht="15.75" customHeight="1" x14ac:dyDescent="0.2">
      <c r="B583" s="3"/>
      <c r="C583" s="210">
        <v>43003</v>
      </c>
      <c r="D583" s="185">
        <v>0.36458333333333331</v>
      </c>
      <c r="E583">
        <v>33</v>
      </c>
      <c r="F583" s="24">
        <v>8.1</v>
      </c>
      <c r="G583" s="186">
        <v>64.599999999999994</v>
      </c>
      <c r="H583" s="7">
        <v>5.7</v>
      </c>
      <c r="L583" s="10"/>
    </row>
    <row r="584" spans="2:12" ht="15.75" customHeight="1" x14ac:dyDescent="0.2">
      <c r="B584" s="3"/>
      <c r="C584" s="210">
        <v>43003</v>
      </c>
      <c r="D584" s="185">
        <v>0.36458333333333331</v>
      </c>
      <c r="E584">
        <v>34</v>
      </c>
      <c r="F584" s="24"/>
      <c r="H584" s="7"/>
      <c r="L584" s="10"/>
    </row>
    <row r="585" spans="2:12" ht="15.75" customHeight="1" x14ac:dyDescent="0.2">
      <c r="B585" s="3"/>
      <c r="C585" s="210">
        <v>43003</v>
      </c>
      <c r="D585" s="185">
        <v>0.36458333333333331</v>
      </c>
      <c r="E585">
        <v>35</v>
      </c>
      <c r="F585" s="24">
        <v>8.06</v>
      </c>
      <c r="G585" s="186">
        <v>64.2</v>
      </c>
      <c r="H585" s="7">
        <v>5.7</v>
      </c>
      <c r="L585" s="10"/>
    </row>
    <row r="586" spans="2:12" ht="15.75" customHeight="1" x14ac:dyDescent="0.2">
      <c r="B586" s="3"/>
      <c r="C586" s="210">
        <v>43003</v>
      </c>
      <c r="D586" s="185">
        <v>0.36458333333333331</v>
      </c>
      <c r="E586">
        <v>36</v>
      </c>
      <c r="F586" s="24"/>
      <c r="H586" s="7"/>
      <c r="L586" s="10"/>
    </row>
    <row r="587" spans="2:12" ht="15.75" customHeight="1" x14ac:dyDescent="0.2">
      <c r="B587" s="3"/>
      <c r="C587" s="210">
        <v>43003</v>
      </c>
      <c r="D587" s="185">
        <v>0.36458333333333331</v>
      </c>
      <c r="E587">
        <v>37</v>
      </c>
      <c r="F587" s="24">
        <v>8.01</v>
      </c>
      <c r="G587" s="186">
        <v>63.6</v>
      </c>
      <c r="H587" s="7">
        <v>5.6</v>
      </c>
      <c r="L587" s="10"/>
    </row>
    <row r="588" spans="2:12" ht="15.75" customHeight="1" x14ac:dyDescent="0.2">
      <c r="B588" s="3"/>
      <c r="C588" s="210"/>
      <c r="F588" s="24"/>
      <c r="H588" s="7"/>
      <c r="L588" s="10"/>
    </row>
    <row r="589" spans="2:12" ht="15.75" customHeight="1" x14ac:dyDescent="0.2">
      <c r="B589" s="3"/>
      <c r="C589" s="210"/>
      <c r="F589" s="24"/>
      <c r="H589" s="7"/>
      <c r="L589" s="10"/>
    </row>
    <row r="590" spans="2:12" ht="15.75" customHeight="1" x14ac:dyDescent="0.2">
      <c r="B590" s="3"/>
      <c r="C590" s="211">
        <v>43024</v>
      </c>
      <c r="D590" s="185">
        <v>0.3611111111111111</v>
      </c>
      <c r="F590" s="24"/>
      <c r="H590" s="7"/>
      <c r="J590" s="1">
        <v>8</v>
      </c>
      <c r="K590" s="1">
        <v>12.5</v>
      </c>
      <c r="L590" s="10"/>
    </row>
    <row r="591" spans="2:12" ht="15.75" customHeight="1" x14ac:dyDescent="0.2">
      <c r="B591" s="3"/>
      <c r="C591" s="211">
        <v>43024</v>
      </c>
      <c r="D591" s="185">
        <v>0.375</v>
      </c>
      <c r="E591">
        <v>0.1</v>
      </c>
      <c r="F591" s="24">
        <v>8.75</v>
      </c>
      <c r="G591" s="186">
        <v>82.2</v>
      </c>
      <c r="H591" s="7">
        <v>12.5</v>
      </c>
      <c r="J591" s="1"/>
      <c r="K591" s="1"/>
      <c r="L591" s="10"/>
    </row>
    <row r="592" spans="2:12" ht="15.75" customHeight="1" x14ac:dyDescent="0.2">
      <c r="B592" s="3"/>
      <c r="C592" s="211">
        <v>43024</v>
      </c>
      <c r="D592" s="185">
        <v>0.375</v>
      </c>
      <c r="E592">
        <v>1</v>
      </c>
      <c r="F592" s="24">
        <v>8.73</v>
      </c>
      <c r="G592" s="186">
        <v>82.1</v>
      </c>
      <c r="H592" s="7">
        <v>12.6</v>
      </c>
      <c r="J592" s="1"/>
      <c r="K592" s="1"/>
      <c r="L592" s="10"/>
    </row>
    <row r="593" spans="2:12" ht="15.75" customHeight="1" x14ac:dyDescent="0.2">
      <c r="B593" s="3"/>
      <c r="C593" s="211">
        <v>43024</v>
      </c>
      <c r="D593" s="185">
        <v>0.375</v>
      </c>
      <c r="E593">
        <v>2</v>
      </c>
      <c r="F593" s="24">
        <v>8.7100000000000009</v>
      </c>
      <c r="G593" s="186">
        <v>81.900000000000006</v>
      </c>
      <c r="H593" s="7">
        <v>12.6</v>
      </c>
      <c r="J593" s="1"/>
      <c r="K593" s="1"/>
      <c r="L593" s="10"/>
    </row>
    <row r="594" spans="2:12" ht="15.75" customHeight="1" x14ac:dyDescent="0.2">
      <c r="B594" s="3"/>
      <c r="C594" s="211">
        <v>43024</v>
      </c>
      <c r="D594" s="185">
        <v>0.375</v>
      </c>
      <c r="E594">
        <v>3</v>
      </c>
      <c r="F594" s="24">
        <v>8.6999999999999993</v>
      </c>
      <c r="G594" s="186">
        <v>81.8</v>
      </c>
      <c r="H594" s="7">
        <v>12.6</v>
      </c>
      <c r="J594" s="1"/>
      <c r="K594" s="1"/>
      <c r="L594" s="10"/>
    </row>
    <row r="595" spans="2:12" ht="15.75" customHeight="1" x14ac:dyDescent="0.2">
      <c r="B595" s="3"/>
      <c r="C595" s="211">
        <v>43024</v>
      </c>
      <c r="D595" s="185">
        <v>0.375</v>
      </c>
      <c r="E595">
        <v>4</v>
      </c>
      <c r="F595" s="24">
        <v>8.68</v>
      </c>
      <c r="G595" s="186">
        <v>81.7</v>
      </c>
      <c r="H595" s="7">
        <v>12.6</v>
      </c>
      <c r="J595" s="1"/>
      <c r="K595" s="1"/>
      <c r="L595" s="10"/>
    </row>
    <row r="596" spans="2:12" ht="15.75" customHeight="1" x14ac:dyDescent="0.2">
      <c r="B596" s="3"/>
      <c r="C596" s="211">
        <v>43024</v>
      </c>
      <c r="D596" s="185">
        <v>0.375</v>
      </c>
      <c r="E596">
        <v>5</v>
      </c>
      <c r="F596" s="24">
        <v>8.67</v>
      </c>
      <c r="G596" s="186">
        <v>81.5</v>
      </c>
      <c r="H596" s="7">
        <v>12.6</v>
      </c>
      <c r="J596" s="1"/>
      <c r="K596" s="1"/>
      <c r="L596" s="10"/>
    </row>
    <row r="597" spans="2:12" ht="15.75" customHeight="1" x14ac:dyDescent="0.2">
      <c r="B597" s="3"/>
      <c r="C597" s="211">
        <v>43024</v>
      </c>
      <c r="D597" s="185">
        <v>0.375</v>
      </c>
      <c r="E597">
        <v>6</v>
      </c>
      <c r="F597" s="24">
        <v>8.66</v>
      </c>
      <c r="G597" s="186">
        <v>81.400000000000006</v>
      </c>
      <c r="H597" s="7">
        <v>12.6</v>
      </c>
      <c r="J597" s="1"/>
      <c r="K597" s="1"/>
      <c r="L597" s="10"/>
    </row>
    <row r="598" spans="2:12" ht="15.75" customHeight="1" x14ac:dyDescent="0.2">
      <c r="B598" s="3"/>
      <c r="C598" s="211">
        <v>43024</v>
      </c>
      <c r="D598" s="185">
        <v>0.375</v>
      </c>
      <c r="E598">
        <v>7</v>
      </c>
      <c r="F598" s="24">
        <v>8.64</v>
      </c>
      <c r="G598" s="186">
        <v>81.3</v>
      </c>
      <c r="H598" s="7">
        <v>12.6</v>
      </c>
      <c r="J598" s="1"/>
      <c r="K598" s="1"/>
      <c r="L598" s="10"/>
    </row>
    <row r="599" spans="2:12" ht="15.75" customHeight="1" x14ac:dyDescent="0.2">
      <c r="B599" s="3"/>
      <c r="C599" s="211">
        <v>43024</v>
      </c>
      <c r="D599" s="185">
        <v>0.375</v>
      </c>
      <c r="E599">
        <v>8</v>
      </c>
      <c r="F599" s="24">
        <v>8.6300000000000008</v>
      </c>
      <c r="G599" s="186">
        <v>81.099999999999994</v>
      </c>
      <c r="H599" s="7">
        <v>12.6</v>
      </c>
      <c r="J599" s="1"/>
      <c r="K599" s="1"/>
      <c r="L599" s="10"/>
    </row>
    <row r="600" spans="2:12" ht="15.75" customHeight="1" x14ac:dyDescent="0.2">
      <c r="B600" s="3"/>
      <c r="C600" s="211">
        <v>43024</v>
      </c>
      <c r="D600" s="185">
        <v>0.375</v>
      </c>
      <c r="E600">
        <v>9</v>
      </c>
      <c r="F600" s="24">
        <v>8.61</v>
      </c>
      <c r="G600" s="186">
        <v>81</v>
      </c>
      <c r="H600" s="7">
        <v>12.6</v>
      </c>
      <c r="J600" s="1"/>
      <c r="K600" s="1"/>
      <c r="L600" s="10"/>
    </row>
    <row r="601" spans="2:12" ht="15.75" customHeight="1" x14ac:dyDescent="0.2">
      <c r="B601" s="3"/>
      <c r="C601" s="211">
        <v>43024</v>
      </c>
      <c r="D601" s="185">
        <v>0.375</v>
      </c>
      <c r="E601">
        <v>10</v>
      </c>
      <c r="F601" s="24">
        <v>8.6</v>
      </c>
      <c r="G601" s="186">
        <v>80.8</v>
      </c>
      <c r="H601" s="7">
        <v>12.6</v>
      </c>
      <c r="J601" s="1"/>
      <c r="K601" s="1"/>
      <c r="L601" s="10"/>
    </row>
    <row r="602" spans="2:12" ht="15.75" customHeight="1" x14ac:dyDescent="0.2">
      <c r="B602" s="3"/>
      <c r="C602" s="211">
        <v>43024</v>
      </c>
      <c r="D602" s="185">
        <v>0.375</v>
      </c>
      <c r="E602">
        <v>11</v>
      </c>
      <c r="F602" s="24">
        <v>8.58</v>
      </c>
      <c r="G602" s="186">
        <v>80.7</v>
      </c>
      <c r="H602" s="7">
        <v>12.6</v>
      </c>
      <c r="J602" s="1"/>
      <c r="K602" s="1"/>
      <c r="L602" s="10"/>
    </row>
    <row r="603" spans="2:12" ht="15.75" customHeight="1" x14ac:dyDescent="0.2">
      <c r="B603" s="3"/>
      <c r="C603" s="211">
        <v>43024</v>
      </c>
      <c r="D603" s="185">
        <v>0.375</v>
      </c>
      <c r="E603">
        <v>12</v>
      </c>
      <c r="F603" s="24">
        <v>8.56</v>
      </c>
      <c r="G603" s="186">
        <v>80.5</v>
      </c>
      <c r="H603" s="7">
        <v>12.6</v>
      </c>
      <c r="J603" s="1"/>
      <c r="K603" s="1"/>
      <c r="L603" s="10"/>
    </row>
    <row r="604" spans="2:12" ht="15.75" customHeight="1" x14ac:dyDescent="0.2">
      <c r="B604" s="3"/>
      <c r="C604" s="211">
        <v>43024</v>
      </c>
      <c r="D604" s="185">
        <v>0.375</v>
      </c>
      <c r="E604">
        <v>13</v>
      </c>
      <c r="F604" s="24">
        <v>8.5500000000000007</v>
      </c>
      <c r="G604" s="186">
        <v>80.2</v>
      </c>
      <c r="H604" s="7">
        <v>12.5</v>
      </c>
      <c r="J604" s="1"/>
      <c r="K604" s="1"/>
      <c r="L604" s="10"/>
    </row>
    <row r="605" spans="2:12" ht="15.75" customHeight="1" x14ac:dyDescent="0.2">
      <c r="B605" s="3"/>
      <c r="C605" s="211">
        <v>43024</v>
      </c>
      <c r="D605" s="185">
        <v>0.375</v>
      </c>
      <c r="E605">
        <v>14</v>
      </c>
      <c r="F605" s="24">
        <v>8.57</v>
      </c>
      <c r="G605" s="186">
        <v>79.7</v>
      </c>
      <c r="H605" s="7">
        <v>12.1</v>
      </c>
      <c r="J605" s="1"/>
      <c r="K605" s="1"/>
      <c r="L605" s="10"/>
    </row>
    <row r="606" spans="2:12" ht="15.75" customHeight="1" x14ac:dyDescent="0.2">
      <c r="B606" s="3"/>
      <c r="C606" s="211">
        <v>43024</v>
      </c>
      <c r="D606" s="185">
        <v>0.375</v>
      </c>
      <c r="E606">
        <v>15</v>
      </c>
      <c r="F606" s="24">
        <v>8.6999999999999993</v>
      </c>
      <c r="G606" s="186">
        <v>76.900000000000006</v>
      </c>
      <c r="H606" s="7">
        <v>9.9</v>
      </c>
      <c r="J606" s="1"/>
      <c r="K606" s="1"/>
      <c r="L606" s="10"/>
    </row>
    <row r="607" spans="2:12" ht="15.75" customHeight="1" x14ac:dyDescent="0.2">
      <c r="B607" s="3"/>
      <c r="C607" s="211">
        <v>43024</v>
      </c>
      <c r="D607" s="185">
        <v>0.375</v>
      </c>
      <c r="E607">
        <v>16</v>
      </c>
      <c r="F607" s="24"/>
      <c r="H607" s="7"/>
      <c r="J607" s="1"/>
      <c r="K607" s="1"/>
      <c r="L607" s="10"/>
    </row>
    <row r="608" spans="2:12" ht="15.75" customHeight="1" x14ac:dyDescent="0.2">
      <c r="B608" s="3"/>
      <c r="C608" s="211">
        <v>43024</v>
      </c>
      <c r="D608" s="185">
        <v>0.375</v>
      </c>
      <c r="E608">
        <v>17</v>
      </c>
      <c r="F608" s="24">
        <v>8.4700000000000006</v>
      </c>
      <c r="G608" s="186">
        <v>71.3</v>
      </c>
      <c r="H608" s="7">
        <v>7.9</v>
      </c>
      <c r="J608" s="1"/>
      <c r="K608" s="1"/>
      <c r="L608" s="10"/>
    </row>
    <row r="609" spans="2:12" ht="15.75" customHeight="1" x14ac:dyDescent="0.2">
      <c r="B609" s="3"/>
      <c r="C609" s="211">
        <v>43024</v>
      </c>
      <c r="D609" s="185">
        <v>0.375</v>
      </c>
      <c r="E609">
        <v>18</v>
      </c>
      <c r="F609" s="24"/>
      <c r="H609" s="7"/>
      <c r="J609" s="1"/>
      <c r="K609" s="1"/>
      <c r="L609" s="10"/>
    </row>
    <row r="610" spans="2:12" ht="15.75" customHeight="1" x14ac:dyDescent="0.2">
      <c r="B610" s="3"/>
      <c r="C610" s="211">
        <v>43024</v>
      </c>
      <c r="D610" s="185">
        <v>0.375</v>
      </c>
      <c r="E610">
        <v>19</v>
      </c>
      <c r="F610" s="24">
        <v>8.4</v>
      </c>
      <c r="G610" s="186">
        <v>70.099999999999994</v>
      </c>
      <c r="H610" s="7">
        <v>7.5</v>
      </c>
      <c r="J610" s="1"/>
      <c r="K610" s="1"/>
      <c r="L610" s="10"/>
    </row>
    <row r="611" spans="2:12" ht="15.75" customHeight="1" x14ac:dyDescent="0.2">
      <c r="B611" s="3"/>
      <c r="C611" s="211">
        <v>43024</v>
      </c>
      <c r="D611" s="185">
        <v>0.375</v>
      </c>
      <c r="E611">
        <v>20</v>
      </c>
      <c r="F611" s="24"/>
      <c r="H611" s="7"/>
      <c r="J611" s="1"/>
      <c r="K611" s="1"/>
      <c r="L611" s="10"/>
    </row>
    <row r="612" spans="2:12" ht="15.75" customHeight="1" x14ac:dyDescent="0.2">
      <c r="B612" s="3"/>
      <c r="C612" s="211">
        <v>43024</v>
      </c>
      <c r="D612" s="185">
        <v>0.375</v>
      </c>
      <c r="E612">
        <v>21</v>
      </c>
      <c r="F612" s="24">
        <v>8.35</v>
      </c>
      <c r="G612" s="186">
        <v>68.7</v>
      </c>
      <c r="H612" s="7">
        <v>7</v>
      </c>
      <c r="J612" s="1"/>
      <c r="K612" s="1"/>
      <c r="L612" s="10"/>
    </row>
    <row r="613" spans="2:12" ht="15.75" customHeight="1" x14ac:dyDescent="0.2">
      <c r="B613" s="3"/>
      <c r="C613" s="211">
        <v>43024</v>
      </c>
      <c r="D613" s="185">
        <v>0.375</v>
      </c>
      <c r="E613">
        <v>22</v>
      </c>
      <c r="F613" s="24"/>
      <c r="H613" s="7"/>
      <c r="J613" s="1"/>
      <c r="K613" s="1"/>
      <c r="L613" s="10"/>
    </row>
    <row r="614" spans="2:12" ht="15.75" customHeight="1" x14ac:dyDescent="0.2">
      <c r="B614" s="3"/>
      <c r="C614" s="211">
        <v>43024</v>
      </c>
      <c r="D614" s="185">
        <v>0.375</v>
      </c>
      <c r="E614">
        <v>23</v>
      </c>
      <c r="F614" s="24">
        <v>8.3000000000000007</v>
      </c>
      <c r="G614" s="186">
        <v>68.2</v>
      </c>
      <c r="H614" s="7">
        <v>6.9</v>
      </c>
      <c r="J614" s="1"/>
      <c r="K614" s="1"/>
      <c r="L614" s="10"/>
    </row>
    <row r="615" spans="2:12" ht="15.75" customHeight="1" x14ac:dyDescent="0.2">
      <c r="B615" s="3"/>
      <c r="C615" s="211">
        <v>43024</v>
      </c>
      <c r="D615" s="185">
        <v>0.375</v>
      </c>
      <c r="E615">
        <v>24</v>
      </c>
      <c r="F615" s="24"/>
      <c r="H615" s="7"/>
      <c r="J615" s="1"/>
      <c r="K615" s="1"/>
      <c r="L615" s="10"/>
    </row>
    <row r="616" spans="2:12" ht="15.75" customHeight="1" x14ac:dyDescent="0.2">
      <c r="B616" s="3"/>
      <c r="C616" s="211">
        <v>43024</v>
      </c>
      <c r="D616" s="185">
        <v>0.375</v>
      </c>
      <c r="E616">
        <v>25</v>
      </c>
      <c r="F616" s="24">
        <v>8.27</v>
      </c>
      <c r="G616" s="186">
        <v>67.7</v>
      </c>
      <c r="H616" s="7">
        <v>6.8</v>
      </c>
      <c r="J616" s="1"/>
      <c r="K616" s="1"/>
      <c r="L616" s="10"/>
    </row>
    <row r="617" spans="2:12" ht="15.75" customHeight="1" x14ac:dyDescent="0.2">
      <c r="B617" s="3"/>
      <c r="C617" s="211">
        <v>43024</v>
      </c>
      <c r="D617" s="185">
        <v>0.375</v>
      </c>
      <c r="E617">
        <v>26</v>
      </c>
      <c r="F617" s="24"/>
      <c r="H617" s="7"/>
      <c r="J617" s="1"/>
      <c r="K617" s="1"/>
      <c r="L617" s="10"/>
    </row>
    <row r="618" spans="2:12" ht="15.75" customHeight="1" x14ac:dyDescent="0.2">
      <c r="B618" s="3"/>
      <c r="C618" s="211">
        <v>43024</v>
      </c>
      <c r="D618" s="185">
        <v>0.375</v>
      </c>
      <c r="E618">
        <v>27</v>
      </c>
      <c r="F618" s="24">
        <v>8.1999999999999993</v>
      </c>
      <c r="G618" s="186">
        <v>66.400000000000006</v>
      </c>
      <c r="H618" s="7">
        <v>6.4</v>
      </c>
      <c r="J618" s="1"/>
      <c r="K618" s="1"/>
      <c r="L618" s="10"/>
    </row>
    <row r="619" spans="2:12" ht="15.75" customHeight="1" x14ac:dyDescent="0.2">
      <c r="B619" s="3"/>
      <c r="C619" s="211">
        <v>43024</v>
      </c>
      <c r="D619" s="185">
        <v>0.375</v>
      </c>
      <c r="E619">
        <v>28</v>
      </c>
      <c r="F619" s="24"/>
      <c r="H619" s="7"/>
      <c r="J619" s="1"/>
      <c r="K619" s="1"/>
      <c r="L619" s="10"/>
    </row>
    <row r="620" spans="2:12" ht="15.75" customHeight="1" x14ac:dyDescent="0.2">
      <c r="B620" s="3"/>
      <c r="C620" s="211">
        <v>43024</v>
      </c>
      <c r="D620" s="185">
        <v>0.375</v>
      </c>
      <c r="E620">
        <v>29</v>
      </c>
      <c r="F620" s="24">
        <v>8.15</v>
      </c>
      <c r="G620" s="186">
        <v>65.3</v>
      </c>
      <c r="H620" s="7">
        <v>5.9</v>
      </c>
      <c r="J620" s="1"/>
      <c r="K620" s="1"/>
      <c r="L620" s="10"/>
    </row>
    <row r="621" spans="2:12" ht="15.75" customHeight="1" x14ac:dyDescent="0.2">
      <c r="B621" s="3"/>
      <c r="C621" s="211">
        <v>43024</v>
      </c>
      <c r="D621" s="185">
        <v>0.375</v>
      </c>
      <c r="E621">
        <v>30</v>
      </c>
      <c r="F621" s="24"/>
      <c r="H621" s="7"/>
      <c r="J621" s="1"/>
      <c r="K621" s="1"/>
      <c r="L621" s="10"/>
    </row>
    <row r="622" spans="2:12" ht="15.75" customHeight="1" x14ac:dyDescent="0.2">
      <c r="B622" s="3"/>
      <c r="C622" s="211">
        <v>43024</v>
      </c>
      <c r="D622" s="185">
        <v>0.375</v>
      </c>
      <c r="E622">
        <v>31</v>
      </c>
      <c r="F622" s="24">
        <v>8.14</v>
      </c>
      <c r="G622" s="186">
        <v>64.7</v>
      </c>
      <c r="H622" s="7">
        <v>5.6</v>
      </c>
      <c r="J622" s="1"/>
      <c r="K622" s="1"/>
      <c r="L622" s="10"/>
    </row>
    <row r="623" spans="2:12" ht="15.75" customHeight="1" x14ac:dyDescent="0.2">
      <c r="B623" s="3"/>
      <c r="C623" s="211">
        <v>43024</v>
      </c>
      <c r="D623" s="185">
        <v>0.375</v>
      </c>
      <c r="E623">
        <v>32</v>
      </c>
      <c r="F623" s="24"/>
      <c r="H623" s="7"/>
      <c r="J623" s="1"/>
      <c r="K623" s="1"/>
      <c r="L623" s="10"/>
    </row>
    <row r="624" spans="2:12" ht="15.75" customHeight="1" x14ac:dyDescent="0.2">
      <c r="B624" s="3"/>
      <c r="C624" s="211">
        <v>43024</v>
      </c>
      <c r="D624" s="185">
        <v>0.375</v>
      </c>
      <c r="E624">
        <v>33</v>
      </c>
      <c r="F624" s="24">
        <v>8.1300000000000008</v>
      </c>
      <c r="G624" s="186">
        <v>64.5</v>
      </c>
      <c r="H624" s="7">
        <v>5.5</v>
      </c>
      <c r="J624" s="1"/>
      <c r="K624" s="1"/>
      <c r="L624" s="10"/>
    </row>
    <row r="625" spans="2:12" ht="15.75" customHeight="1" x14ac:dyDescent="0.2">
      <c r="B625" s="3"/>
      <c r="C625" s="211">
        <v>43024</v>
      </c>
      <c r="D625" s="185">
        <v>0.375</v>
      </c>
      <c r="E625">
        <v>34</v>
      </c>
      <c r="F625" s="24"/>
      <c r="H625" s="7"/>
      <c r="J625" s="1"/>
      <c r="K625" s="1"/>
      <c r="L625" s="10"/>
    </row>
    <row r="626" spans="2:12" ht="15.75" customHeight="1" x14ac:dyDescent="0.2">
      <c r="B626" s="3"/>
      <c r="C626" s="211">
        <v>43024</v>
      </c>
      <c r="D626" s="185">
        <v>0.375</v>
      </c>
      <c r="E626">
        <v>35</v>
      </c>
      <c r="F626" s="24">
        <v>8.1</v>
      </c>
      <c r="G626" s="186">
        <v>64.3</v>
      </c>
      <c r="H626" s="7">
        <v>5.5</v>
      </c>
      <c r="J626" s="1"/>
      <c r="K626" s="1"/>
      <c r="L626" s="10"/>
    </row>
    <row r="627" spans="2:12" ht="15.75" customHeight="1" x14ac:dyDescent="0.2">
      <c r="B627" s="3"/>
      <c r="C627" s="211"/>
      <c r="F627" s="24"/>
      <c r="H627" s="7"/>
      <c r="J627" s="1"/>
      <c r="K627" s="1"/>
      <c r="L627" s="10"/>
    </row>
    <row r="628" spans="2:12" ht="15.75" customHeight="1" x14ac:dyDescent="0.2">
      <c r="B628" s="3"/>
      <c r="C628" s="211">
        <v>34885</v>
      </c>
      <c r="D628" s="185">
        <v>0.625</v>
      </c>
      <c r="F628" s="24"/>
      <c r="H628" s="7"/>
      <c r="J628" s="1">
        <v>7</v>
      </c>
      <c r="K628" s="1"/>
      <c r="L628" s="10"/>
    </row>
    <row r="629" spans="2:12" ht="15.75" customHeight="1" x14ac:dyDescent="0.2">
      <c r="B629" s="3"/>
      <c r="C629" s="211">
        <v>34885</v>
      </c>
      <c r="D629" s="185">
        <v>0.625</v>
      </c>
      <c r="E629">
        <v>0</v>
      </c>
      <c r="F629" s="24">
        <v>10.3</v>
      </c>
      <c r="H629" s="7">
        <v>17.5</v>
      </c>
      <c r="J629" s="1"/>
      <c r="K629" s="1"/>
      <c r="L629" s="10"/>
    </row>
    <row r="630" spans="2:12" ht="15.75" customHeight="1" x14ac:dyDescent="0.2">
      <c r="B630" s="3"/>
      <c r="C630" s="211">
        <v>34885</v>
      </c>
      <c r="D630" s="185">
        <v>0.625</v>
      </c>
      <c r="E630">
        <v>2</v>
      </c>
      <c r="F630" s="24">
        <v>10</v>
      </c>
      <c r="H630" s="7">
        <v>17.5</v>
      </c>
      <c r="J630" s="1"/>
      <c r="K630" s="1"/>
      <c r="L630" s="10"/>
    </row>
    <row r="631" spans="2:12" ht="15.75" customHeight="1" x14ac:dyDescent="0.2">
      <c r="B631" s="3"/>
      <c r="C631" s="211">
        <v>34885</v>
      </c>
      <c r="D631" s="185">
        <v>0.625</v>
      </c>
      <c r="E631">
        <v>4</v>
      </c>
      <c r="F631" s="24">
        <v>10</v>
      </c>
      <c r="H631" s="7">
        <v>17.100000000000001</v>
      </c>
      <c r="J631" s="1"/>
      <c r="K631" s="1"/>
      <c r="L631" s="10"/>
    </row>
    <row r="632" spans="2:12" ht="15.75" customHeight="1" x14ac:dyDescent="0.2">
      <c r="B632" s="3"/>
      <c r="C632" s="211">
        <v>34885</v>
      </c>
      <c r="D632" s="185">
        <v>0.625</v>
      </c>
      <c r="E632">
        <v>6</v>
      </c>
      <c r="F632" s="24">
        <v>10.199999999999999</v>
      </c>
      <c r="H632" s="7">
        <v>16.100000000000001</v>
      </c>
      <c r="J632" s="1"/>
      <c r="K632" s="1"/>
      <c r="L632" s="10"/>
    </row>
    <row r="633" spans="2:12" ht="15.75" customHeight="1" x14ac:dyDescent="0.2">
      <c r="B633" s="3"/>
      <c r="C633" s="211">
        <v>34885</v>
      </c>
      <c r="D633" s="185">
        <v>0.625</v>
      </c>
      <c r="E633">
        <v>8</v>
      </c>
      <c r="F633" s="24">
        <v>10.1</v>
      </c>
      <c r="H633" s="7">
        <v>15.6</v>
      </c>
      <c r="J633" s="1"/>
      <c r="K633" s="1"/>
      <c r="L633" s="10"/>
    </row>
    <row r="634" spans="2:12" ht="15.75" customHeight="1" x14ac:dyDescent="0.2">
      <c r="B634" s="3"/>
      <c r="C634" s="211">
        <v>34885</v>
      </c>
      <c r="D634" s="185">
        <v>0.625</v>
      </c>
      <c r="E634">
        <v>10</v>
      </c>
      <c r="F634" s="24">
        <v>10.3</v>
      </c>
      <c r="H634" s="7">
        <v>13.9</v>
      </c>
      <c r="J634" s="1"/>
      <c r="K634" s="1"/>
      <c r="L634" s="10"/>
    </row>
    <row r="635" spans="2:12" ht="15.75" customHeight="1" x14ac:dyDescent="0.2">
      <c r="B635" s="3"/>
      <c r="C635" s="211">
        <v>34885</v>
      </c>
      <c r="D635" s="185">
        <v>0.625</v>
      </c>
      <c r="E635">
        <v>12</v>
      </c>
      <c r="F635" s="24">
        <v>10.8</v>
      </c>
      <c r="H635" s="7">
        <v>11.3</v>
      </c>
      <c r="J635" s="1"/>
      <c r="K635" s="1"/>
      <c r="L635" s="10"/>
    </row>
    <row r="636" spans="2:12" ht="15.75" customHeight="1" x14ac:dyDescent="0.2">
      <c r="B636" s="3"/>
      <c r="C636" s="211">
        <v>34885</v>
      </c>
      <c r="D636" s="185">
        <v>0.625</v>
      </c>
      <c r="E636">
        <v>14</v>
      </c>
      <c r="F636" s="24">
        <v>11</v>
      </c>
      <c r="H636" s="7">
        <v>9.6999999999999993</v>
      </c>
      <c r="J636" s="1"/>
      <c r="K636" s="1"/>
      <c r="L636" s="10"/>
    </row>
    <row r="637" spans="2:12" ht="15.75" customHeight="1" x14ac:dyDescent="0.2">
      <c r="B637" s="3"/>
      <c r="C637" s="211">
        <v>34885</v>
      </c>
      <c r="D637" s="185">
        <v>0.625</v>
      </c>
      <c r="E637">
        <v>16</v>
      </c>
      <c r="F637" s="24">
        <v>10.9</v>
      </c>
      <c r="H637" s="7">
        <v>9.1</v>
      </c>
      <c r="J637" s="1"/>
      <c r="K637" s="1"/>
      <c r="L637" s="10"/>
    </row>
    <row r="638" spans="2:12" ht="15.75" customHeight="1" x14ac:dyDescent="0.2">
      <c r="B638" s="3"/>
      <c r="C638" s="211">
        <v>34885</v>
      </c>
      <c r="D638" s="185">
        <v>0.625</v>
      </c>
      <c r="E638">
        <v>20</v>
      </c>
      <c r="F638" s="24">
        <v>11.4</v>
      </c>
      <c r="H638" s="7">
        <v>6.4</v>
      </c>
      <c r="J638" s="1"/>
      <c r="K638" s="1"/>
      <c r="L638" s="10"/>
    </row>
    <row r="639" spans="2:12" ht="15.75" customHeight="1" x14ac:dyDescent="0.2">
      <c r="B639" s="3"/>
      <c r="C639" s="211">
        <v>34885</v>
      </c>
      <c r="D639" s="185">
        <v>0.625</v>
      </c>
      <c r="E639">
        <v>25</v>
      </c>
      <c r="F639" s="24">
        <v>11.2</v>
      </c>
      <c r="H639" s="7">
        <v>5.7</v>
      </c>
      <c r="J639" s="1"/>
      <c r="K639" s="1"/>
      <c r="L639" s="10"/>
    </row>
    <row r="640" spans="2:12" ht="15.75" customHeight="1" x14ac:dyDescent="0.2">
      <c r="B640" s="3"/>
      <c r="C640" s="211">
        <v>34885</v>
      </c>
      <c r="D640" s="185">
        <v>0.625</v>
      </c>
      <c r="E640">
        <v>30</v>
      </c>
      <c r="F640" s="24">
        <v>10.9</v>
      </c>
      <c r="H640" s="7">
        <v>5.5</v>
      </c>
      <c r="J640" s="1"/>
      <c r="K640" s="1"/>
      <c r="L640" s="10"/>
    </row>
    <row r="641" spans="2:12" ht="15.75" customHeight="1" x14ac:dyDescent="0.2">
      <c r="B641" s="3"/>
      <c r="C641" s="211">
        <v>34885</v>
      </c>
      <c r="D641" s="185">
        <v>0.625</v>
      </c>
      <c r="E641">
        <v>35</v>
      </c>
      <c r="F641" s="24">
        <v>10.8</v>
      </c>
      <c r="H641" s="7">
        <v>5.4</v>
      </c>
      <c r="J641" s="1"/>
      <c r="K641" s="1"/>
      <c r="L641" s="10"/>
    </row>
    <row r="642" spans="2:12" ht="15.75" customHeight="1" x14ac:dyDescent="0.2">
      <c r="B642" s="3"/>
      <c r="C642" s="211"/>
      <c r="F642" s="24"/>
      <c r="H642" s="7"/>
      <c r="J642" s="1"/>
      <c r="K642" s="1"/>
      <c r="L642" s="10"/>
    </row>
    <row r="643" spans="2:12" ht="15.75" customHeight="1" x14ac:dyDescent="0.2">
      <c r="B643" s="3"/>
      <c r="C643" s="211">
        <v>34823</v>
      </c>
      <c r="D643" s="12">
        <v>0.58333333333333337</v>
      </c>
      <c r="F643" s="24"/>
      <c r="H643" s="7"/>
      <c r="J643" s="1">
        <v>7.4</v>
      </c>
    </row>
    <row r="644" spans="2:12" ht="15.75" customHeight="1" x14ac:dyDescent="0.2">
      <c r="B644" s="3"/>
      <c r="C644" s="211">
        <v>34823</v>
      </c>
      <c r="D644" s="12">
        <v>0.58333333333333337</v>
      </c>
      <c r="E644" s="1">
        <v>0</v>
      </c>
      <c r="F644" s="24">
        <v>12.5</v>
      </c>
      <c r="H644" s="7">
        <v>8.5</v>
      </c>
    </row>
    <row r="645" spans="2:12" ht="15.75" customHeight="1" x14ac:dyDescent="0.2">
      <c r="B645" s="3"/>
      <c r="C645" s="211">
        <v>34823</v>
      </c>
      <c r="D645" s="12">
        <v>0.58333333333333337</v>
      </c>
      <c r="E645" s="1">
        <v>10</v>
      </c>
      <c r="F645" s="24">
        <v>12.3</v>
      </c>
      <c r="H645" s="7">
        <v>6.1</v>
      </c>
    </row>
    <row r="646" spans="2:12" ht="15.75" customHeight="1" x14ac:dyDescent="0.2">
      <c r="B646" s="3"/>
      <c r="C646" s="211">
        <v>34823</v>
      </c>
      <c r="D646" s="12">
        <v>0.58333333333333337</v>
      </c>
      <c r="E646" s="1">
        <v>20</v>
      </c>
      <c r="F646" s="24">
        <v>12</v>
      </c>
      <c r="H646" s="7">
        <v>5.5</v>
      </c>
    </row>
    <row r="647" spans="2:12" ht="15.75" customHeight="1" x14ac:dyDescent="0.2">
      <c r="B647" s="3"/>
      <c r="C647" s="211">
        <v>34823</v>
      </c>
      <c r="D647" s="12">
        <v>0.58333333333333337</v>
      </c>
      <c r="E647" s="1">
        <v>30</v>
      </c>
      <c r="F647" s="24">
        <v>11.8</v>
      </c>
      <c r="H647" s="7">
        <v>5.0999999999999996</v>
      </c>
    </row>
    <row r="648" spans="2:12" ht="15.75" customHeight="1" x14ac:dyDescent="0.2">
      <c r="B648" s="3"/>
      <c r="C648" s="211">
        <v>34823</v>
      </c>
      <c r="D648" s="12">
        <v>0.58333333333333337</v>
      </c>
      <c r="E648" s="1">
        <v>35</v>
      </c>
      <c r="F648" s="24">
        <v>11.5</v>
      </c>
      <c r="H648" s="7">
        <v>4.9000000000000004</v>
      </c>
    </row>
    <row r="649" spans="2:12" ht="15.75" customHeight="1" x14ac:dyDescent="0.2">
      <c r="B649" s="3"/>
      <c r="F649" s="24"/>
      <c r="H649" s="7"/>
    </row>
    <row r="650" spans="2:12" ht="15.75" customHeight="1" x14ac:dyDescent="0.2">
      <c r="B650" s="3">
        <v>35.200000000000003</v>
      </c>
      <c r="C650" s="211">
        <v>34802</v>
      </c>
      <c r="D650" s="12">
        <v>0.46875</v>
      </c>
      <c r="F650" s="24"/>
      <c r="H650" s="7"/>
      <c r="J650" s="1">
        <v>7.6</v>
      </c>
    </row>
    <row r="651" spans="2:12" ht="15.75" customHeight="1" x14ac:dyDescent="0.2">
      <c r="B651" s="3"/>
      <c r="C651" s="211">
        <v>34802</v>
      </c>
      <c r="D651" s="12">
        <v>0.46875</v>
      </c>
      <c r="E651" s="1">
        <v>0</v>
      </c>
      <c r="F651" s="24">
        <v>12.9</v>
      </c>
      <c r="H651" s="7">
        <v>4</v>
      </c>
    </row>
    <row r="652" spans="2:12" ht="15.75" customHeight="1" x14ac:dyDescent="0.2">
      <c r="B652" s="3"/>
      <c r="C652" s="211">
        <v>34802</v>
      </c>
      <c r="D652" s="12">
        <v>0.46875</v>
      </c>
      <c r="E652" s="1">
        <v>10</v>
      </c>
      <c r="F652" s="24">
        <v>12.3</v>
      </c>
      <c r="H652" s="7">
        <v>3.9</v>
      </c>
    </row>
    <row r="653" spans="2:12" ht="15.75" customHeight="1" x14ac:dyDescent="0.2">
      <c r="B653" s="3"/>
      <c r="C653" s="211">
        <v>34802</v>
      </c>
      <c r="D653" s="12">
        <v>0.46875</v>
      </c>
      <c r="E653" s="1">
        <v>20</v>
      </c>
      <c r="F653" s="24">
        <v>12.1</v>
      </c>
      <c r="H653" s="7">
        <v>3.9</v>
      </c>
    </row>
    <row r="654" spans="2:12" ht="15.75" customHeight="1" x14ac:dyDescent="0.2">
      <c r="B654" s="3"/>
      <c r="C654" s="211">
        <v>34802</v>
      </c>
      <c r="D654" s="12">
        <v>0.46875</v>
      </c>
      <c r="E654" s="1">
        <v>30</v>
      </c>
      <c r="F654" s="24">
        <v>12</v>
      </c>
      <c r="H654" s="7">
        <v>3.9</v>
      </c>
    </row>
    <row r="655" spans="2:12" ht="15.75" customHeight="1" x14ac:dyDescent="0.2">
      <c r="B655" s="3"/>
      <c r="C655" s="211">
        <v>34802</v>
      </c>
      <c r="D655" s="12">
        <v>0.46875</v>
      </c>
      <c r="E655" s="1">
        <v>34</v>
      </c>
      <c r="F655" s="24">
        <v>11.9</v>
      </c>
      <c r="H655" s="7">
        <v>3.9</v>
      </c>
    </row>
    <row r="656" spans="2:12" ht="15.75" customHeight="1" x14ac:dyDescent="0.2">
      <c r="B656" s="3"/>
      <c r="F656" s="24"/>
      <c r="H656" s="7"/>
    </row>
    <row r="657" spans="2:10" ht="15.75" customHeight="1" x14ac:dyDescent="0.2">
      <c r="B657" s="3">
        <v>38.1</v>
      </c>
      <c r="C657" s="211">
        <v>34781</v>
      </c>
      <c r="D657" s="12">
        <v>0.5</v>
      </c>
      <c r="F657" s="24"/>
      <c r="H657" s="7"/>
      <c r="J657" s="1">
        <v>9.4</v>
      </c>
    </row>
    <row r="658" spans="2:10" ht="15.75" customHeight="1" x14ac:dyDescent="0.2">
      <c r="B658" s="3"/>
      <c r="C658" s="211"/>
      <c r="D658" s="12"/>
      <c r="F658" s="24"/>
      <c r="H658" s="7"/>
    </row>
    <row r="659" spans="2:10" ht="15.75" customHeight="1" x14ac:dyDescent="0.2">
      <c r="B659" s="3">
        <v>34.6</v>
      </c>
      <c r="C659" s="212">
        <v>34757</v>
      </c>
      <c r="D659" s="28"/>
      <c r="F659" s="24"/>
      <c r="H659" s="7"/>
      <c r="J659" s="1">
        <v>9.5</v>
      </c>
    </row>
    <row r="660" spans="2:10" ht="15.75" customHeight="1" x14ac:dyDescent="0.2">
      <c r="B660" s="3"/>
      <c r="C660" s="212">
        <v>34757</v>
      </c>
      <c r="D660" s="28">
        <v>0.66666666666666663</v>
      </c>
      <c r="E660" s="1">
        <v>0</v>
      </c>
      <c r="F660" s="24">
        <v>12.2</v>
      </c>
      <c r="H660" s="7">
        <v>2.4</v>
      </c>
    </row>
    <row r="661" spans="2:10" ht="15.75" customHeight="1" x14ac:dyDescent="0.2">
      <c r="B661" s="3"/>
      <c r="C661" s="212">
        <v>34757</v>
      </c>
      <c r="D661" s="28">
        <v>0.66666666666666663</v>
      </c>
      <c r="E661" s="1">
        <v>10</v>
      </c>
      <c r="F661" s="24">
        <v>11.8</v>
      </c>
      <c r="H661" s="7">
        <v>2.4</v>
      </c>
    </row>
    <row r="662" spans="2:10" ht="15.75" customHeight="1" x14ac:dyDescent="0.2">
      <c r="B662" s="3"/>
      <c r="C662" s="212">
        <v>34757</v>
      </c>
      <c r="D662" s="28">
        <v>0.66666666666666663</v>
      </c>
      <c r="E662" s="1">
        <v>20</v>
      </c>
      <c r="F662" s="24">
        <v>11.6</v>
      </c>
      <c r="H662" s="7">
        <v>2.4</v>
      </c>
    </row>
    <row r="663" spans="2:10" ht="15.75" customHeight="1" x14ac:dyDescent="0.2">
      <c r="B663" s="3"/>
      <c r="C663" s="212">
        <v>34757</v>
      </c>
      <c r="D663" s="28">
        <v>0.66666666666666663</v>
      </c>
      <c r="E663" s="1">
        <v>30</v>
      </c>
      <c r="F663" s="24">
        <v>11.5</v>
      </c>
      <c r="H663" s="7">
        <v>2.5</v>
      </c>
    </row>
    <row r="664" spans="2:10" ht="15.75" customHeight="1" x14ac:dyDescent="0.2">
      <c r="B664" s="3"/>
      <c r="C664" s="212">
        <v>34757</v>
      </c>
      <c r="D664" s="28">
        <v>0.66666666666666663</v>
      </c>
      <c r="E664" s="1">
        <v>34</v>
      </c>
      <c r="F664" s="24">
        <v>11.5</v>
      </c>
      <c r="H664" s="7">
        <v>2.5</v>
      </c>
    </row>
    <row r="665" spans="2:10" ht="15.75" customHeight="1" x14ac:dyDescent="0.2">
      <c r="B665" s="3"/>
      <c r="F665" s="24"/>
      <c r="H665" s="7"/>
    </row>
    <row r="666" spans="2:10" s="255" customFormat="1" ht="16" x14ac:dyDescent="0.2">
      <c r="B666" s="254">
        <v>38</v>
      </c>
      <c r="C666" s="209">
        <v>34488</v>
      </c>
      <c r="D666" s="185">
        <v>0.47916666666666669</v>
      </c>
      <c r="F666" s="24"/>
      <c r="G666" s="186"/>
      <c r="H666" s="7"/>
      <c r="J666" s="258" t="s">
        <v>257</v>
      </c>
    </row>
    <row r="667" spans="2:10" s="255" customFormat="1" ht="16" x14ac:dyDescent="0.2">
      <c r="B667" s="254"/>
      <c r="C667" s="209">
        <v>34488</v>
      </c>
      <c r="D667" s="185">
        <v>0.47916666666666669</v>
      </c>
      <c r="E667" s="255">
        <v>0</v>
      </c>
      <c r="F667" s="24">
        <v>11.3</v>
      </c>
      <c r="G667" s="186"/>
      <c r="H667" s="7">
        <v>13</v>
      </c>
    </row>
    <row r="668" spans="2:10" s="255" customFormat="1" ht="16" x14ac:dyDescent="0.2">
      <c r="B668" s="254"/>
      <c r="C668" s="209">
        <v>34488</v>
      </c>
      <c r="D668" s="185">
        <v>0.47916666666666669</v>
      </c>
      <c r="E668" s="255">
        <v>2</v>
      </c>
      <c r="F668" s="24">
        <v>10.7</v>
      </c>
      <c r="G668" s="186"/>
      <c r="H668" s="7">
        <v>12.7</v>
      </c>
    </row>
    <row r="669" spans="2:10" s="255" customFormat="1" ht="16" x14ac:dyDescent="0.2">
      <c r="B669" s="254"/>
      <c r="C669" s="209">
        <v>34488</v>
      </c>
      <c r="D669" s="185">
        <v>0.47916666666666669</v>
      </c>
      <c r="E669" s="255">
        <v>4</v>
      </c>
      <c r="F669" s="24">
        <v>10.1</v>
      </c>
      <c r="G669" s="186"/>
      <c r="H669" s="7">
        <v>12.1</v>
      </c>
    </row>
    <row r="670" spans="2:10" s="255" customFormat="1" ht="16" x14ac:dyDescent="0.2">
      <c r="B670" s="254"/>
      <c r="C670" s="209">
        <v>34488</v>
      </c>
      <c r="D670" s="185">
        <v>0.47916666666666669</v>
      </c>
      <c r="E670" s="255">
        <v>6</v>
      </c>
      <c r="F670" s="24">
        <v>10.6</v>
      </c>
      <c r="G670" s="186"/>
      <c r="H670" s="7">
        <v>11.9</v>
      </c>
    </row>
    <row r="671" spans="2:10" s="255" customFormat="1" ht="16" x14ac:dyDescent="0.2">
      <c r="B671" s="254"/>
      <c r="C671" s="209">
        <v>34488</v>
      </c>
      <c r="D671" s="185">
        <v>0.47916666666666669</v>
      </c>
      <c r="E671" s="255">
        <v>8</v>
      </c>
      <c r="F671" s="24">
        <v>10.5</v>
      </c>
      <c r="G671" s="186"/>
      <c r="H671" s="7">
        <v>11.8</v>
      </c>
    </row>
    <row r="672" spans="2:10" s="255" customFormat="1" ht="16" x14ac:dyDescent="0.2">
      <c r="B672" s="254"/>
      <c r="C672" s="209">
        <v>34488</v>
      </c>
      <c r="D672" s="185">
        <v>0.47916666666666669</v>
      </c>
      <c r="E672" s="255">
        <v>10</v>
      </c>
      <c r="F672" s="24">
        <v>10.6</v>
      </c>
      <c r="G672" s="186"/>
      <c r="H672" s="7">
        <v>10.3</v>
      </c>
    </row>
    <row r="673" spans="2:11" s="255" customFormat="1" ht="16" x14ac:dyDescent="0.2">
      <c r="B673" s="254"/>
      <c r="C673" s="209">
        <v>34488</v>
      </c>
      <c r="D673" s="185">
        <v>0.47916666666666669</v>
      </c>
      <c r="E673" s="255">
        <v>12</v>
      </c>
      <c r="F673" s="24">
        <v>10.8</v>
      </c>
      <c r="G673" s="186"/>
      <c r="H673" s="7">
        <v>8.6999999999999993</v>
      </c>
    </row>
    <row r="674" spans="2:11" s="255" customFormat="1" ht="16" x14ac:dyDescent="0.2">
      <c r="B674" s="254"/>
      <c r="C674" s="209">
        <v>34488</v>
      </c>
      <c r="D674" s="185">
        <v>0.47916666666666669</v>
      </c>
      <c r="E674" s="255">
        <v>14</v>
      </c>
      <c r="F674" s="24">
        <v>11</v>
      </c>
      <c r="G674" s="186"/>
      <c r="H674" s="7">
        <v>8</v>
      </c>
    </row>
    <row r="675" spans="2:11" s="255" customFormat="1" ht="16" x14ac:dyDescent="0.2">
      <c r="B675" s="254"/>
      <c r="C675" s="209">
        <v>34488</v>
      </c>
      <c r="D675" s="185">
        <v>0.47916666666666669</v>
      </c>
      <c r="E675" s="255">
        <v>16</v>
      </c>
      <c r="F675" s="24">
        <v>10.9</v>
      </c>
      <c r="G675" s="186"/>
      <c r="H675" s="7">
        <v>7.3</v>
      </c>
    </row>
    <row r="676" spans="2:11" s="255" customFormat="1" ht="16" x14ac:dyDescent="0.2">
      <c r="B676" s="254"/>
      <c r="C676" s="209">
        <v>34488</v>
      </c>
      <c r="D676" s="185">
        <v>0.47916666666666669</v>
      </c>
      <c r="E676" s="255">
        <v>18</v>
      </c>
      <c r="F676" s="24">
        <v>11.1</v>
      </c>
      <c r="G676" s="186"/>
      <c r="H676" s="7">
        <v>6.6</v>
      </c>
    </row>
    <row r="677" spans="2:11" s="255" customFormat="1" ht="16" x14ac:dyDescent="0.2">
      <c r="B677" s="254"/>
      <c r="C677" s="209">
        <v>34488</v>
      </c>
      <c r="D677" s="185">
        <v>0.47916666666666669</v>
      </c>
      <c r="E677" s="255">
        <v>20</v>
      </c>
      <c r="F677" s="24">
        <v>11.1</v>
      </c>
      <c r="G677" s="186"/>
      <c r="H677" s="7">
        <v>5.7</v>
      </c>
    </row>
    <row r="678" spans="2:11" s="255" customFormat="1" ht="16" x14ac:dyDescent="0.2">
      <c r="B678" s="254"/>
      <c r="C678" s="209">
        <v>34488</v>
      </c>
      <c r="D678" s="185">
        <v>0.47916666666666669</v>
      </c>
      <c r="E678" s="255">
        <v>30</v>
      </c>
      <c r="F678" s="24">
        <v>11.1</v>
      </c>
      <c r="G678" s="186"/>
      <c r="H678" s="7">
        <v>5.0999999999999996</v>
      </c>
    </row>
    <row r="679" spans="2:11" s="255" customFormat="1" ht="16" x14ac:dyDescent="0.2">
      <c r="B679" s="254"/>
      <c r="C679" s="209">
        <v>34488</v>
      </c>
      <c r="D679" s="185">
        <v>0.47916666666666669</v>
      </c>
      <c r="E679" s="255">
        <v>37</v>
      </c>
      <c r="F679" s="24">
        <v>11</v>
      </c>
      <c r="G679" s="186"/>
      <c r="H679" s="7">
        <v>4.8</v>
      </c>
    </row>
    <row r="680" spans="2:11" s="255" customFormat="1" ht="16" x14ac:dyDescent="0.2">
      <c r="B680" s="254"/>
      <c r="C680" s="209"/>
      <c r="F680" s="24"/>
      <c r="G680" s="186"/>
      <c r="H680" s="7"/>
    </row>
    <row r="681" spans="2:11" s="255" customFormat="1" ht="16" x14ac:dyDescent="0.2">
      <c r="B681" s="254">
        <v>38</v>
      </c>
      <c r="C681" s="209">
        <v>34473</v>
      </c>
      <c r="D681" s="258" t="s">
        <v>257</v>
      </c>
      <c r="F681" s="24"/>
      <c r="G681" s="186"/>
      <c r="H681" s="7"/>
      <c r="J681" s="258" t="s">
        <v>257</v>
      </c>
    </row>
    <row r="682" spans="2:11" s="255" customFormat="1" ht="16" x14ac:dyDescent="0.2">
      <c r="B682" s="254"/>
      <c r="C682" s="209">
        <v>34473</v>
      </c>
      <c r="D682" s="258" t="s">
        <v>257</v>
      </c>
      <c r="E682" s="255">
        <v>0</v>
      </c>
      <c r="F682" s="24">
        <v>10.9</v>
      </c>
      <c r="G682" s="186"/>
      <c r="H682" s="7">
        <v>10.9</v>
      </c>
    </row>
    <row r="683" spans="2:11" s="255" customFormat="1" ht="16" x14ac:dyDescent="0.2">
      <c r="B683" s="254"/>
      <c r="C683" s="209">
        <v>34473</v>
      </c>
      <c r="D683" s="258" t="s">
        <v>257</v>
      </c>
      <c r="E683" s="255">
        <v>10</v>
      </c>
      <c r="F683" s="24">
        <v>10.9</v>
      </c>
      <c r="G683" s="186"/>
      <c r="H683" s="7">
        <v>9.4</v>
      </c>
    </row>
    <row r="684" spans="2:11" s="255" customFormat="1" ht="16" x14ac:dyDescent="0.2">
      <c r="B684" s="254"/>
      <c r="C684" s="209">
        <v>34473</v>
      </c>
      <c r="D684" s="258" t="s">
        <v>257</v>
      </c>
      <c r="E684" s="255">
        <v>20</v>
      </c>
      <c r="F684" s="24">
        <v>11.3</v>
      </c>
      <c r="G684" s="186"/>
      <c r="H684" s="7">
        <v>6.9</v>
      </c>
    </row>
    <row r="685" spans="2:11" s="255" customFormat="1" ht="16" x14ac:dyDescent="0.2">
      <c r="B685" s="254"/>
      <c r="C685" s="209">
        <v>34473</v>
      </c>
      <c r="D685" s="258" t="s">
        <v>257</v>
      </c>
      <c r="E685" s="255">
        <v>30</v>
      </c>
      <c r="F685" s="24">
        <v>11.3</v>
      </c>
      <c r="G685" s="186"/>
      <c r="H685" s="7">
        <v>4.0999999999999996</v>
      </c>
    </row>
    <row r="686" spans="2:11" s="255" customFormat="1" ht="16" x14ac:dyDescent="0.2">
      <c r="B686" s="254"/>
      <c r="C686" s="209">
        <v>34473</v>
      </c>
      <c r="D686" s="258" t="s">
        <v>257</v>
      </c>
      <c r="E686" s="255">
        <v>36</v>
      </c>
      <c r="F686" s="24">
        <v>11.2</v>
      </c>
      <c r="G686" s="186"/>
      <c r="H686" s="7">
        <v>4</v>
      </c>
    </row>
    <row r="687" spans="2:11" ht="15.75" customHeight="1" x14ac:dyDescent="0.2">
      <c r="B687" s="3"/>
      <c r="F687" s="24"/>
      <c r="H687" s="7"/>
    </row>
    <row r="688" spans="2:11" s="255" customFormat="1" ht="16" x14ac:dyDescent="0.2">
      <c r="B688" s="254">
        <v>49</v>
      </c>
      <c r="C688" s="211">
        <v>35562</v>
      </c>
      <c r="D688" s="185">
        <v>0.47916666666666669</v>
      </c>
      <c r="F688" s="188"/>
      <c r="G688" s="186"/>
      <c r="H688" s="7"/>
      <c r="J688" s="258">
        <v>5.25</v>
      </c>
      <c r="K688" s="258"/>
    </row>
    <row r="689" spans="2:11" s="255" customFormat="1" ht="16" x14ac:dyDescent="0.2">
      <c r="B689" s="254"/>
      <c r="C689" s="211">
        <v>35562</v>
      </c>
      <c r="D689" s="185">
        <v>0.47916666666666669</v>
      </c>
      <c r="E689" s="255">
        <v>0</v>
      </c>
      <c r="F689" s="24">
        <v>10.3</v>
      </c>
      <c r="G689" s="186"/>
      <c r="H689" s="7">
        <v>9.48</v>
      </c>
      <c r="J689" s="258"/>
      <c r="K689" s="258"/>
    </row>
    <row r="690" spans="2:11" s="255" customFormat="1" ht="16" x14ac:dyDescent="0.2">
      <c r="B690" s="254"/>
      <c r="C690" s="211">
        <v>35562</v>
      </c>
      <c r="D690" s="185">
        <v>0.47916666666666669</v>
      </c>
      <c r="E690" s="255">
        <v>10</v>
      </c>
      <c r="F690" s="24">
        <v>11.25</v>
      </c>
      <c r="G690" s="186"/>
      <c r="H690" s="7">
        <v>5.54</v>
      </c>
      <c r="J690" s="258"/>
      <c r="K690" s="258"/>
    </row>
    <row r="691" spans="2:11" s="255" customFormat="1" ht="16" x14ac:dyDescent="0.2">
      <c r="B691" s="254"/>
      <c r="C691" s="211">
        <v>35562</v>
      </c>
      <c r="D691" s="185">
        <v>0.47916666666666669</v>
      </c>
      <c r="E691" s="255">
        <v>20</v>
      </c>
      <c r="F691" s="24">
        <v>11.29</v>
      </c>
      <c r="G691" s="186"/>
      <c r="H691" s="7">
        <v>5.86</v>
      </c>
      <c r="J691" s="258"/>
      <c r="K691" s="258"/>
    </row>
    <row r="692" spans="2:11" s="255" customFormat="1" ht="16" x14ac:dyDescent="0.2">
      <c r="B692" s="254"/>
      <c r="C692" s="211">
        <v>35562</v>
      </c>
      <c r="D692" s="185">
        <v>0.47916666666666669</v>
      </c>
      <c r="E692" s="255">
        <v>30</v>
      </c>
      <c r="F692" s="24">
        <v>11.28</v>
      </c>
      <c r="G692" s="186"/>
      <c r="H692" s="7">
        <v>5.58</v>
      </c>
      <c r="J692" s="258"/>
      <c r="K692" s="258"/>
    </row>
    <row r="693" spans="2:11" s="255" customFormat="1" ht="16" x14ac:dyDescent="0.2">
      <c r="B693" s="254"/>
      <c r="C693" s="211">
        <v>35562</v>
      </c>
      <c r="D693" s="185">
        <v>0.47916666666666669</v>
      </c>
      <c r="E693" s="255">
        <v>40</v>
      </c>
      <c r="F693" s="24">
        <v>11.22</v>
      </c>
      <c r="G693" s="186"/>
      <c r="H693" s="7">
        <v>4.3600000000000003</v>
      </c>
      <c r="J693" s="258"/>
      <c r="K693" s="258"/>
    </row>
    <row r="694" spans="2:11" s="255" customFormat="1" ht="16" x14ac:dyDescent="0.2">
      <c r="B694" s="254"/>
      <c r="C694" s="211">
        <v>35562</v>
      </c>
      <c r="D694" s="185">
        <v>0.47916666666666669</v>
      </c>
      <c r="E694" s="255">
        <v>48</v>
      </c>
      <c r="F694" s="24">
        <v>10.98</v>
      </c>
      <c r="G694" s="186"/>
      <c r="H694" s="7">
        <v>4.08</v>
      </c>
      <c r="J694" s="258"/>
      <c r="K694" s="258"/>
    </row>
    <row r="695" spans="2:11" ht="15.75" customHeight="1" x14ac:dyDescent="0.2">
      <c r="B695" s="3"/>
      <c r="F695" s="24"/>
      <c r="H695" s="7"/>
    </row>
    <row r="696" spans="2:11" ht="15.75" customHeight="1" x14ac:dyDescent="0.2">
      <c r="B696" s="3"/>
      <c r="F696" s="24"/>
      <c r="H696" s="7"/>
    </row>
    <row r="697" spans="2:11" ht="15.75" customHeight="1" x14ac:dyDescent="0.2">
      <c r="B697" s="3"/>
      <c r="F697" s="24"/>
      <c r="H697" s="7"/>
    </row>
    <row r="698" spans="2:11" ht="15.75" customHeight="1" x14ac:dyDescent="0.2">
      <c r="B698" s="3"/>
      <c r="F698" s="24"/>
      <c r="H698" s="7"/>
    </row>
    <row r="699" spans="2:11" ht="15.75" customHeight="1" x14ac:dyDescent="0.2">
      <c r="B699" s="3"/>
      <c r="F699" s="24"/>
      <c r="H699" s="7"/>
    </row>
    <row r="700" spans="2:11" ht="15.75" customHeight="1" x14ac:dyDescent="0.2">
      <c r="B700" s="3"/>
      <c r="F700" s="24"/>
      <c r="H700" s="7"/>
    </row>
    <row r="701" spans="2:11" ht="15.75" customHeight="1" x14ac:dyDescent="0.2">
      <c r="B701" s="3"/>
      <c r="F701" s="24"/>
      <c r="H701" s="7"/>
    </row>
    <row r="702" spans="2:11" ht="15.75" customHeight="1" x14ac:dyDescent="0.2">
      <c r="B702" s="3"/>
      <c r="F702" s="24"/>
      <c r="H702" s="7"/>
    </row>
    <row r="703" spans="2:11" ht="15.75" customHeight="1" x14ac:dyDescent="0.2">
      <c r="B703" s="3"/>
      <c r="F703" s="24"/>
      <c r="H703" s="7"/>
    </row>
    <row r="704" spans="2:11" ht="15.75" customHeight="1" x14ac:dyDescent="0.2">
      <c r="B704" s="3"/>
      <c r="F704" s="24"/>
      <c r="H704" s="7"/>
    </row>
    <row r="705" spans="2:8" ht="15.75" customHeight="1" x14ac:dyDescent="0.2">
      <c r="B705" s="3"/>
      <c r="F705" s="24"/>
      <c r="H705" s="7"/>
    </row>
    <row r="706" spans="2:8" ht="15.75" customHeight="1" x14ac:dyDescent="0.2">
      <c r="B706" s="3"/>
      <c r="F706" s="24"/>
      <c r="H706" s="7"/>
    </row>
    <row r="707" spans="2:8" ht="15.75" customHeight="1" x14ac:dyDescent="0.2">
      <c r="B707" s="3"/>
      <c r="F707" s="24"/>
      <c r="H707" s="7"/>
    </row>
    <row r="708" spans="2:8" ht="15.75" customHeight="1" x14ac:dyDescent="0.2">
      <c r="B708" s="3"/>
      <c r="F708" s="24"/>
      <c r="H708" s="7"/>
    </row>
    <row r="709" spans="2:8" ht="15.75" customHeight="1" x14ac:dyDescent="0.2">
      <c r="B709" s="3"/>
      <c r="F709" s="24"/>
      <c r="H709" s="7"/>
    </row>
    <row r="710" spans="2:8" ht="15.75" customHeight="1" x14ac:dyDescent="0.2">
      <c r="B710" s="3"/>
      <c r="F710" s="24"/>
      <c r="H710" s="7"/>
    </row>
    <row r="711" spans="2:8" ht="15.75" customHeight="1" x14ac:dyDescent="0.2">
      <c r="B711" s="3"/>
      <c r="F711" s="24"/>
      <c r="H711" s="7"/>
    </row>
    <row r="712" spans="2:8" ht="15.75" customHeight="1" x14ac:dyDescent="0.2">
      <c r="B712" s="3"/>
      <c r="F712" s="24"/>
      <c r="H712" s="7"/>
    </row>
    <row r="713" spans="2:8" ht="15.75" customHeight="1" x14ac:dyDescent="0.2">
      <c r="B713" s="3"/>
      <c r="F713" s="24"/>
      <c r="H713" s="7"/>
    </row>
    <row r="714" spans="2:8" ht="15.75" customHeight="1" x14ac:dyDescent="0.2">
      <c r="B714" s="3"/>
      <c r="F714" s="24"/>
      <c r="H714" s="7"/>
    </row>
    <row r="715" spans="2:8" ht="15.75" customHeight="1" x14ac:dyDescent="0.2">
      <c r="B715" s="3"/>
      <c r="F715" s="24"/>
      <c r="H715" s="7"/>
    </row>
    <row r="716" spans="2:8" ht="15.75" customHeight="1" x14ac:dyDescent="0.2">
      <c r="B716" s="3"/>
      <c r="F716" s="24"/>
      <c r="H716" s="7"/>
    </row>
    <row r="717" spans="2:8" ht="15.75" customHeight="1" x14ac:dyDescent="0.2">
      <c r="B717" s="3"/>
      <c r="F717" s="24"/>
      <c r="H717" s="7"/>
    </row>
    <row r="718" spans="2:8" ht="15.75" customHeight="1" x14ac:dyDescent="0.2">
      <c r="B718" s="3"/>
      <c r="F718" s="24"/>
      <c r="H718" s="7"/>
    </row>
    <row r="719" spans="2:8" ht="15.75" customHeight="1" x14ac:dyDescent="0.2">
      <c r="B719" s="3"/>
      <c r="F719" s="24"/>
      <c r="H719" s="7"/>
    </row>
    <row r="720" spans="2:8" ht="15.75" customHeight="1" x14ac:dyDescent="0.2">
      <c r="B720" s="3"/>
      <c r="F720" s="24"/>
      <c r="H720" s="7"/>
    </row>
    <row r="721" spans="2:8" ht="15.75" customHeight="1" x14ac:dyDescent="0.2">
      <c r="B721" s="3"/>
      <c r="F721" s="24"/>
      <c r="H721" s="7"/>
    </row>
    <row r="722" spans="2:8" ht="15.75" customHeight="1" x14ac:dyDescent="0.2">
      <c r="B722" s="3"/>
      <c r="F722" s="24"/>
      <c r="H722" s="7"/>
    </row>
    <row r="723" spans="2:8" ht="15.75" customHeight="1" x14ac:dyDescent="0.2">
      <c r="B723" s="3"/>
      <c r="F723" s="24"/>
      <c r="H723" s="7"/>
    </row>
    <row r="724" spans="2:8" ht="15.75" customHeight="1" x14ac:dyDescent="0.2">
      <c r="B724" s="3"/>
      <c r="F724" s="24"/>
      <c r="H724" s="7"/>
    </row>
    <row r="725" spans="2:8" ht="15.75" customHeight="1" x14ac:dyDescent="0.2">
      <c r="B725" s="3"/>
      <c r="F725" s="24"/>
      <c r="H725" s="7"/>
    </row>
    <row r="726" spans="2:8" ht="15.75" customHeight="1" x14ac:dyDescent="0.2">
      <c r="B726" s="3"/>
      <c r="F726" s="24"/>
      <c r="H726" s="7"/>
    </row>
    <row r="727" spans="2:8" ht="15.75" customHeight="1" x14ac:dyDescent="0.2">
      <c r="B727" s="3"/>
      <c r="F727" s="24"/>
      <c r="H727" s="7"/>
    </row>
    <row r="728" spans="2:8" ht="15.75" customHeight="1" x14ac:dyDescent="0.2">
      <c r="B728" s="3"/>
      <c r="F728" s="24"/>
      <c r="H728" s="7"/>
    </row>
    <row r="729" spans="2:8" ht="15.75" customHeight="1" x14ac:dyDescent="0.2">
      <c r="B729" s="3"/>
      <c r="F729" s="24"/>
      <c r="H729" s="7"/>
    </row>
    <row r="730" spans="2:8" ht="15.75" customHeight="1" x14ac:dyDescent="0.2">
      <c r="B730" s="3"/>
      <c r="F730" s="24"/>
      <c r="H730" s="7"/>
    </row>
    <row r="731" spans="2:8" ht="15.75" customHeight="1" x14ac:dyDescent="0.2">
      <c r="B731" s="3"/>
      <c r="F731" s="24"/>
      <c r="H731" s="7"/>
    </row>
    <row r="732" spans="2:8" ht="15.75" customHeight="1" x14ac:dyDescent="0.2">
      <c r="B732" s="3"/>
      <c r="F732" s="24"/>
      <c r="H732" s="7"/>
    </row>
    <row r="733" spans="2:8" ht="15.75" customHeight="1" x14ac:dyDescent="0.2">
      <c r="B733" s="3"/>
      <c r="F733" s="24"/>
      <c r="H733" s="7"/>
    </row>
    <row r="734" spans="2:8" ht="15.75" customHeight="1" x14ac:dyDescent="0.2">
      <c r="B734" s="3"/>
      <c r="F734" s="24"/>
      <c r="H734" s="7"/>
    </row>
    <row r="735" spans="2:8" ht="15.75" customHeight="1" x14ac:dyDescent="0.2">
      <c r="B735" s="3"/>
      <c r="F735" s="24"/>
      <c r="H735" s="7"/>
    </row>
    <row r="736" spans="2:8" ht="15.75" customHeight="1" x14ac:dyDescent="0.2">
      <c r="B736" s="3"/>
      <c r="F736" s="24"/>
      <c r="H736" s="7"/>
    </row>
    <row r="737" spans="2:8" ht="15.75" customHeight="1" x14ac:dyDescent="0.2">
      <c r="B737" s="3"/>
      <c r="F737" s="24"/>
      <c r="H737" s="7"/>
    </row>
    <row r="738" spans="2:8" ht="15.75" customHeight="1" x14ac:dyDescent="0.2">
      <c r="B738" s="3"/>
      <c r="F738" s="24"/>
      <c r="H738" s="7"/>
    </row>
    <row r="739" spans="2:8" ht="15.75" customHeight="1" x14ac:dyDescent="0.2">
      <c r="B739" s="3"/>
      <c r="F739" s="24"/>
      <c r="H739" s="7"/>
    </row>
    <row r="740" spans="2:8" ht="15.75" customHeight="1" x14ac:dyDescent="0.2">
      <c r="B740" s="3"/>
      <c r="F740" s="24"/>
      <c r="H740" s="7"/>
    </row>
    <row r="741" spans="2:8" ht="15.75" customHeight="1" x14ac:dyDescent="0.2">
      <c r="B741" s="3"/>
      <c r="F741" s="24"/>
      <c r="H741" s="7"/>
    </row>
    <row r="742" spans="2:8" ht="15.75" customHeight="1" x14ac:dyDescent="0.2">
      <c r="B742" s="3"/>
      <c r="F742" s="24"/>
      <c r="H742" s="7"/>
    </row>
    <row r="743" spans="2:8" ht="15.75" customHeight="1" x14ac:dyDescent="0.2">
      <c r="B743" s="3"/>
      <c r="F743" s="24"/>
      <c r="H743" s="7"/>
    </row>
    <row r="744" spans="2:8" ht="15.75" customHeight="1" x14ac:dyDescent="0.2">
      <c r="B744" s="3"/>
      <c r="F744" s="24"/>
      <c r="H744" s="7"/>
    </row>
    <row r="745" spans="2:8" ht="15.75" customHeight="1" x14ac:dyDescent="0.2">
      <c r="B745" s="3"/>
      <c r="F745" s="24"/>
      <c r="H745" s="7"/>
    </row>
    <row r="746" spans="2:8" ht="15.75" customHeight="1" x14ac:dyDescent="0.2">
      <c r="B746" s="3"/>
      <c r="F746" s="24"/>
      <c r="H746" s="7"/>
    </row>
    <row r="747" spans="2:8" ht="15.75" customHeight="1" x14ac:dyDescent="0.2">
      <c r="B747" s="3"/>
      <c r="F747" s="24"/>
      <c r="H747" s="7"/>
    </row>
    <row r="748" spans="2:8" ht="15.75" customHeight="1" x14ac:dyDescent="0.2">
      <c r="B748" s="3"/>
      <c r="F748" s="24"/>
      <c r="H748" s="7"/>
    </row>
    <row r="749" spans="2:8" ht="15.75" customHeight="1" x14ac:dyDescent="0.2">
      <c r="B749" s="3"/>
      <c r="F749" s="24"/>
      <c r="H749" s="7"/>
    </row>
    <row r="750" spans="2:8" ht="15.75" customHeight="1" x14ac:dyDescent="0.2">
      <c r="B750" s="3"/>
      <c r="F750" s="24"/>
      <c r="H750" s="7"/>
    </row>
    <row r="751" spans="2:8" ht="15.75" customHeight="1" x14ac:dyDescent="0.2">
      <c r="B751" s="3"/>
      <c r="F751" s="24"/>
      <c r="H751" s="7"/>
    </row>
    <row r="752" spans="2:8" ht="15.75" customHeight="1" x14ac:dyDescent="0.2">
      <c r="B752" s="3"/>
      <c r="F752" s="24"/>
      <c r="H752" s="7"/>
    </row>
    <row r="753" spans="2:8" ht="15.75" customHeight="1" x14ac:dyDescent="0.2">
      <c r="B753" s="3"/>
      <c r="F753" s="24"/>
      <c r="H753" s="7"/>
    </row>
    <row r="754" spans="2:8" ht="15.75" customHeight="1" x14ac:dyDescent="0.2">
      <c r="B754" s="3"/>
      <c r="F754" s="24"/>
      <c r="H754" s="7"/>
    </row>
    <row r="755" spans="2:8" ht="15.75" customHeight="1" x14ac:dyDescent="0.2">
      <c r="B755" s="3"/>
      <c r="F755" s="24"/>
      <c r="H755" s="7"/>
    </row>
    <row r="756" spans="2:8" ht="15.75" customHeight="1" x14ac:dyDescent="0.2">
      <c r="B756" s="3"/>
      <c r="F756" s="24"/>
      <c r="H756" s="7"/>
    </row>
    <row r="757" spans="2:8" ht="15.75" customHeight="1" x14ac:dyDescent="0.2">
      <c r="B757" s="3"/>
      <c r="F757" s="24"/>
      <c r="H757" s="7"/>
    </row>
    <row r="758" spans="2:8" ht="15.75" customHeight="1" x14ac:dyDescent="0.2">
      <c r="B758" s="3"/>
      <c r="F758" s="24"/>
      <c r="H758" s="7"/>
    </row>
    <row r="759" spans="2:8" ht="15.75" customHeight="1" x14ac:dyDescent="0.2">
      <c r="B759" s="3"/>
      <c r="F759" s="24"/>
      <c r="H759" s="7"/>
    </row>
    <row r="760" spans="2:8" ht="15.75" customHeight="1" x14ac:dyDescent="0.2">
      <c r="B760" s="3"/>
      <c r="F760" s="24"/>
      <c r="H760" s="7"/>
    </row>
    <row r="761" spans="2:8" ht="15.75" customHeight="1" x14ac:dyDescent="0.2">
      <c r="B761" s="3"/>
      <c r="F761" s="24"/>
      <c r="H761" s="7"/>
    </row>
    <row r="762" spans="2:8" ht="15.75" customHeight="1" x14ac:dyDescent="0.2">
      <c r="B762" s="3"/>
      <c r="F762" s="24"/>
      <c r="H762" s="7"/>
    </row>
    <row r="763" spans="2:8" ht="15.75" customHeight="1" x14ac:dyDescent="0.2">
      <c r="B763" s="3"/>
      <c r="F763" s="24"/>
      <c r="H763" s="7"/>
    </row>
    <row r="764" spans="2:8" ht="15.75" customHeight="1" x14ac:dyDescent="0.2">
      <c r="B764" s="3"/>
      <c r="F764" s="24"/>
      <c r="H764" s="7"/>
    </row>
    <row r="765" spans="2:8" ht="15.75" customHeight="1" x14ac:dyDescent="0.2">
      <c r="B765" s="3"/>
      <c r="F765" s="24"/>
      <c r="H765" s="7"/>
    </row>
    <row r="766" spans="2:8" ht="15.75" customHeight="1" x14ac:dyDescent="0.2">
      <c r="B766" s="3"/>
      <c r="F766" s="24"/>
      <c r="H766" s="7"/>
    </row>
    <row r="767" spans="2:8" ht="15.75" customHeight="1" x14ac:dyDescent="0.2">
      <c r="B767" s="3"/>
      <c r="F767" s="24"/>
      <c r="H767" s="7"/>
    </row>
    <row r="768" spans="2:8" ht="15.75" customHeight="1" x14ac:dyDescent="0.2">
      <c r="B768" s="3"/>
      <c r="F768" s="24"/>
      <c r="H768" s="7"/>
    </row>
    <row r="769" spans="2:8" ht="15.75" customHeight="1" x14ac:dyDescent="0.2">
      <c r="B769" s="3"/>
      <c r="F769" s="24"/>
      <c r="H769" s="7"/>
    </row>
    <row r="770" spans="2:8" ht="15.75" customHeight="1" x14ac:dyDescent="0.2">
      <c r="B770" s="3"/>
      <c r="F770" s="24"/>
      <c r="H770" s="7"/>
    </row>
    <row r="771" spans="2:8" ht="15.75" customHeight="1" x14ac:dyDescent="0.2">
      <c r="B771" s="3"/>
      <c r="F771" s="24"/>
      <c r="H771" s="7"/>
    </row>
    <row r="772" spans="2:8" ht="15.75" customHeight="1" x14ac:dyDescent="0.2">
      <c r="B772" s="3"/>
      <c r="F772" s="24"/>
      <c r="H772" s="7"/>
    </row>
    <row r="773" spans="2:8" ht="15.75" customHeight="1" x14ac:dyDescent="0.2">
      <c r="B773" s="3"/>
      <c r="F773" s="24"/>
      <c r="H773" s="7"/>
    </row>
    <row r="774" spans="2:8" ht="15.75" customHeight="1" x14ac:dyDescent="0.2">
      <c r="B774" s="3"/>
      <c r="F774" s="24"/>
      <c r="H774" s="7"/>
    </row>
    <row r="775" spans="2:8" ht="15.75" customHeight="1" x14ac:dyDescent="0.2">
      <c r="B775" s="3"/>
      <c r="F775" s="24"/>
      <c r="H775" s="7"/>
    </row>
    <row r="776" spans="2:8" ht="15.75" customHeight="1" x14ac:dyDescent="0.2">
      <c r="B776" s="3"/>
      <c r="F776" s="24"/>
      <c r="H776" s="7"/>
    </row>
    <row r="777" spans="2:8" ht="15.75" customHeight="1" x14ac:dyDescent="0.2">
      <c r="B777" s="3"/>
      <c r="F777" s="24"/>
      <c r="H777" s="7"/>
    </row>
    <row r="778" spans="2:8" ht="15.75" customHeight="1" x14ac:dyDescent="0.2">
      <c r="B778" s="3"/>
      <c r="F778" s="24"/>
      <c r="H778" s="7"/>
    </row>
    <row r="779" spans="2:8" ht="15.75" customHeight="1" x14ac:dyDescent="0.2">
      <c r="B779" s="3"/>
      <c r="F779" s="24"/>
      <c r="H779" s="7"/>
    </row>
    <row r="780" spans="2:8" ht="15.75" customHeight="1" x14ac:dyDescent="0.2">
      <c r="B780" s="3"/>
      <c r="F780" s="24"/>
      <c r="H780" s="7"/>
    </row>
    <row r="781" spans="2:8" ht="15.75" customHeight="1" x14ac:dyDescent="0.2">
      <c r="B781" s="3"/>
      <c r="F781" s="24"/>
      <c r="H781" s="7"/>
    </row>
    <row r="782" spans="2:8" ht="15.75" customHeight="1" x14ac:dyDescent="0.2">
      <c r="B782" s="3"/>
      <c r="F782" s="24"/>
      <c r="H782" s="7"/>
    </row>
    <row r="783" spans="2:8" ht="15.75" customHeight="1" x14ac:dyDescent="0.2">
      <c r="B783" s="3"/>
      <c r="F783" s="24"/>
      <c r="H783" s="7"/>
    </row>
    <row r="784" spans="2:8" ht="15.75" customHeight="1" x14ac:dyDescent="0.2">
      <c r="B784" s="3"/>
      <c r="F784" s="24"/>
      <c r="H784" s="7"/>
    </row>
    <row r="785" spans="2:8" ht="15.75" customHeight="1" x14ac:dyDescent="0.2">
      <c r="B785" s="3"/>
      <c r="F785" s="24"/>
      <c r="H785" s="7"/>
    </row>
    <row r="786" spans="2:8" ht="15.75" customHeight="1" x14ac:dyDescent="0.2">
      <c r="B786" s="3"/>
      <c r="F786" s="24"/>
      <c r="H786" s="7"/>
    </row>
    <row r="787" spans="2:8" ht="15.75" customHeight="1" x14ac:dyDescent="0.2">
      <c r="B787" s="3"/>
      <c r="F787" s="24"/>
      <c r="H787" s="7"/>
    </row>
    <row r="788" spans="2:8" ht="15.75" customHeight="1" x14ac:dyDescent="0.2">
      <c r="B788" s="3"/>
      <c r="F788" s="24"/>
      <c r="H788" s="7"/>
    </row>
    <row r="789" spans="2:8" ht="15.75" customHeight="1" x14ac:dyDescent="0.2">
      <c r="B789" s="3"/>
      <c r="F789" s="24"/>
      <c r="H789" s="7"/>
    </row>
    <row r="790" spans="2:8" ht="15.75" customHeight="1" x14ac:dyDescent="0.2">
      <c r="B790" s="3"/>
      <c r="F790" s="24"/>
      <c r="H790" s="7"/>
    </row>
    <row r="791" spans="2:8" ht="15.75" customHeight="1" x14ac:dyDescent="0.2">
      <c r="B791" s="3"/>
      <c r="F791" s="24"/>
      <c r="H791" s="7"/>
    </row>
    <row r="792" spans="2:8" ht="15.75" customHeight="1" x14ac:dyDescent="0.2">
      <c r="B792" s="3"/>
      <c r="F792" s="24"/>
      <c r="H792" s="7"/>
    </row>
    <row r="793" spans="2:8" ht="15.75" customHeight="1" x14ac:dyDescent="0.2">
      <c r="B793" s="3"/>
      <c r="F793" s="24"/>
      <c r="H793" s="7"/>
    </row>
    <row r="794" spans="2:8" ht="15.75" customHeight="1" x14ac:dyDescent="0.2">
      <c r="B794" s="3"/>
      <c r="F794" s="24"/>
      <c r="H794" s="7"/>
    </row>
    <row r="795" spans="2:8" ht="15.75" customHeight="1" x14ac:dyDescent="0.2">
      <c r="B795" s="3"/>
      <c r="F795" s="24"/>
      <c r="H795" s="7"/>
    </row>
    <row r="796" spans="2:8" ht="15.75" customHeight="1" x14ac:dyDescent="0.2">
      <c r="B796" s="3"/>
      <c r="F796" s="24"/>
      <c r="H796" s="7"/>
    </row>
    <row r="797" spans="2:8" ht="15.75" customHeight="1" x14ac:dyDescent="0.2">
      <c r="B797" s="3"/>
      <c r="F797" s="24"/>
      <c r="H797" s="7"/>
    </row>
    <row r="798" spans="2:8" ht="15.75" customHeight="1" x14ac:dyDescent="0.2">
      <c r="B798" s="3"/>
      <c r="F798" s="24"/>
      <c r="H798" s="7"/>
    </row>
    <row r="799" spans="2:8" ht="15.75" customHeight="1" x14ac:dyDescent="0.2">
      <c r="B799" s="3"/>
      <c r="F799" s="24"/>
      <c r="H799" s="7"/>
    </row>
    <row r="800" spans="2:8" ht="15.75" customHeight="1" x14ac:dyDescent="0.2">
      <c r="B800" s="3"/>
      <c r="F800" s="24"/>
      <c r="H800" s="7"/>
    </row>
    <row r="801" spans="2:8" ht="15.75" customHeight="1" x14ac:dyDescent="0.2">
      <c r="B801" s="3"/>
      <c r="F801" s="24"/>
      <c r="H801" s="7"/>
    </row>
    <row r="802" spans="2:8" ht="15.75" customHeight="1" x14ac:dyDescent="0.2">
      <c r="B802" s="3"/>
      <c r="F802" s="24"/>
      <c r="H802" s="7"/>
    </row>
    <row r="803" spans="2:8" ht="15.75" customHeight="1" x14ac:dyDescent="0.2">
      <c r="B803" s="3"/>
      <c r="F803" s="24"/>
      <c r="H803" s="7"/>
    </row>
    <row r="804" spans="2:8" ht="15.75" customHeight="1" x14ac:dyDescent="0.2">
      <c r="B804" s="3"/>
      <c r="F804" s="24"/>
      <c r="H804" s="7"/>
    </row>
    <row r="805" spans="2:8" ht="15.75" customHeight="1" x14ac:dyDescent="0.2">
      <c r="B805" s="3"/>
      <c r="F805" s="24"/>
      <c r="H805" s="7"/>
    </row>
    <row r="806" spans="2:8" ht="15.75" customHeight="1" x14ac:dyDescent="0.2">
      <c r="B806" s="3"/>
      <c r="F806" s="24"/>
      <c r="H806" s="7"/>
    </row>
    <row r="807" spans="2:8" ht="15.75" customHeight="1" x14ac:dyDescent="0.2">
      <c r="B807" s="3"/>
      <c r="F807" s="24"/>
      <c r="H807" s="7"/>
    </row>
    <row r="808" spans="2:8" ht="15.75" customHeight="1" x14ac:dyDescent="0.2">
      <c r="B808" s="3"/>
      <c r="F808" s="24"/>
      <c r="H808" s="7"/>
    </row>
    <row r="809" spans="2:8" ht="15.75" customHeight="1" x14ac:dyDescent="0.2">
      <c r="B809" s="3"/>
      <c r="F809" s="24"/>
      <c r="H809" s="7"/>
    </row>
    <row r="810" spans="2:8" ht="15.75" customHeight="1" x14ac:dyDescent="0.2">
      <c r="B810" s="3"/>
      <c r="F810" s="24"/>
      <c r="H810" s="7"/>
    </row>
    <row r="811" spans="2:8" ht="15.75" customHeight="1" x14ac:dyDescent="0.2">
      <c r="B811" s="3"/>
      <c r="F811" s="24"/>
      <c r="H811" s="7"/>
    </row>
    <row r="812" spans="2:8" ht="15.75" customHeight="1" x14ac:dyDescent="0.2">
      <c r="B812" s="3"/>
      <c r="F812" s="24"/>
      <c r="H812" s="7"/>
    </row>
    <row r="813" spans="2:8" ht="15.75" customHeight="1" x14ac:dyDescent="0.2">
      <c r="B813" s="3"/>
      <c r="F813" s="24"/>
      <c r="H813" s="7"/>
    </row>
    <row r="814" spans="2:8" ht="15.75" customHeight="1" x14ac:dyDescent="0.2">
      <c r="B814" s="3"/>
      <c r="F814" s="24"/>
      <c r="H814" s="7"/>
    </row>
    <row r="815" spans="2:8" ht="15.75" customHeight="1" x14ac:dyDescent="0.2">
      <c r="B815" s="3"/>
      <c r="F815" s="24"/>
      <c r="H815" s="7"/>
    </row>
    <row r="816" spans="2:8" ht="15.75" customHeight="1" x14ac:dyDescent="0.2">
      <c r="B816" s="3"/>
      <c r="F816" s="24"/>
      <c r="H816" s="7"/>
    </row>
    <row r="817" spans="2:8" ht="15.75" customHeight="1" x14ac:dyDescent="0.2">
      <c r="B817" s="3"/>
      <c r="F817" s="24"/>
      <c r="H817" s="7"/>
    </row>
    <row r="818" spans="2:8" ht="15.75" customHeight="1" x14ac:dyDescent="0.2">
      <c r="B818" s="3"/>
      <c r="F818" s="24"/>
      <c r="H818" s="7"/>
    </row>
    <row r="819" spans="2:8" ht="15.75" customHeight="1" x14ac:dyDescent="0.2">
      <c r="B819" s="3"/>
      <c r="F819" s="24"/>
      <c r="H819" s="7"/>
    </row>
    <row r="820" spans="2:8" ht="15.75" customHeight="1" x14ac:dyDescent="0.2">
      <c r="B820" s="3"/>
      <c r="F820" s="24"/>
      <c r="H820" s="7"/>
    </row>
    <row r="821" spans="2:8" ht="15.75" customHeight="1" x14ac:dyDescent="0.2">
      <c r="B821" s="3"/>
      <c r="F821" s="24"/>
      <c r="H821" s="7"/>
    </row>
    <row r="822" spans="2:8" ht="15.75" customHeight="1" x14ac:dyDescent="0.2">
      <c r="B822" s="3"/>
      <c r="F822" s="24"/>
      <c r="H822" s="7"/>
    </row>
    <row r="823" spans="2:8" ht="15.75" customHeight="1" x14ac:dyDescent="0.2">
      <c r="B823" s="3"/>
      <c r="F823" s="24"/>
      <c r="H823" s="7"/>
    </row>
    <row r="824" spans="2:8" ht="15.75" customHeight="1" x14ac:dyDescent="0.2">
      <c r="B824" s="3"/>
      <c r="F824" s="24"/>
      <c r="H824" s="7"/>
    </row>
    <row r="825" spans="2:8" ht="15.75" customHeight="1" x14ac:dyDescent="0.2">
      <c r="B825" s="3"/>
      <c r="F825" s="24"/>
      <c r="H825" s="7"/>
    </row>
    <row r="826" spans="2:8" ht="15.75" customHeight="1" x14ac:dyDescent="0.2">
      <c r="B826" s="3"/>
      <c r="F826" s="24"/>
      <c r="H826" s="7"/>
    </row>
    <row r="827" spans="2:8" ht="15.75" customHeight="1" x14ac:dyDescent="0.2">
      <c r="B827" s="3"/>
      <c r="F827" s="24"/>
      <c r="H827" s="7"/>
    </row>
    <row r="828" spans="2:8" ht="15.75" customHeight="1" x14ac:dyDescent="0.2">
      <c r="B828" s="3"/>
      <c r="F828" s="24"/>
      <c r="H828" s="7"/>
    </row>
    <row r="829" spans="2:8" ht="15.75" customHeight="1" x14ac:dyDescent="0.2">
      <c r="B829" s="3"/>
      <c r="F829" s="24"/>
      <c r="H829" s="7"/>
    </row>
    <row r="830" spans="2:8" ht="15.75" customHeight="1" x14ac:dyDescent="0.2">
      <c r="B830" s="3"/>
      <c r="F830" s="24"/>
      <c r="H830" s="7"/>
    </row>
    <row r="831" spans="2:8" ht="15.75" customHeight="1" x14ac:dyDescent="0.2">
      <c r="B831" s="3"/>
      <c r="F831" s="24"/>
      <c r="H831" s="7"/>
    </row>
    <row r="832" spans="2:8" ht="15.75" customHeight="1" x14ac:dyDescent="0.2">
      <c r="B832" s="3"/>
      <c r="F832" s="24"/>
      <c r="H832" s="7"/>
    </row>
    <row r="833" spans="2:8" ht="15.75" customHeight="1" x14ac:dyDescent="0.2">
      <c r="B833" s="3"/>
      <c r="F833" s="24"/>
      <c r="H833" s="7"/>
    </row>
    <row r="834" spans="2:8" ht="15.75" customHeight="1" x14ac:dyDescent="0.2">
      <c r="B834" s="3"/>
      <c r="F834" s="24"/>
      <c r="H834" s="7"/>
    </row>
    <row r="835" spans="2:8" ht="15.75" customHeight="1" x14ac:dyDescent="0.2">
      <c r="B835" s="3"/>
      <c r="F835" s="24"/>
      <c r="H835" s="7"/>
    </row>
    <row r="836" spans="2:8" ht="15.75" customHeight="1" x14ac:dyDescent="0.2">
      <c r="B836" s="3"/>
      <c r="F836" s="24"/>
      <c r="H836" s="7"/>
    </row>
    <row r="837" spans="2:8" ht="15.75" customHeight="1" x14ac:dyDescent="0.2">
      <c r="B837" s="3"/>
      <c r="F837" s="24"/>
      <c r="H837" s="7"/>
    </row>
    <row r="838" spans="2:8" ht="15.75" customHeight="1" x14ac:dyDescent="0.2">
      <c r="B838" s="3"/>
      <c r="F838" s="24"/>
      <c r="H838" s="7"/>
    </row>
    <row r="839" spans="2:8" ht="15.75" customHeight="1" x14ac:dyDescent="0.2">
      <c r="B839" s="3"/>
      <c r="F839" s="24"/>
      <c r="H839" s="7"/>
    </row>
    <row r="840" spans="2:8" ht="15.75" customHeight="1" x14ac:dyDescent="0.2">
      <c r="B840" s="3"/>
      <c r="F840" s="24"/>
      <c r="H840" s="7"/>
    </row>
    <row r="841" spans="2:8" ht="15.75" customHeight="1" x14ac:dyDescent="0.2">
      <c r="B841" s="3"/>
      <c r="F841" s="24"/>
      <c r="H841" s="7"/>
    </row>
    <row r="842" spans="2:8" ht="15.75" customHeight="1" x14ac:dyDescent="0.2">
      <c r="B842" s="3"/>
      <c r="F842" s="24"/>
      <c r="H842" s="7"/>
    </row>
    <row r="843" spans="2:8" ht="15.75" customHeight="1" x14ac:dyDescent="0.2">
      <c r="B843" s="3"/>
      <c r="F843" s="24"/>
      <c r="H843" s="7"/>
    </row>
    <row r="844" spans="2:8" ht="15.75" customHeight="1" x14ac:dyDescent="0.2">
      <c r="B844" s="3"/>
      <c r="F844" s="24"/>
      <c r="H844" s="7"/>
    </row>
    <row r="845" spans="2:8" ht="15.75" customHeight="1" x14ac:dyDescent="0.2">
      <c r="B845" s="3"/>
      <c r="F845" s="24"/>
      <c r="H845" s="7"/>
    </row>
    <row r="846" spans="2:8" ht="15.75" customHeight="1" x14ac:dyDescent="0.2">
      <c r="B846" s="3"/>
      <c r="F846" s="24"/>
      <c r="H846" s="7"/>
    </row>
    <row r="847" spans="2:8" ht="15.75" customHeight="1" x14ac:dyDescent="0.2">
      <c r="B847" s="3"/>
      <c r="F847" s="24"/>
      <c r="H847" s="7"/>
    </row>
    <row r="848" spans="2:8" ht="15.75" customHeight="1" x14ac:dyDescent="0.2">
      <c r="B848" s="3"/>
      <c r="F848" s="24"/>
      <c r="H848" s="7"/>
    </row>
    <row r="849" spans="2:8" ht="15.75" customHeight="1" x14ac:dyDescent="0.2">
      <c r="B849" s="3"/>
      <c r="F849" s="24"/>
      <c r="H849" s="7"/>
    </row>
    <row r="850" spans="2:8" ht="15.75" customHeight="1" x14ac:dyDescent="0.2">
      <c r="B850" s="3"/>
      <c r="F850" s="24"/>
      <c r="H850" s="7"/>
    </row>
    <row r="851" spans="2:8" ht="15.75" customHeight="1" x14ac:dyDescent="0.2">
      <c r="B851" s="3"/>
      <c r="F851" s="24"/>
      <c r="H851" s="7"/>
    </row>
    <row r="852" spans="2:8" ht="15.75" customHeight="1" x14ac:dyDescent="0.2">
      <c r="B852" s="3"/>
      <c r="F852" s="24"/>
      <c r="H852" s="7"/>
    </row>
    <row r="853" spans="2:8" ht="15.75" customHeight="1" x14ac:dyDescent="0.2">
      <c r="B853" s="3"/>
      <c r="F853" s="24"/>
      <c r="H853" s="7"/>
    </row>
    <row r="854" spans="2:8" ht="15.75" customHeight="1" x14ac:dyDescent="0.2">
      <c r="B854" s="3"/>
      <c r="F854" s="24"/>
      <c r="H854" s="7"/>
    </row>
    <row r="855" spans="2:8" ht="15.75" customHeight="1" x14ac:dyDescent="0.2">
      <c r="B855" s="3"/>
      <c r="F855" s="24"/>
      <c r="H855" s="7"/>
    </row>
    <row r="856" spans="2:8" ht="15.75" customHeight="1" x14ac:dyDescent="0.2">
      <c r="B856" s="3"/>
      <c r="F856" s="24"/>
      <c r="H856" s="7"/>
    </row>
    <row r="857" spans="2:8" ht="15.75" customHeight="1" x14ac:dyDescent="0.2">
      <c r="B857" s="3"/>
      <c r="F857" s="24"/>
      <c r="H857" s="7"/>
    </row>
    <row r="858" spans="2:8" ht="15.75" customHeight="1" x14ac:dyDescent="0.2">
      <c r="B858" s="3"/>
      <c r="F858" s="24"/>
      <c r="H858" s="7"/>
    </row>
    <row r="859" spans="2:8" ht="15.75" customHeight="1" x14ac:dyDescent="0.2">
      <c r="B859" s="3"/>
      <c r="F859" s="24"/>
      <c r="H859" s="7"/>
    </row>
    <row r="860" spans="2:8" ht="15.75" customHeight="1" x14ac:dyDescent="0.2">
      <c r="B860" s="3"/>
      <c r="F860" s="24"/>
      <c r="H860" s="7"/>
    </row>
    <row r="861" spans="2:8" ht="15.75" customHeight="1" x14ac:dyDescent="0.2">
      <c r="B861" s="3"/>
      <c r="F861" s="24"/>
      <c r="H861" s="7"/>
    </row>
    <row r="862" spans="2:8" ht="15.75" customHeight="1" x14ac:dyDescent="0.2">
      <c r="B862" s="3"/>
      <c r="F862" s="24"/>
      <c r="H862" s="7"/>
    </row>
    <row r="863" spans="2:8" ht="15.75" customHeight="1" x14ac:dyDescent="0.2">
      <c r="B863" s="3"/>
      <c r="F863" s="24"/>
      <c r="H863" s="7"/>
    </row>
    <row r="864" spans="2:8" ht="15.75" customHeight="1" x14ac:dyDescent="0.2">
      <c r="B864" s="3"/>
      <c r="F864" s="24"/>
      <c r="H864" s="7"/>
    </row>
    <row r="865" spans="2:8" ht="15.75" customHeight="1" x14ac:dyDescent="0.2">
      <c r="B865" s="3"/>
      <c r="F865" s="24"/>
      <c r="H865" s="7"/>
    </row>
    <row r="866" spans="2:8" ht="15.75" customHeight="1" x14ac:dyDescent="0.2">
      <c r="B866" s="3"/>
      <c r="F866" s="24"/>
      <c r="H866" s="7"/>
    </row>
    <row r="867" spans="2:8" ht="15.75" customHeight="1" x14ac:dyDescent="0.2">
      <c r="B867" s="3"/>
      <c r="F867" s="24"/>
      <c r="H867" s="7"/>
    </row>
    <row r="868" spans="2:8" ht="15.75" customHeight="1" x14ac:dyDescent="0.2">
      <c r="B868" s="3"/>
      <c r="F868" s="24"/>
      <c r="H868" s="7"/>
    </row>
    <row r="869" spans="2:8" ht="15.75" customHeight="1" x14ac:dyDescent="0.2">
      <c r="B869" s="3"/>
      <c r="F869" s="24"/>
      <c r="H869" s="7"/>
    </row>
    <row r="870" spans="2:8" ht="15.75" customHeight="1" x14ac:dyDescent="0.2">
      <c r="B870" s="3"/>
      <c r="F870" s="24"/>
      <c r="H870" s="7"/>
    </row>
    <row r="871" spans="2:8" ht="15.75" customHeight="1" x14ac:dyDescent="0.2">
      <c r="B871" s="3"/>
      <c r="F871" s="24"/>
      <c r="H871" s="7"/>
    </row>
    <row r="872" spans="2:8" ht="15.75" customHeight="1" x14ac:dyDescent="0.2">
      <c r="B872" s="3"/>
      <c r="F872" s="24"/>
      <c r="H872" s="7"/>
    </row>
    <row r="873" spans="2:8" ht="15.75" customHeight="1" x14ac:dyDescent="0.2">
      <c r="B873" s="3"/>
      <c r="F873" s="24"/>
      <c r="H873" s="7"/>
    </row>
    <row r="874" spans="2:8" ht="15.75" customHeight="1" x14ac:dyDescent="0.2">
      <c r="B874" s="3"/>
      <c r="F874" s="24"/>
      <c r="H874" s="7"/>
    </row>
    <row r="875" spans="2:8" ht="15.75" customHeight="1" x14ac:dyDescent="0.2">
      <c r="B875" s="3"/>
      <c r="F875" s="24"/>
      <c r="H875" s="7"/>
    </row>
    <row r="876" spans="2:8" ht="15.75" customHeight="1" x14ac:dyDescent="0.2">
      <c r="B876" s="3"/>
      <c r="F876" s="24"/>
      <c r="H876" s="7"/>
    </row>
    <row r="877" spans="2:8" ht="15.75" customHeight="1" x14ac:dyDescent="0.2">
      <c r="B877" s="3"/>
      <c r="F877" s="24"/>
      <c r="H877" s="7"/>
    </row>
    <row r="878" spans="2:8" ht="15.75" customHeight="1" x14ac:dyDescent="0.2">
      <c r="B878" s="3"/>
      <c r="F878" s="24"/>
      <c r="H878" s="7"/>
    </row>
    <row r="879" spans="2:8" ht="15.75" customHeight="1" x14ac:dyDescent="0.2">
      <c r="B879" s="3"/>
      <c r="F879" s="24"/>
      <c r="H879" s="7"/>
    </row>
    <row r="880" spans="2:8" ht="15.75" customHeight="1" x14ac:dyDescent="0.2">
      <c r="B880" s="3"/>
      <c r="F880" s="24"/>
      <c r="H880" s="7"/>
    </row>
    <row r="881" spans="2:8" ht="15.75" customHeight="1" x14ac:dyDescent="0.2">
      <c r="B881" s="3"/>
      <c r="F881" s="24"/>
      <c r="H881" s="7"/>
    </row>
    <row r="882" spans="2:8" ht="15.75" customHeight="1" x14ac:dyDescent="0.2">
      <c r="B882" s="3"/>
      <c r="F882" s="24"/>
      <c r="H882" s="7"/>
    </row>
    <row r="883" spans="2:8" ht="15.75" customHeight="1" x14ac:dyDescent="0.2">
      <c r="B883" s="3"/>
      <c r="F883" s="24"/>
      <c r="H883" s="7"/>
    </row>
    <row r="884" spans="2:8" ht="15.75" customHeight="1" x14ac:dyDescent="0.2">
      <c r="B884" s="3"/>
      <c r="F884" s="24"/>
      <c r="H884" s="7"/>
    </row>
    <row r="885" spans="2:8" ht="15.75" customHeight="1" x14ac:dyDescent="0.2">
      <c r="B885" s="3"/>
      <c r="F885" s="24"/>
      <c r="H885" s="7"/>
    </row>
    <row r="886" spans="2:8" ht="15.75" customHeight="1" x14ac:dyDescent="0.2">
      <c r="B886" s="3"/>
      <c r="F886" s="24"/>
      <c r="H886" s="7"/>
    </row>
    <row r="887" spans="2:8" ht="15.75" customHeight="1" x14ac:dyDescent="0.2">
      <c r="B887" s="3"/>
      <c r="F887" s="24"/>
      <c r="H887" s="7"/>
    </row>
    <row r="888" spans="2:8" ht="15.75" customHeight="1" x14ac:dyDescent="0.2">
      <c r="B888" s="3"/>
      <c r="F888" s="24"/>
      <c r="H888" s="7"/>
    </row>
    <row r="889" spans="2:8" ht="15.75" customHeight="1" x14ac:dyDescent="0.2">
      <c r="B889" s="3"/>
      <c r="F889" s="24"/>
      <c r="H889" s="7"/>
    </row>
    <row r="890" spans="2:8" ht="15.75" customHeight="1" x14ac:dyDescent="0.2">
      <c r="B890" s="3"/>
      <c r="F890" s="24"/>
      <c r="H890" s="7"/>
    </row>
    <row r="891" spans="2:8" ht="15.75" customHeight="1" x14ac:dyDescent="0.2">
      <c r="B891" s="3"/>
      <c r="F891" s="24"/>
      <c r="H891" s="7"/>
    </row>
    <row r="892" spans="2:8" ht="15.75" customHeight="1" x14ac:dyDescent="0.2">
      <c r="B892" s="3"/>
      <c r="F892" s="24"/>
      <c r="H892" s="7"/>
    </row>
    <row r="893" spans="2:8" ht="15.75" customHeight="1" x14ac:dyDescent="0.2">
      <c r="B893" s="3"/>
      <c r="F893" s="24"/>
      <c r="H893" s="7"/>
    </row>
    <row r="894" spans="2:8" ht="15.75" customHeight="1" x14ac:dyDescent="0.2">
      <c r="B894" s="3"/>
      <c r="F894" s="24"/>
      <c r="H894" s="7"/>
    </row>
    <row r="895" spans="2:8" ht="15.75" customHeight="1" x14ac:dyDescent="0.2">
      <c r="B895" s="3"/>
      <c r="F895" s="24"/>
      <c r="H895" s="7"/>
    </row>
    <row r="896" spans="2:8" ht="15.75" customHeight="1" x14ac:dyDescent="0.2">
      <c r="B896" s="3"/>
      <c r="F896" s="24"/>
      <c r="H896" s="7"/>
    </row>
    <row r="897" spans="2:8" ht="15.75" customHeight="1" x14ac:dyDescent="0.2">
      <c r="B897" s="3"/>
      <c r="F897" s="24"/>
      <c r="H897" s="7"/>
    </row>
    <row r="898" spans="2:8" ht="15.75" customHeight="1" x14ac:dyDescent="0.2">
      <c r="B898" s="3"/>
      <c r="F898" s="24"/>
      <c r="H898" s="7"/>
    </row>
    <row r="899" spans="2:8" ht="15.75" customHeight="1" x14ac:dyDescent="0.2">
      <c r="B899" s="3"/>
      <c r="F899" s="24"/>
      <c r="H899" s="7"/>
    </row>
    <row r="900" spans="2:8" ht="15.75" customHeight="1" x14ac:dyDescent="0.2">
      <c r="B900" s="3"/>
      <c r="F900" s="24"/>
      <c r="H900" s="7"/>
    </row>
    <row r="901" spans="2:8" ht="15.75" customHeight="1" x14ac:dyDescent="0.2">
      <c r="B901" s="3"/>
      <c r="F901" s="24"/>
      <c r="H901" s="7"/>
    </row>
    <row r="902" spans="2:8" ht="15.75" customHeight="1" x14ac:dyDescent="0.2">
      <c r="B902" s="3"/>
      <c r="F902" s="24"/>
      <c r="H902" s="7"/>
    </row>
    <row r="903" spans="2:8" ht="15.75" customHeight="1" x14ac:dyDescent="0.2">
      <c r="B903" s="3"/>
      <c r="F903" s="24"/>
      <c r="H903" s="7"/>
    </row>
    <row r="904" spans="2:8" ht="15.75" customHeight="1" x14ac:dyDescent="0.2">
      <c r="B904" s="3"/>
      <c r="F904" s="24"/>
      <c r="H904" s="7"/>
    </row>
    <row r="905" spans="2:8" ht="15.75" customHeight="1" x14ac:dyDescent="0.2">
      <c r="B905" s="3"/>
      <c r="F905" s="24"/>
      <c r="H905" s="7"/>
    </row>
    <row r="906" spans="2:8" ht="15.75" customHeight="1" x14ac:dyDescent="0.2">
      <c r="B906" s="3"/>
      <c r="F906" s="24"/>
      <c r="H906" s="7"/>
    </row>
    <row r="907" spans="2:8" ht="15.75" customHeight="1" x14ac:dyDescent="0.2">
      <c r="B907" s="3"/>
      <c r="F907" s="24"/>
      <c r="H907" s="7"/>
    </row>
    <row r="908" spans="2:8" ht="15.75" customHeight="1" x14ac:dyDescent="0.2">
      <c r="B908" s="3"/>
      <c r="F908" s="24"/>
      <c r="H908" s="7"/>
    </row>
    <row r="909" spans="2:8" ht="15.75" customHeight="1" x14ac:dyDescent="0.2">
      <c r="B909" s="3"/>
      <c r="F909" s="24"/>
      <c r="H909" s="7"/>
    </row>
    <row r="910" spans="2:8" ht="15.75" customHeight="1" x14ac:dyDescent="0.2">
      <c r="B910" s="3"/>
      <c r="F910" s="24"/>
      <c r="H910" s="7"/>
    </row>
    <row r="911" spans="2:8" ht="15.75" customHeight="1" x14ac:dyDescent="0.2">
      <c r="B911" s="3"/>
      <c r="F911" s="24"/>
      <c r="H911" s="7"/>
    </row>
    <row r="912" spans="2:8" ht="15.75" customHeight="1" x14ac:dyDescent="0.2">
      <c r="B912" s="3"/>
      <c r="F912" s="24"/>
      <c r="H912" s="7"/>
    </row>
    <row r="913" spans="2:8" ht="15.75" customHeight="1" x14ac:dyDescent="0.2">
      <c r="B913" s="3"/>
      <c r="F913" s="24"/>
      <c r="H913" s="7"/>
    </row>
    <row r="914" spans="2:8" ht="15.75" customHeight="1" x14ac:dyDescent="0.2">
      <c r="B914" s="3"/>
      <c r="F914" s="24"/>
      <c r="H914" s="7"/>
    </row>
    <row r="915" spans="2:8" ht="15.75" customHeight="1" x14ac:dyDescent="0.2">
      <c r="B915" s="3"/>
      <c r="F915" s="24"/>
      <c r="H915" s="7"/>
    </row>
    <row r="916" spans="2:8" ht="15.75" customHeight="1" x14ac:dyDescent="0.2">
      <c r="B916" s="3"/>
      <c r="F916" s="24"/>
      <c r="H916" s="7"/>
    </row>
    <row r="917" spans="2:8" ht="15.75" customHeight="1" x14ac:dyDescent="0.2">
      <c r="B917" s="3"/>
      <c r="F917" s="24"/>
      <c r="H917" s="7"/>
    </row>
    <row r="918" spans="2:8" ht="15.75" customHeight="1" x14ac:dyDescent="0.2">
      <c r="B918" s="3"/>
      <c r="F918" s="24"/>
      <c r="H918" s="7"/>
    </row>
    <row r="919" spans="2:8" ht="15.75" customHeight="1" x14ac:dyDescent="0.2">
      <c r="B919" s="3"/>
      <c r="F919" s="24"/>
      <c r="H919" s="7"/>
    </row>
    <row r="920" spans="2:8" ht="15.75" customHeight="1" x14ac:dyDescent="0.2">
      <c r="B920" s="3"/>
      <c r="F920" s="24"/>
      <c r="H920" s="7"/>
    </row>
    <row r="921" spans="2:8" ht="15.75" customHeight="1" x14ac:dyDescent="0.2">
      <c r="B921" s="3"/>
      <c r="F921" s="24"/>
      <c r="H921" s="7"/>
    </row>
    <row r="922" spans="2:8" ht="15.75" customHeight="1" x14ac:dyDescent="0.2">
      <c r="B922" s="3"/>
      <c r="F922" s="24"/>
      <c r="H922" s="7"/>
    </row>
    <row r="923" spans="2:8" ht="15.75" customHeight="1" x14ac:dyDescent="0.2">
      <c r="B923" s="3"/>
      <c r="F923" s="24"/>
      <c r="H923" s="7"/>
    </row>
    <row r="924" spans="2:8" ht="15.75" customHeight="1" x14ac:dyDescent="0.2">
      <c r="B924" s="3"/>
      <c r="F924" s="24"/>
      <c r="H924" s="7"/>
    </row>
    <row r="925" spans="2:8" ht="15.75" customHeight="1" x14ac:dyDescent="0.2">
      <c r="B925" s="3"/>
      <c r="F925" s="24"/>
      <c r="H925" s="7"/>
    </row>
    <row r="926" spans="2:8" ht="15.75" customHeight="1" x14ac:dyDescent="0.2">
      <c r="B926" s="3"/>
      <c r="F926" s="24"/>
      <c r="H926" s="7"/>
    </row>
    <row r="927" spans="2:8" ht="15.75" customHeight="1" x14ac:dyDescent="0.2">
      <c r="B927" s="3"/>
      <c r="F927" s="24"/>
      <c r="H927" s="7"/>
    </row>
    <row r="928" spans="2:8" ht="15.75" customHeight="1" x14ac:dyDescent="0.2">
      <c r="B928" s="3"/>
      <c r="F928" s="24"/>
      <c r="H928" s="7"/>
    </row>
    <row r="929" spans="2:8" ht="15.75" customHeight="1" x14ac:dyDescent="0.2">
      <c r="B929" s="3"/>
      <c r="F929" s="24"/>
      <c r="H929" s="7"/>
    </row>
    <row r="930" spans="2:8" ht="15.75" customHeight="1" x14ac:dyDescent="0.2">
      <c r="B930" s="3"/>
      <c r="F930" s="24"/>
      <c r="H930" s="7"/>
    </row>
    <row r="931" spans="2:8" ht="15.75" customHeight="1" x14ac:dyDescent="0.2">
      <c r="B931" s="3"/>
      <c r="F931" s="24"/>
      <c r="H931" s="7"/>
    </row>
    <row r="932" spans="2:8" ht="15.75" customHeight="1" x14ac:dyDescent="0.2">
      <c r="B932" s="3"/>
      <c r="F932" s="24"/>
      <c r="H932" s="7"/>
    </row>
    <row r="933" spans="2:8" ht="15.75" customHeight="1" x14ac:dyDescent="0.2">
      <c r="B933" s="3"/>
      <c r="F933" s="24"/>
      <c r="H933" s="7"/>
    </row>
    <row r="934" spans="2:8" ht="15.75" customHeight="1" x14ac:dyDescent="0.2">
      <c r="B934" s="3"/>
      <c r="F934" s="24"/>
      <c r="H934" s="7"/>
    </row>
    <row r="935" spans="2:8" ht="15.75" customHeight="1" x14ac:dyDescent="0.2">
      <c r="B935" s="3"/>
      <c r="F935" s="24"/>
      <c r="H935" s="7"/>
    </row>
    <row r="936" spans="2:8" ht="15.75" customHeight="1" x14ac:dyDescent="0.2">
      <c r="B936" s="3"/>
      <c r="F936" s="24"/>
      <c r="H936" s="7"/>
    </row>
    <row r="937" spans="2:8" ht="15.75" customHeight="1" x14ac:dyDescent="0.2">
      <c r="B937" s="3"/>
      <c r="F937" s="24"/>
      <c r="H937" s="7"/>
    </row>
    <row r="938" spans="2:8" ht="15.75" customHeight="1" x14ac:dyDescent="0.2">
      <c r="B938" s="3"/>
      <c r="F938" s="24"/>
      <c r="H938" s="7"/>
    </row>
    <row r="939" spans="2:8" ht="15.75" customHeight="1" x14ac:dyDescent="0.2">
      <c r="B939" s="3"/>
      <c r="F939" s="24"/>
      <c r="H939" s="7"/>
    </row>
    <row r="940" spans="2:8" ht="15.75" customHeight="1" x14ac:dyDescent="0.2">
      <c r="B940" s="3"/>
      <c r="F940" s="24"/>
      <c r="H940" s="7"/>
    </row>
    <row r="941" spans="2:8" ht="15.75" customHeight="1" x14ac:dyDescent="0.2">
      <c r="B941" s="3"/>
      <c r="F941" s="24"/>
      <c r="H941" s="7"/>
    </row>
    <row r="942" spans="2:8" ht="15.75" customHeight="1" x14ac:dyDescent="0.2">
      <c r="B942" s="3"/>
      <c r="F942" s="24"/>
      <c r="H942" s="7"/>
    </row>
    <row r="943" spans="2:8" ht="15.75" customHeight="1" x14ac:dyDescent="0.2">
      <c r="B943" s="3"/>
      <c r="F943" s="24"/>
      <c r="H943" s="7"/>
    </row>
    <row r="944" spans="2:8" ht="15.75" customHeight="1" x14ac:dyDescent="0.2">
      <c r="B944" s="3"/>
      <c r="F944" s="24"/>
      <c r="H944" s="7"/>
    </row>
    <row r="945" spans="2:8" ht="15.75" customHeight="1" x14ac:dyDescent="0.2">
      <c r="B945" s="3"/>
      <c r="F945" s="24"/>
      <c r="H945" s="7"/>
    </row>
    <row r="946" spans="2:8" ht="15.75" customHeight="1" x14ac:dyDescent="0.2">
      <c r="B946" s="3"/>
      <c r="F946" s="24"/>
      <c r="H946" s="7"/>
    </row>
    <row r="947" spans="2:8" ht="15.75" customHeight="1" x14ac:dyDescent="0.2">
      <c r="B947" s="3"/>
      <c r="F947" s="24"/>
      <c r="H947" s="7"/>
    </row>
    <row r="948" spans="2:8" ht="15.75" customHeight="1" x14ac:dyDescent="0.2">
      <c r="B948" s="3"/>
      <c r="F948" s="24"/>
      <c r="H948" s="7"/>
    </row>
    <row r="949" spans="2:8" ht="15.75" customHeight="1" x14ac:dyDescent="0.2">
      <c r="B949" s="3"/>
      <c r="F949" s="24"/>
      <c r="H949" s="7"/>
    </row>
    <row r="950" spans="2:8" ht="15.75" customHeight="1" x14ac:dyDescent="0.2">
      <c r="B950" s="3"/>
      <c r="F950" s="24"/>
      <c r="H950" s="7"/>
    </row>
    <row r="951" spans="2:8" ht="15.75" customHeight="1" x14ac:dyDescent="0.2">
      <c r="B951" s="3"/>
      <c r="F951" s="24"/>
      <c r="H951" s="7"/>
    </row>
    <row r="952" spans="2:8" ht="15.75" customHeight="1" x14ac:dyDescent="0.2">
      <c r="B952" s="3"/>
      <c r="F952" s="24"/>
      <c r="H952" s="7"/>
    </row>
    <row r="953" spans="2:8" ht="15.75" customHeight="1" x14ac:dyDescent="0.2">
      <c r="B953" s="3"/>
      <c r="F953" s="24"/>
      <c r="H953" s="7"/>
    </row>
    <row r="954" spans="2:8" ht="15.75" customHeight="1" x14ac:dyDescent="0.2">
      <c r="B954" s="3"/>
      <c r="F954" s="24"/>
      <c r="H954" s="7"/>
    </row>
    <row r="955" spans="2:8" ht="15.75" customHeight="1" x14ac:dyDescent="0.2">
      <c r="B955" s="3"/>
      <c r="F955" s="24"/>
      <c r="H955" s="7"/>
    </row>
    <row r="956" spans="2:8" ht="15.75" customHeight="1" x14ac:dyDescent="0.2">
      <c r="B956" s="3"/>
      <c r="F956" s="24"/>
      <c r="H956" s="7"/>
    </row>
    <row r="957" spans="2:8" ht="15.75" customHeight="1" x14ac:dyDescent="0.2">
      <c r="B957" s="3"/>
      <c r="F957" s="24"/>
      <c r="H957" s="7"/>
    </row>
    <row r="958" spans="2:8" ht="15.75" customHeight="1" x14ac:dyDescent="0.2">
      <c r="B958" s="3"/>
      <c r="F958" s="24"/>
      <c r="H958" s="7"/>
    </row>
    <row r="959" spans="2:8" ht="15.75" customHeight="1" x14ac:dyDescent="0.2">
      <c r="B959" s="3"/>
      <c r="F959" s="24"/>
      <c r="H959" s="7"/>
    </row>
    <row r="960" spans="2:8" ht="15.75" customHeight="1" x14ac:dyDescent="0.2">
      <c r="B960" s="3"/>
      <c r="F960" s="24"/>
      <c r="H960" s="7"/>
    </row>
    <row r="961" spans="2:8" ht="15.75" customHeight="1" x14ac:dyDescent="0.2">
      <c r="B961" s="3"/>
      <c r="F961" s="24"/>
      <c r="H961" s="7"/>
    </row>
    <row r="962" spans="2:8" ht="15.75" customHeight="1" x14ac:dyDescent="0.2">
      <c r="B962" s="3"/>
      <c r="F962" s="24"/>
      <c r="H962" s="7"/>
    </row>
    <row r="963" spans="2:8" ht="15.75" customHeight="1" x14ac:dyDescent="0.2">
      <c r="B963" s="3"/>
      <c r="F963" s="24"/>
      <c r="H963" s="7"/>
    </row>
    <row r="964" spans="2:8" ht="15.75" customHeight="1" x14ac:dyDescent="0.2">
      <c r="B964" s="3"/>
      <c r="F964" s="24"/>
      <c r="H964" s="7"/>
    </row>
    <row r="965" spans="2:8" ht="15.75" customHeight="1" x14ac:dyDescent="0.2">
      <c r="B965" s="3"/>
      <c r="F965" s="24"/>
      <c r="H965" s="7"/>
    </row>
    <row r="966" spans="2:8" ht="15.75" customHeight="1" x14ac:dyDescent="0.2">
      <c r="B966" s="3"/>
      <c r="F966" s="24"/>
      <c r="H966" s="7"/>
    </row>
    <row r="967" spans="2:8" ht="15.75" customHeight="1" x14ac:dyDescent="0.2">
      <c r="B967" s="3"/>
      <c r="F967" s="24"/>
      <c r="H967" s="7"/>
    </row>
    <row r="968" spans="2:8" ht="15.75" customHeight="1" x14ac:dyDescent="0.2">
      <c r="B968" s="3"/>
      <c r="F968" s="24"/>
      <c r="H968" s="7"/>
    </row>
    <row r="969" spans="2:8" ht="15.75" customHeight="1" x14ac:dyDescent="0.2">
      <c r="B969" s="3"/>
      <c r="F969" s="24"/>
      <c r="H969" s="7"/>
    </row>
    <row r="970" spans="2:8" ht="15.75" customHeight="1" x14ac:dyDescent="0.2">
      <c r="B970" s="3"/>
      <c r="F970" s="24"/>
      <c r="H970" s="7"/>
    </row>
    <row r="971" spans="2:8" ht="15.75" customHeight="1" x14ac:dyDescent="0.2">
      <c r="B971" s="3"/>
      <c r="F971" s="24"/>
      <c r="H971" s="7"/>
    </row>
    <row r="972" spans="2:8" ht="15.75" customHeight="1" x14ac:dyDescent="0.2">
      <c r="B972" s="3"/>
      <c r="F972" s="24"/>
      <c r="H972" s="7"/>
    </row>
    <row r="973" spans="2:8" ht="15.75" customHeight="1" x14ac:dyDescent="0.2">
      <c r="B973" s="3"/>
      <c r="F973" s="24"/>
      <c r="H973" s="7"/>
    </row>
    <row r="974" spans="2:8" ht="15.75" customHeight="1" x14ac:dyDescent="0.2">
      <c r="B974" s="3"/>
      <c r="F974" s="24"/>
      <c r="H974" s="7"/>
    </row>
    <row r="975" spans="2:8" ht="15.75" customHeight="1" x14ac:dyDescent="0.2">
      <c r="B975" s="3"/>
      <c r="F975" s="24"/>
      <c r="H975" s="7"/>
    </row>
    <row r="976" spans="2:8" ht="15.75" customHeight="1" x14ac:dyDescent="0.2">
      <c r="B976" s="3"/>
      <c r="F976" s="24"/>
      <c r="H976" s="7"/>
    </row>
    <row r="977" spans="2:8" ht="15.75" customHeight="1" x14ac:dyDescent="0.2">
      <c r="B977" s="3"/>
      <c r="F977" s="24"/>
      <c r="H977" s="7"/>
    </row>
    <row r="978" spans="2:8" ht="15.75" customHeight="1" x14ac:dyDescent="0.2">
      <c r="B978" s="3"/>
      <c r="F978" s="24"/>
      <c r="H978" s="7"/>
    </row>
    <row r="979" spans="2:8" ht="15.75" customHeight="1" x14ac:dyDescent="0.2">
      <c r="B979" s="3"/>
      <c r="F979" s="24"/>
      <c r="H979" s="7"/>
    </row>
    <row r="980" spans="2:8" ht="15.75" customHeight="1" x14ac:dyDescent="0.2">
      <c r="B980" s="3"/>
      <c r="F980" s="24"/>
      <c r="H980" s="7"/>
    </row>
    <row r="981" spans="2:8" ht="15.75" customHeight="1" x14ac:dyDescent="0.2">
      <c r="B981" s="3"/>
      <c r="F981" s="24"/>
      <c r="H981" s="7"/>
    </row>
    <row r="982" spans="2:8" ht="15.75" customHeight="1" x14ac:dyDescent="0.2">
      <c r="B982" s="3"/>
      <c r="F982" s="24"/>
      <c r="H982" s="7"/>
    </row>
    <row r="983" spans="2:8" ht="15.75" customHeight="1" x14ac:dyDescent="0.2">
      <c r="B983" s="3"/>
      <c r="F983" s="24"/>
      <c r="H983" s="7"/>
    </row>
    <row r="984" spans="2:8" ht="15.75" customHeight="1" x14ac:dyDescent="0.2">
      <c r="B984" s="3"/>
      <c r="F984" s="24"/>
      <c r="H984" s="7"/>
    </row>
    <row r="985" spans="2:8" ht="15.75" customHeight="1" x14ac:dyDescent="0.2">
      <c r="B985" s="3"/>
      <c r="F985" s="24"/>
      <c r="H985" s="7"/>
    </row>
    <row r="986" spans="2:8" ht="15.75" customHeight="1" x14ac:dyDescent="0.2">
      <c r="B986" s="3"/>
      <c r="F986" s="24"/>
      <c r="H986" s="7"/>
    </row>
    <row r="987" spans="2:8" ht="15.75" customHeight="1" x14ac:dyDescent="0.2">
      <c r="B987" s="3"/>
      <c r="F987" s="24"/>
      <c r="H987" s="7"/>
    </row>
    <row r="988" spans="2:8" ht="15.75" customHeight="1" x14ac:dyDescent="0.2">
      <c r="B988" s="3"/>
      <c r="F988" s="24"/>
      <c r="H988" s="7"/>
    </row>
    <row r="989" spans="2:8" ht="15.75" customHeight="1" x14ac:dyDescent="0.2">
      <c r="B989" s="3"/>
      <c r="F989" s="24"/>
      <c r="H989" s="7"/>
    </row>
    <row r="990" spans="2:8" ht="15.75" customHeight="1" x14ac:dyDescent="0.2">
      <c r="B990" s="3"/>
      <c r="F990" s="24"/>
      <c r="H990" s="7"/>
    </row>
    <row r="991" spans="2:8" ht="15.75" customHeight="1" x14ac:dyDescent="0.2">
      <c r="B991" s="3"/>
      <c r="F991" s="24"/>
      <c r="H991" s="7"/>
    </row>
    <row r="992" spans="2:8" ht="15.75" customHeight="1" x14ac:dyDescent="0.2">
      <c r="B992" s="3"/>
      <c r="F992" s="24"/>
      <c r="H992" s="7"/>
    </row>
    <row r="993" spans="2:8" ht="15.75" customHeight="1" x14ac:dyDescent="0.2">
      <c r="B993" s="3"/>
      <c r="F993" s="24"/>
      <c r="H993" s="7"/>
    </row>
    <row r="994" spans="2:8" ht="15.75" customHeight="1" x14ac:dyDescent="0.2">
      <c r="B994" s="3"/>
      <c r="F994" s="24"/>
      <c r="H994" s="7"/>
    </row>
    <row r="995" spans="2:8" ht="15.75" customHeight="1" x14ac:dyDescent="0.2">
      <c r="B995" s="3"/>
      <c r="F995" s="24"/>
      <c r="H995" s="7"/>
    </row>
    <row r="996" spans="2:8" ht="15.75" customHeight="1" x14ac:dyDescent="0.2">
      <c r="B996" s="3"/>
      <c r="F996" s="24"/>
      <c r="H996" s="7"/>
    </row>
    <row r="997" spans="2:8" ht="15.75" customHeight="1" x14ac:dyDescent="0.2">
      <c r="B997" s="3"/>
      <c r="F997" s="24"/>
      <c r="H997" s="7"/>
    </row>
    <row r="998" spans="2:8" ht="15.75" customHeight="1" x14ac:dyDescent="0.2">
      <c r="B998" s="3"/>
      <c r="F998" s="24"/>
      <c r="H998" s="7"/>
    </row>
    <row r="999" spans="2:8" ht="15.75" customHeight="1" x14ac:dyDescent="0.2">
      <c r="B999" s="3"/>
      <c r="F999" s="24"/>
      <c r="H999" s="7"/>
    </row>
    <row r="1000" spans="2:8" ht="15.75" customHeight="1" x14ac:dyDescent="0.2">
      <c r="B1000" s="3"/>
      <c r="F1000" s="24"/>
      <c r="H1000" s="7"/>
    </row>
    <row r="1001" spans="2:8" ht="15.75" customHeight="1" x14ac:dyDescent="0.2">
      <c r="B1001" s="3"/>
      <c r="F1001" s="24"/>
      <c r="H1001" s="7"/>
    </row>
    <row r="1002" spans="2:8" ht="15.75" customHeight="1" x14ac:dyDescent="0.2">
      <c r="B1002" s="3"/>
      <c r="F1002" s="24"/>
      <c r="H1002" s="7"/>
    </row>
    <row r="1003" spans="2:8" ht="15.75" customHeight="1" x14ac:dyDescent="0.2">
      <c r="B1003" s="3"/>
      <c r="F1003" s="24"/>
      <c r="H1003" s="7"/>
    </row>
    <row r="1004" spans="2:8" ht="15.75" customHeight="1" x14ac:dyDescent="0.2">
      <c r="B1004" s="3"/>
      <c r="F1004" s="24"/>
      <c r="H1004" s="7"/>
    </row>
    <row r="1005" spans="2:8" ht="15.75" customHeight="1" x14ac:dyDescent="0.2">
      <c r="B1005" s="3"/>
      <c r="F1005" s="24"/>
      <c r="H1005" s="7"/>
    </row>
    <row r="1006" spans="2:8" ht="15.75" customHeight="1" x14ac:dyDescent="0.2">
      <c r="B1006" s="3"/>
      <c r="F1006" s="24"/>
      <c r="H1006" s="7"/>
    </row>
    <row r="1007" spans="2:8" ht="15.75" customHeight="1" x14ac:dyDescent="0.2">
      <c r="B1007" s="3"/>
      <c r="F1007" s="24"/>
      <c r="H1007" s="7"/>
    </row>
    <row r="1008" spans="2:8" ht="15.75" customHeight="1" x14ac:dyDescent="0.2">
      <c r="B1008" s="3"/>
      <c r="F1008" s="24"/>
      <c r="H1008" s="7"/>
    </row>
    <row r="1009" spans="2:8" ht="15.75" customHeight="1" x14ac:dyDescent="0.2">
      <c r="B1009" s="3"/>
      <c r="F1009" s="24"/>
      <c r="H1009" s="7"/>
    </row>
    <row r="1010" spans="2:8" ht="15.75" customHeight="1" x14ac:dyDescent="0.2">
      <c r="B1010" s="3"/>
      <c r="F1010" s="24"/>
      <c r="H1010" s="7"/>
    </row>
    <row r="1011" spans="2:8" ht="15.75" customHeight="1" x14ac:dyDescent="0.2">
      <c r="B1011" s="3"/>
      <c r="F1011" s="24"/>
      <c r="H1011" s="7"/>
    </row>
    <row r="1012" spans="2:8" ht="15.75" customHeight="1" x14ac:dyDescent="0.2">
      <c r="B1012" s="3"/>
      <c r="F1012" s="24"/>
      <c r="H1012" s="7"/>
    </row>
    <row r="1013" spans="2:8" ht="15.75" customHeight="1" x14ac:dyDescent="0.2">
      <c r="B1013" s="3"/>
      <c r="F1013" s="24"/>
      <c r="H1013" s="7"/>
    </row>
    <row r="1014" spans="2:8" ht="15.75" customHeight="1" x14ac:dyDescent="0.2">
      <c r="B1014" s="3"/>
      <c r="F1014" s="24"/>
      <c r="H1014" s="7"/>
    </row>
    <row r="1015" spans="2:8" ht="15.75" customHeight="1" x14ac:dyDescent="0.2">
      <c r="B1015" s="3"/>
      <c r="F1015" s="24"/>
      <c r="H1015" s="7"/>
    </row>
    <row r="1016" spans="2:8" ht="15.75" customHeight="1" x14ac:dyDescent="0.2">
      <c r="B1016" s="3"/>
      <c r="F1016" s="24"/>
      <c r="H1016" s="7"/>
    </row>
    <row r="1017" spans="2:8" ht="15.75" customHeight="1" x14ac:dyDescent="0.2">
      <c r="B1017" s="3"/>
      <c r="F1017" s="24"/>
      <c r="H1017" s="7"/>
    </row>
    <row r="1018" spans="2:8" ht="15.75" customHeight="1" x14ac:dyDescent="0.2">
      <c r="B1018" s="3"/>
      <c r="F1018" s="24"/>
      <c r="H1018" s="7"/>
    </row>
    <row r="1019" spans="2:8" ht="15.75" customHeight="1" x14ac:dyDescent="0.2">
      <c r="B1019" s="3"/>
      <c r="F1019" s="24"/>
      <c r="H1019" s="7"/>
    </row>
    <row r="1020" spans="2:8" ht="15.75" customHeight="1" x14ac:dyDescent="0.2">
      <c r="B1020" s="3"/>
      <c r="F1020" s="24"/>
      <c r="H1020" s="7"/>
    </row>
    <row r="1021" spans="2:8" ht="15.75" customHeight="1" x14ac:dyDescent="0.2">
      <c r="B1021" s="3"/>
      <c r="F1021" s="24"/>
      <c r="H1021" s="7"/>
    </row>
    <row r="1022" spans="2:8" ht="15.75" customHeight="1" x14ac:dyDescent="0.2">
      <c r="B1022" s="3"/>
      <c r="F1022" s="24"/>
      <c r="H1022" s="7"/>
    </row>
    <row r="1023" spans="2:8" ht="15.75" customHeight="1" x14ac:dyDescent="0.2">
      <c r="B1023" s="3"/>
      <c r="F1023" s="24"/>
      <c r="H1023" s="7"/>
    </row>
    <row r="1024" spans="2:8" ht="15.75" customHeight="1" x14ac:dyDescent="0.2">
      <c r="B1024" s="3"/>
      <c r="F1024" s="24"/>
      <c r="H1024" s="7"/>
    </row>
    <row r="1025" spans="2:8" ht="15.75" customHeight="1" x14ac:dyDescent="0.2">
      <c r="B1025" s="3"/>
      <c r="F1025" s="24"/>
      <c r="H1025" s="7"/>
    </row>
    <row r="1026" spans="2:8" ht="15.75" customHeight="1" x14ac:dyDescent="0.2">
      <c r="B1026" s="3"/>
      <c r="F1026" s="24"/>
      <c r="H1026" s="7"/>
    </row>
    <row r="1027" spans="2:8" ht="15.75" customHeight="1" x14ac:dyDescent="0.2">
      <c r="B1027" s="3"/>
      <c r="F1027" s="24"/>
      <c r="H1027" s="7"/>
    </row>
    <row r="1028" spans="2:8" ht="15.75" customHeight="1" x14ac:dyDescent="0.2">
      <c r="B1028" s="3"/>
      <c r="F1028" s="24"/>
      <c r="H1028" s="7"/>
    </row>
    <row r="1029" spans="2:8" ht="15.75" customHeight="1" x14ac:dyDescent="0.2">
      <c r="B1029" s="3"/>
      <c r="F1029" s="24"/>
      <c r="H1029" s="7"/>
    </row>
    <row r="1030" spans="2:8" ht="15.75" customHeight="1" x14ac:dyDescent="0.2">
      <c r="B1030" s="3"/>
      <c r="F1030" s="24"/>
      <c r="H1030" s="7"/>
    </row>
    <row r="1031" spans="2:8" ht="15.75" customHeight="1" x14ac:dyDescent="0.2">
      <c r="B1031" s="3"/>
      <c r="F1031" s="24"/>
      <c r="H1031" s="7"/>
    </row>
    <row r="1032" spans="2:8" ht="15.75" customHeight="1" x14ac:dyDescent="0.2">
      <c r="B1032" s="3"/>
      <c r="F1032" s="24"/>
      <c r="H1032" s="7"/>
    </row>
    <row r="1033" spans="2:8" ht="15.75" customHeight="1" x14ac:dyDescent="0.2">
      <c r="B1033" s="3"/>
      <c r="F1033" s="24"/>
      <c r="H1033" s="7"/>
    </row>
    <row r="1034" spans="2:8" ht="15.75" customHeight="1" x14ac:dyDescent="0.2">
      <c r="B1034" s="3"/>
      <c r="F1034" s="24"/>
      <c r="H1034" s="7"/>
    </row>
    <row r="1035" spans="2:8" ht="15.75" customHeight="1" x14ac:dyDescent="0.2">
      <c r="B1035" s="3"/>
      <c r="F1035" s="24"/>
      <c r="H1035" s="7"/>
    </row>
    <row r="1036" spans="2:8" ht="15.75" customHeight="1" x14ac:dyDescent="0.2">
      <c r="B1036" s="3"/>
      <c r="F1036" s="24"/>
      <c r="H1036" s="7"/>
    </row>
    <row r="1037" spans="2:8" ht="15.75" customHeight="1" x14ac:dyDescent="0.2">
      <c r="B1037" s="3"/>
      <c r="F1037" s="24"/>
      <c r="H1037" s="7"/>
    </row>
    <row r="1038" spans="2:8" ht="15.75" customHeight="1" x14ac:dyDescent="0.2">
      <c r="B1038" s="3"/>
      <c r="F1038" s="24"/>
      <c r="H1038" s="7"/>
    </row>
    <row r="1039" spans="2:8" ht="15.75" customHeight="1" x14ac:dyDescent="0.2">
      <c r="B1039" s="3"/>
      <c r="F1039" s="24"/>
      <c r="H1039" s="7"/>
    </row>
    <row r="1040" spans="2:8" ht="15.75" customHeight="1" x14ac:dyDescent="0.2">
      <c r="B1040" s="3"/>
      <c r="F1040" s="24"/>
      <c r="H1040" s="7"/>
    </row>
    <row r="1041" spans="2:8" ht="15.75" customHeight="1" x14ac:dyDescent="0.2">
      <c r="B1041" s="3"/>
      <c r="F1041" s="24"/>
      <c r="H1041" s="7"/>
    </row>
    <row r="1042" spans="2:8" ht="15.75" customHeight="1" x14ac:dyDescent="0.2">
      <c r="B1042" s="3"/>
      <c r="F1042" s="24"/>
      <c r="H1042" s="7"/>
    </row>
    <row r="1043" spans="2:8" ht="15.75" customHeight="1" x14ac:dyDescent="0.2">
      <c r="B1043" s="3"/>
      <c r="F1043" s="24"/>
      <c r="H1043" s="7"/>
    </row>
    <row r="1044" spans="2:8" ht="15.75" customHeight="1" x14ac:dyDescent="0.2">
      <c r="B1044" s="3"/>
      <c r="F1044" s="24"/>
      <c r="H1044" s="7"/>
    </row>
    <row r="1045" spans="2:8" ht="15.75" customHeight="1" x14ac:dyDescent="0.2">
      <c r="B1045" s="3"/>
      <c r="F1045" s="24"/>
      <c r="H1045" s="7"/>
    </row>
    <row r="1046" spans="2:8" ht="15.75" customHeight="1" x14ac:dyDescent="0.2">
      <c r="B1046" s="3"/>
      <c r="F1046" s="24"/>
      <c r="H1046" s="7"/>
    </row>
    <row r="1047" spans="2:8" ht="15.75" customHeight="1" x14ac:dyDescent="0.2">
      <c r="B1047" s="3"/>
      <c r="F1047" s="24"/>
      <c r="H1047" s="7"/>
    </row>
    <row r="1048" spans="2:8" ht="15.75" customHeight="1" x14ac:dyDescent="0.2">
      <c r="B1048" s="3"/>
      <c r="F1048" s="24"/>
      <c r="H1048" s="7"/>
    </row>
    <row r="1049" spans="2:8" ht="15.75" customHeight="1" x14ac:dyDescent="0.2">
      <c r="B1049" s="3"/>
      <c r="F1049" s="24"/>
      <c r="H1049" s="7"/>
    </row>
    <row r="1050" spans="2:8" ht="15.75" customHeight="1" x14ac:dyDescent="0.2">
      <c r="B1050" s="3"/>
      <c r="F1050" s="24"/>
      <c r="H1050" s="7"/>
    </row>
    <row r="1051" spans="2:8" ht="15.75" customHeight="1" x14ac:dyDescent="0.2">
      <c r="B1051" s="3"/>
      <c r="F1051" s="24"/>
      <c r="H1051" s="7"/>
    </row>
    <row r="1052" spans="2:8" ht="15.75" customHeight="1" x14ac:dyDescent="0.2">
      <c r="B1052" s="3"/>
      <c r="F1052" s="24"/>
      <c r="H1052" s="7"/>
    </row>
    <row r="1053" spans="2:8" ht="15.75" customHeight="1" x14ac:dyDescent="0.2">
      <c r="B1053" s="3"/>
      <c r="F1053" s="24"/>
      <c r="H1053" s="7"/>
    </row>
    <row r="1054" spans="2:8" ht="15.75" customHeight="1" x14ac:dyDescent="0.2">
      <c r="B1054" s="3"/>
      <c r="F1054" s="24"/>
      <c r="H1054" s="7"/>
    </row>
    <row r="1055" spans="2:8" ht="15.75" customHeight="1" x14ac:dyDescent="0.2">
      <c r="B1055" s="3"/>
      <c r="F1055" s="24"/>
      <c r="H1055" s="7"/>
    </row>
    <row r="1056" spans="2:8" ht="15.75" customHeight="1" x14ac:dyDescent="0.2">
      <c r="B1056" s="3"/>
      <c r="F1056" s="24"/>
      <c r="H1056" s="7"/>
    </row>
    <row r="1057" spans="2:8" ht="15.75" customHeight="1" x14ac:dyDescent="0.2">
      <c r="B1057" s="3"/>
      <c r="F1057" s="24"/>
      <c r="H1057" s="7"/>
    </row>
    <row r="1058" spans="2:8" ht="15.75" customHeight="1" x14ac:dyDescent="0.2">
      <c r="B1058" s="3"/>
      <c r="F1058" s="24"/>
      <c r="H1058" s="7"/>
    </row>
    <row r="1059" spans="2:8" ht="15.75" customHeight="1" x14ac:dyDescent="0.2">
      <c r="B1059" s="3"/>
      <c r="F1059" s="24"/>
      <c r="H1059" s="7"/>
    </row>
    <row r="1060" spans="2:8" ht="15.75" customHeight="1" x14ac:dyDescent="0.2">
      <c r="B1060" s="3"/>
      <c r="F1060" s="24"/>
      <c r="H1060" s="7"/>
    </row>
    <row r="1061" spans="2:8" ht="15.75" customHeight="1" x14ac:dyDescent="0.2">
      <c r="B1061" s="3"/>
      <c r="F1061" s="24"/>
      <c r="H1061" s="7"/>
    </row>
    <row r="1062" spans="2:8" ht="15.75" customHeight="1" x14ac:dyDescent="0.2">
      <c r="B1062" s="3"/>
      <c r="F1062" s="24"/>
      <c r="H1062" s="7"/>
    </row>
    <row r="1063" spans="2:8" ht="15.75" customHeight="1" x14ac:dyDescent="0.2">
      <c r="B1063" s="3"/>
      <c r="F1063" s="24"/>
      <c r="H1063" s="7"/>
    </row>
    <row r="1064" spans="2:8" ht="15.75" customHeight="1" x14ac:dyDescent="0.2">
      <c r="B1064" s="3"/>
      <c r="F1064" s="24"/>
      <c r="H1064" s="7"/>
    </row>
    <row r="1065" spans="2:8" ht="15.75" customHeight="1" x14ac:dyDescent="0.2">
      <c r="B1065" s="3"/>
      <c r="F1065" s="24"/>
      <c r="H1065" s="7"/>
    </row>
    <row r="1066" spans="2:8" ht="15.75" customHeight="1" x14ac:dyDescent="0.2">
      <c r="B1066" s="3"/>
      <c r="F1066" s="24"/>
      <c r="H1066" s="7"/>
    </row>
    <row r="1067" spans="2:8" ht="15.75" customHeight="1" x14ac:dyDescent="0.2">
      <c r="B1067" s="3"/>
      <c r="F1067" s="24"/>
      <c r="H1067" s="7"/>
    </row>
    <row r="1068" spans="2:8" ht="15.75" customHeight="1" x14ac:dyDescent="0.2">
      <c r="B1068" s="3"/>
      <c r="F1068" s="24"/>
      <c r="H1068" s="7"/>
    </row>
    <row r="1069" spans="2:8" ht="15.75" customHeight="1" x14ac:dyDescent="0.2">
      <c r="B1069" s="3"/>
      <c r="F1069" s="24"/>
      <c r="H1069" s="7"/>
    </row>
    <row r="1070" spans="2:8" ht="15.75" customHeight="1" x14ac:dyDescent="0.2">
      <c r="B1070" s="3"/>
      <c r="F1070" s="24"/>
      <c r="H1070" s="7"/>
    </row>
    <row r="1071" spans="2:8" ht="15.75" customHeight="1" x14ac:dyDescent="0.2">
      <c r="B1071" s="3"/>
      <c r="F1071" s="24"/>
      <c r="H1071" s="7"/>
    </row>
    <row r="1072" spans="2:8" ht="15.75" customHeight="1" x14ac:dyDescent="0.2">
      <c r="B1072" s="3"/>
      <c r="F1072" s="24"/>
      <c r="H1072" s="7"/>
    </row>
    <row r="1073" spans="2:8" ht="15.75" customHeight="1" x14ac:dyDescent="0.2">
      <c r="B1073" s="3"/>
      <c r="F1073" s="24"/>
      <c r="H1073" s="7"/>
    </row>
    <row r="1074" spans="2:8" ht="15.75" customHeight="1" x14ac:dyDescent="0.2">
      <c r="B1074" s="3"/>
      <c r="F1074" s="24"/>
      <c r="H1074" s="7"/>
    </row>
    <row r="1075" spans="2:8" ht="15.75" customHeight="1" x14ac:dyDescent="0.2">
      <c r="B1075" s="3"/>
      <c r="F1075" s="24"/>
      <c r="H1075" s="7"/>
    </row>
    <row r="1076" spans="2:8" ht="15.75" customHeight="1" x14ac:dyDescent="0.2">
      <c r="B1076" s="3"/>
      <c r="F1076" s="24"/>
      <c r="H1076" s="7"/>
    </row>
    <row r="1077" spans="2:8" ht="15.75" customHeight="1" x14ac:dyDescent="0.2">
      <c r="B1077" s="3"/>
      <c r="F1077" s="24"/>
      <c r="H1077" s="7"/>
    </row>
    <row r="1078" spans="2:8" ht="15.75" customHeight="1" x14ac:dyDescent="0.2">
      <c r="B1078" s="3"/>
      <c r="F1078" s="24"/>
      <c r="H1078" s="7"/>
    </row>
    <row r="1079" spans="2:8" ht="15.75" customHeight="1" x14ac:dyDescent="0.2">
      <c r="B1079" s="3"/>
      <c r="F1079" s="24"/>
      <c r="H1079" s="7"/>
    </row>
    <row r="1080" spans="2:8" ht="15.75" customHeight="1" x14ac:dyDescent="0.2">
      <c r="B1080" s="3"/>
      <c r="F1080" s="24"/>
      <c r="H1080" s="7"/>
    </row>
    <row r="1081" spans="2:8" ht="15.75" customHeight="1" x14ac:dyDescent="0.2">
      <c r="B1081" s="3"/>
      <c r="F1081" s="24"/>
      <c r="H1081" s="7"/>
    </row>
    <row r="1082" spans="2:8" ht="15.75" customHeight="1" x14ac:dyDescent="0.2">
      <c r="B1082" s="3"/>
      <c r="F1082" s="24"/>
      <c r="H1082" s="7"/>
    </row>
    <row r="1083" spans="2:8" ht="15.75" customHeight="1" x14ac:dyDescent="0.2">
      <c r="B1083" s="3"/>
      <c r="F1083" s="24"/>
      <c r="H1083" s="7"/>
    </row>
    <row r="1084" spans="2:8" ht="15.75" customHeight="1" x14ac:dyDescent="0.2">
      <c r="B1084" s="3"/>
      <c r="F1084" s="24"/>
      <c r="H1084" s="7"/>
    </row>
    <row r="1085" spans="2:8" ht="15.75" customHeight="1" x14ac:dyDescent="0.2">
      <c r="B1085" s="3"/>
      <c r="F1085" s="24"/>
      <c r="H1085" s="7"/>
    </row>
    <row r="1086" spans="2:8" ht="15.75" customHeight="1" x14ac:dyDescent="0.2">
      <c r="B1086" s="3"/>
      <c r="F1086" s="24"/>
      <c r="H1086" s="7"/>
    </row>
    <row r="1087" spans="2:8" ht="15.75" customHeight="1" x14ac:dyDescent="0.2">
      <c r="B1087" s="3"/>
      <c r="F1087" s="24"/>
      <c r="H1087" s="7"/>
    </row>
    <row r="1088" spans="2:8" ht="15.75" customHeight="1" x14ac:dyDescent="0.2">
      <c r="B1088" s="3"/>
      <c r="F1088" s="24"/>
      <c r="H1088" s="7"/>
    </row>
    <row r="1089" spans="2:8" ht="15.75" customHeight="1" x14ac:dyDescent="0.2">
      <c r="B1089" s="3"/>
      <c r="F1089" s="24"/>
      <c r="H1089" s="7"/>
    </row>
    <row r="1090" spans="2:8" ht="15.75" customHeight="1" x14ac:dyDescent="0.2">
      <c r="B1090" s="3"/>
      <c r="F1090" s="24"/>
      <c r="H1090" s="7"/>
    </row>
    <row r="1091" spans="2:8" ht="15.75" customHeight="1" x14ac:dyDescent="0.2">
      <c r="B1091" s="3"/>
      <c r="F1091" s="24"/>
      <c r="H1091" s="7"/>
    </row>
    <row r="1092" spans="2:8" ht="15.75" customHeight="1" x14ac:dyDescent="0.2">
      <c r="B1092" s="3"/>
      <c r="F1092" s="24"/>
      <c r="H1092" s="7"/>
    </row>
    <row r="1093" spans="2:8" ht="15.75" customHeight="1" x14ac:dyDescent="0.2">
      <c r="B1093" s="3"/>
      <c r="F1093" s="24"/>
      <c r="H1093" s="7"/>
    </row>
    <row r="1094" spans="2:8" ht="15.75" customHeight="1" x14ac:dyDescent="0.2">
      <c r="B1094" s="3"/>
      <c r="F1094" s="24"/>
      <c r="H1094" s="7"/>
    </row>
    <row r="1095" spans="2:8" ht="15.75" customHeight="1" x14ac:dyDescent="0.2">
      <c r="B1095" s="3"/>
      <c r="F1095" s="24"/>
      <c r="H1095" s="7"/>
    </row>
    <row r="1096" spans="2:8" ht="15.75" customHeight="1" x14ac:dyDescent="0.2">
      <c r="B1096" s="3"/>
      <c r="F1096" s="24"/>
      <c r="H1096" s="7"/>
    </row>
    <row r="1097" spans="2:8" ht="15.75" customHeight="1" x14ac:dyDescent="0.2">
      <c r="B1097" s="3"/>
      <c r="F1097" s="24"/>
      <c r="H1097" s="7"/>
    </row>
    <row r="1098" spans="2:8" ht="15.75" customHeight="1" x14ac:dyDescent="0.2">
      <c r="B1098" s="3"/>
      <c r="F1098" s="24"/>
      <c r="H1098" s="7"/>
    </row>
    <row r="1099" spans="2:8" ht="15.75" customHeight="1" x14ac:dyDescent="0.2">
      <c r="B1099" s="3"/>
      <c r="F1099" s="24"/>
      <c r="H1099" s="7"/>
    </row>
    <row r="1100" spans="2:8" ht="15.75" customHeight="1" x14ac:dyDescent="0.2">
      <c r="B1100" s="3"/>
      <c r="F1100" s="24"/>
      <c r="H1100" s="7"/>
    </row>
    <row r="1101" spans="2:8" ht="15.75" customHeight="1" x14ac:dyDescent="0.2">
      <c r="B1101" s="3"/>
      <c r="F1101" s="24"/>
      <c r="H1101" s="7"/>
    </row>
    <row r="1102" spans="2:8" ht="15.75" customHeight="1" x14ac:dyDescent="0.2">
      <c r="B1102" s="3"/>
      <c r="F1102" s="24"/>
      <c r="H1102" s="7"/>
    </row>
    <row r="1103" spans="2:8" ht="15.75" customHeight="1" x14ac:dyDescent="0.2">
      <c r="B1103" s="3"/>
      <c r="F1103" s="24"/>
      <c r="H1103" s="7"/>
    </row>
    <row r="1104" spans="2:8" ht="15.75" customHeight="1" x14ac:dyDescent="0.2">
      <c r="B1104" s="3"/>
      <c r="F1104" s="24"/>
      <c r="H1104" s="7"/>
    </row>
    <row r="1105" spans="2:8" ht="15.75" customHeight="1" x14ac:dyDescent="0.2">
      <c r="B1105" s="3"/>
      <c r="F1105" s="24"/>
      <c r="H1105" s="7"/>
    </row>
    <row r="1106" spans="2:8" ht="15.75" customHeight="1" x14ac:dyDescent="0.2">
      <c r="B1106" s="3"/>
      <c r="F1106" s="24"/>
      <c r="H1106" s="7"/>
    </row>
    <row r="1107" spans="2:8" ht="15.75" customHeight="1" x14ac:dyDescent="0.2">
      <c r="B1107" s="3"/>
      <c r="F1107" s="24"/>
      <c r="H1107" s="7"/>
    </row>
    <row r="1108" spans="2:8" ht="15.75" customHeight="1" x14ac:dyDescent="0.2">
      <c r="B1108" s="3"/>
      <c r="F1108" s="24"/>
      <c r="H1108" s="7"/>
    </row>
    <row r="1109" spans="2:8" ht="15.75" customHeight="1" x14ac:dyDescent="0.2">
      <c r="B1109" s="3"/>
      <c r="F1109" s="24"/>
      <c r="H1109" s="7"/>
    </row>
    <row r="1110" spans="2:8" ht="15.75" customHeight="1" x14ac:dyDescent="0.2">
      <c r="B1110" s="3"/>
      <c r="F1110" s="24"/>
      <c r="H1110" s="7"/>
    </row>
    <row r="1111" spans="2:8" ht="15.75" customHeight="1" x14ac:dyDescent="0.2">
      <c r="B1111" s="3"/>
      <c r="F1111" s="24"/>
      <c r="H1111" s="7"/>
    </row>
    <row r="1112" spans="2:8" ht="15.75" customHeight="1" x14ac:dyDescent="0.2">
      <c r="B1112" s="3"/>
      <c r="F1112" s="24"/>
      <c r="H1112" s="7"/>
    </row>
    <row r="1113" spans="2:8" ht="15.75" customHeight="1" x14ac:dyDescent="0.2">
      <c r="B1113" s="3"/>
      <c r="F1113" s="24"/>
      <c r="H1113" s="7"/>
    </row>
    <row r="1114" spans="2:8" ht="15.75" customHeight="1" x14ac:dyDescent="0.2">
      <c r="B1114" s="3"/>
      <c r="F1114" s="24"/>
      <c r="H1114" s="7"/>
    </row>
    <row r="1115" spans="2:8" ht="15.75" customHeight="1" x14ac:dyDescent="0.2">
      <c r="B1115" s="3"/>
      <c r="F1115" s="24"/>
      <c r="H1115" s="7"/>
    </row>
    <row r="1116" spans="2:8" ht="15.75" customHeight="1" x14ac:dyDescent="0.2">
      <c r="B1116" s="3"/>
      <c r="F1116" s="24"/>
      <c r="H1116" s="7"/>
    </row>
    <row r="1117" spans="2:8" ht="15.75" customHeight="1" x14ac:dyDescent="0.2">
      <c r="B1117" s="3"/>
      <c r="F1117" s="24"/>
      <c r="H1117" s="7"/>
    </row>
    <row r="1118" spans="2:8" ht="15.75" customHeight="1" x14ac:dyDescent="0.2">
      <c r="B1118" s="3"/>
      <c r="F1118" s="24"/>
      <c r="H1118" s="7"/>
    </row>
    <row r="1119" spans="2:8" ht="15.75" customHeight="1" x14ac:dyDescent="0.2">
      <c r="B1119" s="3"/>
      <c r="F1119" s="24"/>
      <c r="H1119" s="7"/>
    </row>
    <row r="1120" spans="2:8" ht="15.75" customHeight="1" x14ac:dyDescent="0.2">
      <c r="B1120" s="3"/>
      <c r="F1120" s="24"/>
      <c r="H1120" s="7"/>
    </row>
    <row r="1121" spans="2:8" ht="15.75" customHeight="1" x14ac:dyDescent="0.2">
      <c r="B1121" s="3"/>
      <c r="F1121" s="24"/>
      <c r="H1121" s="7"/>
    </row>
    <row r="1122" spans="2:8" ht="15.75" customHeight="1" x14ac:dyDescent="0.2">
      <c r="B1122" s="3"/>
      <c r="F1122" s="24"/>
      <c r="H1122" s="7"/>
    </row>
    <row r="1123" spans="2:8" ht="15.75" customHeight="1" x14ac:dyDescent="0.2">
      <c r="B1123" s="3"/>
      <c r="F1123" s="24"/>
      <c r="H1123" s="7"/>
    </row>
    <row r="1124" spans="2:8" ht="15.75" customHeight="1" x14ac:dyDescent="0.2">
      <c r="B1124" s="3"/>
      <c r="F1124" s="24"/>
      <c r="H1124" s="7"/>
    </row>
    <row r="1125" spans="2:8" ht="15.75" customHeight="1" x14ac:dyDescent="0.2">
      <c r="B1125" s="3"/>
      <c r="F1125" s="24"/>
      <c r="H1125" s="7"/>
    </row>
    <row r="1126" spans="2:8" ht="15.75" customHeight="1" x14ac:dyDescent="0.2">
      <c r="B1126" s="3"/>
      <c r="F1126" s="24"/>
      <c r="H1126" s="7"/>
    </row>
    <row r="1127" spans="2:8" ht="15.75" customHeight="1" x14ac:dyDescent="0.2">
      <c r="B1127" s="3"/>
      <c r="F1127" s="24"/>
      <c r="H1127" s="7"/>
    </row>
    <row r="1128" spans="2:8" ht="15.75" customHeight="1" x14ac:dyDescent="0.2">
      <c r="B1128" s="3"/>
      <c r="F1128" s="24"/>
      <c r="H1128" s="7"/>
    </row>
    <row r="1129" spans="2:8" ht="15.75" customHeight="1" x14ac:dyDescent="0.2">
      <c r="B1129" s="3"/>
      <c r="F1129" s="24"/>
      <c r="H1129" s="7"/>
    </row>
    <row r="1130" spans="2:8" ht="15.75" customHeight="1" x14ac:dyDescent="0.2">
      <c r="B1130" s="3"/>
      <c r="F1130" s="24"/>
      <c r="H1130" s="7"/>
    </row>
    <row r="1131" spans="2:8" ht="15.75" customHeight="1" x14ac:dyDescent="0.2">
      <c r="B1131" s="3"/>
      <c r="F1131" s="24"/>
      <c r="H1131" s="7"/>
    </row>
    <row r="1132" spans="2:8" ht="15.75" customHeight="1" x14ac:dyDescent="0.2">
      <c r="B1132" s="3"/>
      <c r="F1132" s="24"/>
      <c r="H1132" s="7"/>
    </row>
    <row r="1133" spans="2:8" ht="15.75" customHeight="1" x14ac:dyDescent="0.2">
      <c r="B1133" s="3"/>
      <c r="F1133" s="24"/>
      <c r="H1133" s="7"/>
    </row>
    <row r="1134" spans="2:8" ht="15.75" customHeight="1" x14ac:dyDescent="0.2">
      <c r="B1134" s="3"/>
      <c r="F1134" s="24"/>
      <c r="H1134" s="7"/>
    </row>
    <row r="1135" spans="2:8" ht="15.75" customHeight="1" x14ac:dyDescent="0.2">
      <c r="B1135" s="3"/>
      <c r="F1135" s="24"/>
      <c r="H1135" s="7"/>
    </row>
    <row r="1136" spans="2:8" ht="15.75" customHeight="1" x14ac:dyDescent="0.2">
      <c r="B1136" s="3"/>
      <c r="F1136" s="24"/>
      <c r="H1136" s="7"/>
    </row>
    <row r="1137" spans="2:8" ht="15.75" customHeight="1" x14ac:dyDescent="0.2">
      <c r="B1137" s="3"/>
      <c r="F1137" s="24"/>
      <c r="H1137" s="7"/>
    </row>
    <row r="1138" spans="2:8" ht="15.75" customHeight="1" x14ac:dyDescent="0.2">
      <c r="B1138" s="3"/>
      <c r="F1138" s="24"/>
      <c r="H1138" s="7"/>
    </row>
    <row r="1139" spans="2:8" ht="15.75" customHeight="1" x14ac:dyDescent="0.2">
      <c r="B1139" s="3"/>
      <c r="F1139" s="24"/>
      <c r="H1139" s="7"/>
    </row>
    <row r="1140" spans="2:8" ht="15.75" customHeight="1" x14ac:dyDescent="0.2">
      <c r="B1140" s="3"/>
      <c r="F1140" s="24"/>
      <c r="H1140" s="7"/>
    </row>
    <row r="1141" spans="2:8" ht="15.75" customHeight="1" x14ac:dyDescent="0.2">
      <c r="B1141" s="3"/>
      <c r="F1141" s="24"/>
      <c r="H1141" s="7"/>
    </row>
    <row r="1142" spans="2:8" ht="15.75" customHeight="1" x14ac:dyDescent="0.2">
      <c r="B1142" s="3"/>
      <c r="F1142" s="24"/>
      <c r="H1142" s="7"/>
    </row>
    <row r="1143" spans="2:8" ht="15.75" customHeight="1" x14ac:dyDescent="0.2">
      <c r="B1143" s="3"/>
      <c r="F1143" s="24"/>
      <c r="H1143" s="7"/>
    </row>
    <row r="1144" spans="2:8" ht="15.75" customHeight="1" x14ac:dyDescent="0.2">
      <c r="B1144" s="3"/>
      <c r="F1144" s="24"/>
      <c r="H1144" s="7"/>
    </row>
    <row r="1145" spans="2:8" ht="15.75" customHeight="1" x14ac:dyDescent="0.2">
      <c r="B1145" s="3"/>
      <c r="F1145" s="24"/>
      <c r="H1145" s="7"/>
    </row>
    <row r="1146" spans="2:8" ht="15.75" customHeight="1" x14ac:dyDescent="0.2">
      <c r="B1146" s="3"/>
      <c r="F1146" s="24"/>
      <c r="H1146" s="7"/>
    </row>
    <row r="1147" spans="2:8" ht="15.75" customHeight="1" x14ac:dyDescent="0.2">
      <c r="B1147" s="3"/>
      <c r="F1147" s="24"/>
      <c r="H1147" s="7"/>
    </row>
    <row r="1148" spans="2:8" ht="15.75" customHeight="1" x14ac:dyDescent="0.2">
      <c r="B1148" s="3"/>
      <c r="F1148" s="24"/>
      <c r="H1148" s="7"/>
    </row>
    <row r="1149" spans="2:8" ht="15.75" customHeight="1" x14ac:dyDescent="0.2">
      <c r="B1149" s="3"/>
      <c r="F1149" s="24"/>
      <c r="H1149" s="7"/>
    </row>
    <row r="1150" spans="2:8" ht="15.75" customHeight="1" x14ac:dyDescent="0.2">
      <c r="B1150" s="3"/>
      <c r="F1150" s="24"/>
      <c r="H1150" s="7"/>
    </row>
    <row r="1151" spans="2:8" ht="15.75" customHeight="1" x14ac:dyDescent="0.2">
      <c r="B1151" s="3"/>
      <c r="F1151" s="24"/>
      <c r="H1151" s="7"/>
    </row>
    <row r="1152" spans="2:8" ht="15.75" customHeight="1" x14ac:dyDescent="0.2">
      <c r="B1152" s="3"/>
      <c r="F1152" s="24"/>
      <c r="H1152" s="7"/>
    </row>
    <row r="1153" spans="2:8" ht="15.75" customHeight="1" x14ac:dyDescent="0.2">
      <c r="B1153" s="3"/>
      <c r="F1153" s="24"/>
      <c r="H1153" s="7"/>
    </row>
    <row r="1154" spans="2:8" ht="15.75" customHeight="1" x14ac:dyDescent="0.2">
      <c r="B1154" s="3"/>
      <c r="F1154" s="24"/>
      <c r="H1154" s="7"/>
    </row>
    <row r="1155" spans="2:8" ht="15.75" customHeight="1" x14ac:dyDescent="0.2">
      <c r="B1155" s="3"/>
      <c r="F1155" s="24"/>
      <c r="H1155" s="7"/>
    </row>
    <row r="1156" spans="2:8" ht="15.75" customHeight="1" x14ac:dyDescent="0.2">
      <c r="B1156" s="3"/>
      <c r="F1156" s="24"/>
      <c r="H1156" s="7"/>
    </row>
    <row r="1157" spans="2:8" ht="15.75" customHeight="1" x14ac:dyDescent="0.2">
      <c r="B1157" s="3"/>
      <c r="F1157" s="24"/>
      <c r="H1157" s="7"/>
    </row>
    <row r="1158" spans="2:8" ht="15.75" customHeight="1" x14ac:dyDescent="0.2">
      <c r="B1158" s="3"/>
      <c r="F1158" s="24"/>
      <c r="H1158" s="7"/>
    </row>
    <row r="1159" spans="2:8" ht="15.75" customHeight="1" x14ac:dyDescent="0.2">
      <c r="B1159" s="3"/>
      <c r="F1159" s="24"/>
      <c r="H1159" s="7"/>
    </row>
    <row r="1160" spans="2:8" ht="15.75" customHeight="1" x14ac:dyDescent="0.2">
      <c r="B1160" s="3"/>
      <c r="F1160" s="24"/>
      <c r="H1160" s="7"/>
    </row>
    <row r="1161" spans="2:8" ht="15.75" customHeight="1" x14ac:dyDescent="0.2">
      <c r="B1161" s="3"/>
      <c r="F1161" s="24"/>
      <c r="H1161" s="7"/>
    </row>
    <row r="1162" spans="2:8" ht="15.75" customHeight="1" x14ac:dyDescent="0.2">
      <c r="B1162" s="3"/>
      <c r="F1162" s="24"/>
      <c r="H1162" s="7"/>
    </row>
    <row r="1163" spans="2:8" ht="15.75" customHeight="1" x14ac:dyDescent="0.2">
      <c r="B1163" s="3"/>
      <c r="F1163" s="24"/>
      <c r="H1163" s="7"/>
    </row>
    <row r="1164" spans="2:8" ht="15.75" customHeight="1" x14ac:dyDescent="0.2">
      <c r="B1164" s="3"/>
      <c r="F1164" s="24"/>
      <c r="H1164" s="7"/>
    </row>
    <row r="1165" spans="2:8" ht="15.75" customHeight="1" x14ac:dyDescent="0.2">
      <c r="B1165" s="3"/>
      <c r="F1165" s="24"/>
      <c r="H1165" s="7"/>
    </row>
    <row r="1166" spans="2:8" ht="15.75" customHeight="1" x14ac:dyDescent="0.2">
      <c r="B1166" s="3"/>
      <c r="F1166" s="24"/>
      <c r="H1166" s="7"/>
    </row>
    <row r="1167" spans="2:8" ht="15.75" customHeight="1" x14ac:dyDescent="0.2">
      <c r="B1167" s="3"/>
      <c r="F1167" s="24"/>
      <c r="H1167" s="7"/>
    </row>
    <row r="1168" spans="2:8" ht="15.75" customHeight="1" x14ac:dyDescent="0.2">
      <c r="B1168" s="3"/>
      <c r="F1168" s="24"/>
      <c r="H1168" s="7"/>
    </row>
    <row r="1169" spans="2:8" ht="15.75" customHeight="1" x14ac:dyDescent="0.2">
      <c r="B1169" s="3"/>
      <c r="F1169" s="24"/>
      <c r="H1169" s="7"/>
    </row>
    <row r="1170" spans="2:8" ht="15.75" customHeight="1" x14ac:dyDescent="0.2">
      <c r="B1170" s="3"/>
      <c r="F1170" s="24"/>
      <c r="H1170" s="7"/>
    </row>
    <row r="1171" spans="2:8" ht="15.75" customHeight="1" x14ac:dyDescent="0.2">
      <c r="B1171" s="3"/>
      <c r="F1171" s="24"/>
      <c r="H1171" s="7"/>
    </row>
    <row r="1172" spans="2:8" ht="15.75" customHeight="1" x14ac:dyDescent="0.2">
      <c r="B1172" s="3"/>
      <c r="F1172" s="24"/>
      <c r="H1172" s="7"/>
    </row>
    <row r="1173" spans="2:8" ht="15.75" customHeight="1" x14ac:dyDescent="0.2">
      <c r="B1173" s="3"/>
      <c r="F1173" s="24"/>
      <c r="H1173" s="7"/>
    </row>
    <row r="1174" spans="2:8" ht="15.75" customHeight="1" x14ac:dyDescent="0.2">
      <c r="B1174" s="3"/>
      <c r="F1174" s="24"/>
      <c r="H1174" s="7"/>
    </row>
    <row r="1175" spans="2:8" ht="15.75" customHeight="1" x14ac:dyDescent="0.2">
      <c r="B1175" s="3"/>
      <c r="F1175" s="24"/>
      <c r="H1175" s="7"/>
    </row>
    <row r="1176" spans="2:8" ht="15.75" customHeight="1" x14ac:dyDescent="0.2">
      <c r="B1176" s="3"/>
      <c r="F1176" s="24"/>
      <c r="H1176" s="7"/>
    </row>
    <row r="1177" spans="2:8" ht="15.75" customHeight="1" x14ac:dyDescent="0.2">
      <c r="B1177" s="3"/>
      <c r="F1177" s="24"/>
      <c r="H1177" s="7"/>
    </row>
    <row r="1178" spans="2:8" ht="15.75" customHeight="1" x14ac:dyDescent="0.2">
      <c r="B1178" s="3"/>
      <c r="F1178" s="24"/>
      <c r="H1178" s="7"/>
    </row>
    <row r="1179" spans="2:8" ht="15.75" customHeight="1" x14ac:dyDescent="0.2">
      <c r="B1179" s="3"/>
      <c r="F1179" s="24"/>
      <c r="H1179" s="7"/>
    </row>
    <row r="1180" spans="2:8" ht="15.75" customHeight="1" x14ac:dyDescent="0.2">
      <c r="B1180" s="3"/>
      <c r="F1180" s="24"/>
      <c r="H1180" s="7"/>
    </row>
    <row r="1181" spans="2:8" ht="15.75" customHeight="1" x14ac:dyDescent="0.2">
      <c r="B1181" s="3"/>
      <c r="F1181" s="24"/>
      <c r="H1181" s="7"/>
    </row>
    <row r="1182" spans="2:8" ht="15.75" customHeight="1" x14ac:dyDescent="0.2">
      <c r="B1182" s="3"/>
      <c r="F1182" s="24"/>
      <c r="H1182" s="7"/>
    </row>
    <row r="1183" spans="2:8" ht="15.75" customHeight="1" x14ac:dyDescent="0.2">
      <c r="B1183" s="3"/>
      <c r="F1183" s="24"/>
      <c r="H1183" s="7"/>
    </row>
    <row r="1184" spans="2:8" ht="15.75" customHeight="1" x14ac:dyDescent="0.2">
      <c r="B1184" s="3"/>
      <c r="F1184" s="24"/>
      <c r="H1184" s="7"/>
    </row>
    <row r="1185" spans="2:8" ht="15.75" customHeight="1" x14ac:dyDescent="0.2">
      <c r="B1185" s="3"/>
      <c r="F1185" s="24"/>
      <c r="H1185" s="7"/>
    </row>
    <row r="1186" spans="2:8" ht="15.75" customHeight="1" x14ac:dyDescent="0.2">
      <c r="B1186" s="3"/>
      <c r="F1186" s="24"/>
      <c r="H1186" s="7"/>
    </row>
    <row r="1187" spans="2:8" ht="15.75" customHeight="1" x14ac:dyDescent="0.2">
      <c r="B1187" s="3"/>
      <c r="F1187" s="24"/>
      <c r="H1187" s="7"/>
    </row>
    <row r="1188" spans="2:8" ht="15.75" customHeight="1" x14ac:dyDescent="0.2">
      <c r="B1188" s="3"/>
      <c r="F1188" s="24"/>
      <c r="H1188" s="7"/>
    </row>
    <row r="1189" spans="2:8" ht="15.75" customHeight="1" x14ac:dyDescent="0.2">
      <c r="B1189" s="3"/>
      <c r="F1189" s="24"/>
      <c r="H1189" s="7"/>
    </row>
    <row r="1190" spans="2:8" ht="15.75" customHeight="1" x14ac:dyDescent="0.2">
      <c r="B1190" s="3"/>
      <c r="F1190" s="24"/>
      <c r="H1190" s="7"/>
    </row>
    <row r="1191" spans="2:8" ht="15.75" customHeight="1" x14ac:dyDescent="0.2">
      <c r="B1191" s="3"/>
      <c r="F1191" s="24"/>
      <c r="H1191" s="7"/>
    </row>
    <row r="1192" spans="2:8" ht="15.75" customHeight="1" x14ac:dyDescent="0.2">
      <c r="B1192" s="3"/>
      <c r="F1192" s="24"/>
      <c r="H1192" s="7"/>
    </row>
    <row r="1193" spans="2:8" ht="15.75" customHeight="1" x14ac:dyDescent="0.2">
      <c r="B1193" s="3"/>
      <c r="F1193" s="24"/>
      <c r="H1193" s="7"/>
    </row>
    <row r="1194" spans="2:8" ht="15.75" customHeight="1" x14ac:dyDescent="0.2">
      <c r="B1194" s="3"/>
      <c r="F1194" s="24"/>
      <c r="H1194" s="7"/>
    </row>
    <row r="1195" spans="2:8" ht="15.75" customHeight="1" x14ac:dyDescent="0.2">
      <c r="B1195" s="3"/>
      <c r="F1195" s="24"/>
      <c r="H1195" s="7"/>
    </row>
    <row r="1196" spans="2:8" ht="15.75" customHeight="1" x14ac:dyDescent="0.2">
      <c r="B1196" s="3"/>
      <c r="F1196" s="24"/>
      <c r="H1196" s="7"/>
    </row>
    <row r="1197" spans="2:8" ht="15.75" customHeight="1" x14ac:dyDescent="0.2">
      <c r="B1197" s="3"/>
      <c r="F1197" s="24"/>
      <c r="H1197" s="7"/>
    </row>
    <row r="1198" spans="2:8" ht="15.75" customHeight="1" x14ac:dyDescent="0.2">
      <c r="B1198" s="3"/>
      <c r="F1198" s="24"/>
      <c r="H1198" s="7"/>
    </row>
    <row r="1199" spans="2:8" ht="15.75" customHeight="1" x14ac:dyDescent="0.2">
      <c r="B1199" s="3"/>
      <c r="F1199" s="24"/>
      <c r="H1199" s="7"/>
    </row>
    <row r="1200" spans="2:8" ht="15.75" customHeight="1" x14ac:dyDescent="0.2">
      <c r="B1200" s="3"/>
      <c r="F1200" s="24"/>
      <c r="H1200" s="7"/>
    </row>
    <row r="1201" spans="2:8" ht="15.75" customHeight="1" x14ac:dyDescent="0.2">
      <c r="B1201" s="3"/>
      <c r="F1201" s="24"/>
      <c r="H1201" s="7"/>
    </row>
    <row r="1202" spans="2:8" ht="15.75" customHeight="1" x14ac:dyDescent="0.2">
      <c r="B1202" s="3"/>
      <c r="F1202" s="24"/>
      <c r="H1202" s="7"/>
    </row>
    <row r="1203" spans="2:8" ht="15.75" customHeight="1" x14ac:dyDescent="0.2">
      <c r="B1203" s="3"/>
      <c r="F1203" s="24"/>
      <c r="H1203" s="7"/>
    </row>
    <row r="1204" spans="2:8" ht="15.75" customHeight="1" x14ac:dyDescent="0.2">
      <c r="B1204" s="3"/>
      <c r="F1204" s="24"/>
      <c r="H1204" s="7"/>
    </row>
    <row r="1205" spans="2:8" ht="15.75" customHeight="1" x14ac:dyDescent="0.2">
      <c r="B1205" s="3"/>
      <c r="F1205" s="24"/>
      <c r="H1205" s="7"/>
    </row>
    <row r="1206" spans="2:8" ht="15.75" customHeight="1" x14ac:dyDescent="0.2">
      <c r="B1206" s="3"/>
      <c r="F1206" s="24"/>
      <c r="H1206" s="7"/>
    </row>
    <row r="1207" spans="2:8" ht="15.75" customHeight="1" x14ac:dyDescent="0.2">
      <c r="B1207" s="3"/>
      <c r="F1207" s="24"/>
      <c r="H1207" s="7"/>
    </row>
    <row r="1208" spans="2:8" ht="15.75" customHeight="1" x14ac:dyDescent="0.2">
      <c r="B1208" s="3"/>
      <c r="F1208" s="24"/>
      <c r="H1208" s="7"/>
    </row>
    <row r="1209" spans="2:8" ht="15.75" customHeight="1" x14ac:dyDescent="0.2">
      <c r="B1209" s="3"/>
      <c r="F1209" s="24"/>
      <c r="H1209" s="7"/>
    </row>
    <row r="1210" spans="2:8" ht="15.75" customHeight="1" x14ac:dyDescent="0.2">
      <c r="B1210" s="3"/>
      <c r="F1210" s="24"/>
      <c r="H1210" s="7"/>
    </row>
    <row r="1211" spans="2:8" ht="15.75" customHeight="1" x14ac:dyDescent="0.2">
      <c r="B1211" s="3"/>
      <c r="F1211" s="24"/>
      <c r="H1211" s="7"/>
    </row>
    <row r="1212" spans="2:8" ht="15.75" customHeight="1" x14ac:dyDescent="0.2">
      <c r="B1212" s="3"/>
      <c r="F1212" s="24"/>
      <c r="H1212" s="7"/>
    </row>
    <row r="1213" spans="2:8" ht="15.75" customHeight="1" x14ac:dyDescent="0.2">
      <c r="B1213" s="3"/>
      <c r="F1213" s="24"/>
      <c r="H1213" s="7"/>
    </row>
    <row r="1214" spans="2:8" ht="15.75" customHeight="1" x14ac:dyDescent="0.2">
      <c r="B1214" s="3"/>
      <c r="F1214" s="24"/>
      <c r="H1214" s="7"/>
    </row>
    <row r="1215" spans="2:8" ht="15.75" customHeight="1" x14ac:dyDescent="0.2">
      <c r="B1215" s="3"/>
      <c r="F1215" s="24"/>
      <c r="H1215" s="7"/>
    </row>
    <row r="1216" spans="2:8" ht="15.75" customHeight="1" x14ac:dyDescent="0.2">
      <c r="B1216" s="3"/>
      <c r="F1216" s="24"/>
      <c r="H1216" s="7"/>
    </row>
    <row r="1217" spans="2:8" ht="15.75" customHeight="1" x14ac:dyDescent="0.2">
      <c r="B1217" s="3"/>
      <c r="F1217" s="24"/>
      <c r="H1217" s="7"/>
    </row>
    <row r="1218" spans="2:8" ht="15.75" customHeight="1" x14ac:dyDescent="0.2">
      <c r="B1218" s="3"/>
      <c r="F1218" s="24"/>
      <c r="H1218" s="7"/>
    </row>
    <row r="1219" spans="2:8" ht="15.75" customHeight="1" x14ac:dyDescent="0.2">
      <c r="B1219" s="3"/>
      <c r="F1219" s="24"/>
      <c r="H1219" s="7"/>
    </row>
    <row r="1220" spans="2:8" ht="15.75" customHeight="1" x14ac:dyDescent="0.2">
      <c r="B1220" s="3"/>
      <c r="F1220" s="24"/>
      <c r="H1220" s="7"/>
    </row>
    <row r="1221" spans="2:8" ht="15.75" customHeight="1" x14ac:dyDescent="0.2">
      <c r="B1221" s="3"/>
      <c r="F1221" s="24"/>
      <c r="H1221" s="7"/>
    </row>
    <row r="1222" spans="2:8" ht="15.75" customHeight="1" x14ac:dyDescent="0.2">
      <c r="B1222" s="3"/>
      <c r="F1222" s="24"/>
      <c r="H1222" s="7"/>
    </row>
    <row r="1223" spans="2:8" ht="15.75" customHeight="1" x14ac:dyDescent="0.2">
      <c r="B1223" s="3"/>
      <c r="F1223" s="24"/>
      <c r="H1223" s="7"/>
    </row>
    <row r="1224" spans="2:8" ht="15.75" customHeight="1" x14ac:dyDescent="0.2">
      <c r="B1224" s="3"/>
      <c r="F1224" s="24"/>
      <c r="H1224" s="7"/>
    </row>
    <row r="1225" spans="2:8" ht="15.75" customHeight="1" x14ac:dyDescent="0.2">
      <c r="B1225" s="3"/>
      <c r="F1225" s="24"/>
      <c r="H1225" s="7"/>
    </row>
    <row r="1226" spans="2:8" ht="15.75" customHeight="1" x14ac:dyDescent="0.2">
      <c r="B1226" s="3"/>
      <c r="F1226" s="24"/>
      <c r="H1226" s="7"/>
    </row>
    <row r="1227" spans="2:8" ht="15.75" customHeight="1" x14ac:dyDescent="0.2">
      <c r="B1227" s="3"/>
      <c r="F1227" s="24"/>
      <c r="H1227" s="7"/>
    </row>
    <row r="1228" spans="2:8" ht="15.75" customHeight="1" x14ac:dyDescent="0.2">
      <c r="B1228" s="3"/>
      <c r="F1228" s="24"/>
      <c r="H1228" s="7"/>
    </row>
    <row r="1229" spans="2:8" ht="15.75" customHeight="1" x14ac:dyDescent="0.2">
      <c r="B1229" s="3"/>
      <c r="F1229" s="24"/>
      <c r="H1229" s="7"/>
    </row>
    <row r="1230" spans="2:8" ht="15.75" customHeight="1" x14ac:dyDescent="0.2">
      <c r="B1230" s="3"/>
      <c r="F1230" s="24"/>
      <c r="H1230" s="7"/>
    </row>
    <row r="1231" spans="2:8" ht="15.75" customHeight="1" x14ac:dyDescent="0.2">
      <c r="B1231" s="3"/>
      <c r="F1231" s="24"/>
      <c r="H1231" s="7"/>
    </row>
    <row r="1232" spans="2:8" ht="15.75" customHeight="1" x14ac:dyDescent="0.2">
      <c r="B1232" s="3"/>
      <c r="F1232" s="24"/>
      <c r="H1232" s="7"/>
    </row>
    <row r="1233" spans="2:8" ht="15.75" customHeight="1" x14ac:dyDescent="0.2">
      <c r="B1233" s="3"/>
      <c r="F1233" s="24"/>
      <c r="H1233" s="7"/>
    </row>
    <row r="1234" spans="2:8" ht="15.75" customHeight="1" x14ac:dyDescent="0.2">
      <c r="B1234" s="3"/>
      <c r="F1234" s="24"/>
      <c r="H1234" s="7"/>
    </row>
    <row r="1235" spans="2:8" ht="15.75" customHeight="1" x14ac:dyDescent="0.2">
      <c r="B1235" s="3"/>
      <c r="F1235" s="24"/>
      <c r="H1235" s="7"/>
    </row>
    <row r="1236" spans="2:8" ht="15.75" customHeight="1" x14ac:dyDescent="0.2">
      <c r="B1236" s="3"/>
      <c r="F1236" s="24"/>
      <c r="H1236" s="7"/>
    </row>
    <row r="1237" spans="2:8" ht="15.75" customHeight="1" x14ac:dyDescent="0.2">
      <c r="B1237" s="3"/>
      <c r="F1237" s="24"/>
      <c r="H1237" s="7"/>
    </row>
    <row r="1238" spans="2:8" ht="15.75" customHeight="1" x14ac:dyDescent="0.2">
      <c r="B1238" s="3"/>
      <c r="F1238" s="24"/>
      <c r="H1238" s="7"/>
    </row>
    <row r="1239" spans="2:8" ht="15.75" customHeight="1" x14ac:dyDescent="0.2">
      <c r="B1239" s="3"/>
      <c r="F1239" s="24"/>
      <c r="H1239" s="7"/>
    </row>
    <row r="1240" spans="2:8" ht="15.75" customHeight="1" x14ac:dyDescent="0.2">
      <c r="B1240" s="3"/>
      <c r="F1240" s="24"/>
      <c r="H1240" s="7"/>
    </row>
    <row r="1241" spans="2:8" ht="15.75" customHeight="1" x14ac:dyDescent="0.2">
      <c r="B1241" s="3"/>
      <c r="F1241" s="24"/>
      <c r="H1241" s="7"/>
    </row>
    <row r="1242" spans="2:8" ht="15.75" customHeight="1" x14ac:dyDescent="0.2">
      <c r="B1242" s="3"/>
      <c r="F1242" s="24"/>
      <c r="H1242" s="7"/>
    </row>
    <row r="1243" spans="2:8" ht="15.75" customHeight="1" x14ac:dyDescent="0.2">
      <c r="B1243" s="3"/>
      <c r="F1243" s="24"/>
      <c r="H1243" s="7"/>
    </row>
    <row r="1244" spans="2:8" ht="15.75" customHeight="1" x14ac:dyDescent="0.2">
      <c r="B1244" s="3"/>
      <c r="F1244" s="24"/>
      <c r="H1244" s="7"/>
    </row>
    <row r="1245" spans="2:8" ht="15.75" customHeight="1" x14ac:dyDescent="0.2">
      <c r="B1245" s="3"/>
      <c r="F1245" s="24"/>
      <c r="H1245" s="7"/>
    </row>
    <row r="1246" spans="2:8" ht="15.75" customHeight="1" x14ac:dyDescent="0.2">
      <c r="B1246" s="3"/>
      <c r="F1246" s="24"/>
      <c r="H1246" s="7"/>
    </row>
    <row r="1247" spans="2:8" ht="15.75" customHeight="1" x14ac:dyDescent="0.2">
      <c r="B1247" s="3"/>
      <c r="F1247" s="24"/>
      <c r="H1247" s="7"/>
    </row>
    <row r="1248" spans="2:8" ht="15.75" customHeight="1" x14ac:dyDescent="0.2">
      <c r="B1248" s="3"/>
      <c r="F1248" s="24"/>
      <c r="H1248" s="7"/>
    </row>
    <row r="1249" spans="2:8" ht="15.75" customHeight="1" x14ac:dyDescent="0.2">
      <c r="B1249" s="3"/>
      <c r="F1249" s="24"/>
      <c r="H1249" s="7"/>
    </row>
    <row r="1250" spans="2:8" ht="15.75" customHeight="1" x14ac:dyDescent="0.2">
      <c r="B1250" s="3"/>
      <c r="F1250" s="24"/>
      <c r="H1250" s="7"/>
    </row>
    <row r="1251" spans="2:8" ht="15.75" customHeight="1" x14ac:dyDescent="0.2">
      <c r="B1251" s="3"/>
      <c r="F1251" s="24"/>
      <c r="H1251" s="7"/>
    </row>
    <row r="1252" spans="2:8" ht="15.75" customHeight="1" x14ac:dyDescent="0.2">
      <c r="B1252" s="3"/>
      <c r="F1252" s="24"/>
      <c r="H1252" s="7"/>
    </row>
    <row r="1253" spans="2:8" ht="15.75" customHeight="1" x14ac:dyDescent="0.2">
      <c r="B1253" s="3"/>
      <c r="F1253" s="24"/>
      <c r="H1253" s="7"/>
    </row>
    <row r="1254" spans="2:8" ht="15.75" customHeight="1" x14ac:dyDescent="0.2">
      <c r="B1254" s="3"/>
      <c r="F1254" s="24"/>
      <c r="H1254" s="7"/>
    </row>
    <row r="1255" spans="2:8" ht="15.75" customHeight="1" x14ac:dyDescent="0.2">
      <c r="B1255" s="3"/>
      <c r="F1255" s="24"/>
      <c r="H1255" s="7"/>
    </row>
    <row r="1256" spans="2:8" ht="15.75" customHeight="1" x14ac:dyDescent="0.2">
      <c r="B1256" s="3"/>
      <c r="F1256" s="24"/>
      <c r="H1256" s="7"/>
    </row>
    <row r="1257" spans="2:8" ht="15.75" customHeight="1" x14ac:dyDescent="0.2">
      <c r="B1257" s="3"/>
      <c r="F1257" s="24"/>
      <c r="H1257" s="7"/>
    </row>
    <row r="1258" spans="2:8" ht="15.75" customHeight="1" x14ac:dyDescent="0.2">
      <c r="B1258" s="3"/>
      <c r="F1258" s="24"/>
      <c r="H1258" s="7"/>
    </row>
    <row r="1259" spans="2:8" ht="15.75" customHeight="1" x14ac:dyDescent="0.2">
      <c r="B1259" s="3"/>
      <c r="F1259" s="24"/>
      <c r="H1259" s="7"/>
    </row>
    <row r="1260" spans="2:8" ht="15.75" customHeight="1" x14ac:dyDescent="0.2">
      <c r="B1260" s="3"/>
      <c r="F1260" s="24"/>
      <c r="H1260" s="7"/>
    </row>
    <row r="1261" spans="2:8" ht="15.75" customHeight="1" x14ac:dyDescent="0.2">
      <c r="B1261" s="3"/>
      <c r="F1261" s="24"/>
      <c r="H1261" s="7"/>
    </row>
    <row r="1262" spans="2:8" ht="15.75" customHeight="1" x14ac:dyDescent="0.2">
      <c r="B1262" s="3"/>
      <c r="F1262" s="24"/>
      <c r="H1262" s="7"/>
    </row>
    <row r="1263" spans="2:8" ht="15.75" customHeight="1" x14ac:dyDescent="0.2">
      <c r="B1263" s="3"/>
      <c r="F1263" s="24"/>
      <c r="H1263" s="7"/>
    </row>
    <row r="1264" spans="2:8" ht="15.75" customHeight="1" x14ac:dyDescent="0.2">
      <c r="B1264" s="3"/>
      <c r="F1264" s="24"/>
      <c r="H1264" s="7"/>
    </row>
    <row r="1265" spans="2:8" ht="15.75" customHeight="1" x14ac:dyDescent="0.2">
      <c r="B1265" s="3"/>
      <c r="F1265" s="24"/>
      <c r="H1265" s="7"/>
    </row>
    <row r="1266" spans="2:8" ht="15.75" customHeight="1" x14ac:dyDescent="0.2">
      <c r="B1266" s="3"/>
      <c r="F1266" s="24"/>
      <c r="H1266" s="7"/>
    </row>
    <row r="1267" spans="2:8" ht="15.75" customHeight="1" x14ac:dyDescent="0.2">
      <c r="B1267" s="3"/>
      <c r="F1267" s="24"/>
      <c r="H1267" s="7"/>
    </row>
    <row r="1268" spans="2:8" ht="15.75" customHeight="1" x14ac:dyDescent="0.2">
      <c r="B1268" s="3"/>
      <c r="F1268" s="24"/>
      <c r="H1268" s="7"/>
    </row>
    <row r="1269" spans="2:8" ht="15.75" customHeight="1" x14ac:dyDescent="0.2">
      <c r="B1269" s="3"/>
      <c r="F1269" s="24"/>
      <c r="H1269" s="7"/>
    </row>
    <row r="1270" spans="2:8" ht="15.75" customHeight="1" x14ac:dyDescent="0.2">
      <c r="B1270" s="3"/>
      <c r="F1270" s="24"/>
      <c r="H1270" s="7"/>
    </row>
    <row r="1271" spans="2:8" ht="15.75" customHeight="1" x14ac:dyDescent="0.2">
      <c r="B1271" s="3"/>
      <c r="F1271" s="24"/>
      <c r="H1271" s="7"/>
    </row>
    <row r="1272" spans="2:8" ht="15.75" customHeight="1" x14ac:dyDescent="0.2">
      <c r="B1272" s="3"/>
      <c r="F1272" s="24"/>
      <c r="H1272" s="7"/>
    </row>
    <row r="1273" spans="2:8" ht="15.75" customHeight="1" x14ac:dyDescent="0.2">
      <c r="B1273" s="3"/>
      <c r="F1273" s="24"/>
      <c r="H1273" s="7"/>
    </row>
    <row r="1274" spans="2:8" ht="15.75" customHeight="1" x14ac:dyDescent="0.2">
      <c r="B1274" s="3"/>
      <c r="F1274" s="24"/>
      <c r="H1274" s="7"/>
    </row>
    <row r="1275" spans="2:8" ht="15.75" customHeight="1" x14ac:dyDescent="0.2">
      <c r="B1275" s="3"/>
      <c r="F1275" s="24"/>
      <c r="H1275" s="7"/>
    </row>
    <row r="1276" spans="2:8" ht="15.75" customHeight="1" x14ac:dyDescent="0.2">
      <c r="B1276" s="3"/>
      <c r="F1276" s="24"/>
      <c r="H1276" s="7"/>
    </row>
    <row r="1277" spans="2:8" ht="15.75" customHeight="1" x14ac:dyDescent="0.2">
      <c r="B1277" s="3"/>
      <c r="F1277" s="24"/>
      <c r="H1277" s="7"/>
    </row>
    <row r="1278" spans="2:8" ht="15.75" customHeight="1" x14ac:dyDescent="0.2">
      <c r="B1278" s="3"/>
      <c r="F1278" s="24"/>
      <c r="H1278" s="7"/>
    </row>
    <row r="1279" spans="2:8" ht="15.75" customHeight="1" x14ac:dyDescent="0.2">
      <c r="B1279" s="3"/>
      <c r="F1279" s="24"/>
      <c r="H1279" s="7"/>
    </row>
    <row r="1280" spans="2:8" ht="15.75" customHeight="1" x14ac:dyDescent="0.2">
      <c r="B1280" s="3"/>
      <c r="F1280" s="24"/>
      <c r="H1280" s="7"/>
    </row>
    <row r="1281" spans="2:8" ht="15.75" customHeight="1" x14ac:dyDescent="0.2">
      <c r="B1281" s="3"/>
      <c r="F1281" s="24"/>
      <c r="H1281" s="7"/>
    </row>
    <row r="1282" spans="2:8" ht="15.75" customHeight="1" x14ac:dyDescent="0.2">
      <c r="B1282" s="3"/>
      <c r="F1282" s="24"/>
      <c r="H1282" s="7"/>
    </row>
    <row r="1283" spans="2:8" ht="15.75" customHeight="1" x14ac:dyDescent="0.2">
      <c r="B1283" s="3"/>
      <c r="F1283" s="24"/>
      <c r="H1283" s="7"/>
    </row>
    <row r="1284" spans="2:8" ht="15.75" customHeight="1" x14ac:dyDescent="0.2">
      <c r="B1284" s="3"/>
      <c r="F1284" s="24"/>
      <c r="H1284" s="7"/>
    </row>
    <row r="1285" spans="2:8" ht="15.75" customHeight="1" x14ac:dyDescent="0.2">
      <c r="B1285" s="3"/>
      <c r="F1285" s="24"/>
      <c r="H1285" s="7"/>
    </row>
    <row r="1286" spans="2:8" ht="15.75" customHeight="1" x14ac:dyDescent="0.2">
      <c r="B1286" s="3"/>
      <c r="F1286" s="24"/>
      <c r="H1286" s="7"/>
    </row>
    <row r="1287" spans="2:8" ht="15.75" customHeight="1" x14ac:dyDescent="0.2">
      <c r="B1287" s="3"/>
      <c r="F1287" s="24"/>
      <c r="H1287" s="7"/>
    </row>
    <row r="1288" spans="2:8" ht="15.75" customHeight="1" x14ac:dyDescent="0.2">
      <c r="B1288" s="3"/>
      <c r="F1288" s="24"/>
      <c r="H1288" s="7"/>
    </row>
    <row r="1289" spans="2:8" ht="15.75" customHeight="1" x14ac:dyDescent="0.2">
      <c r="B1289" s="3"/>
      <c r="F1289" s="24"/>
      <c r="H1289" s="7"/>
    </row>
    <row r="1290" spans="2:8" ht="15.75" customHeight="1" x14ac:dyDescent="0.2">
      <c r="B1290" s="3"/>
      <c r="F1290" s="24"/>
      <c r="H1290" s="7"/>
    </row>
    <row r="1291" spans="2:8" ht="15.75" customHeight="1" x14ac:dyDescent="0.2">
      <c r="B1291" s="3"/>
      <c r="F1291" s="24"/>
      <c r="H1291" s="7"/>
    </row>
    <row r="1292" spans="2:8" ht="15.75" customHeight="1" x14ac:dyDescent="0.2">
      <c r="B1292" s="3"/>
      <c r="F1292" s="24"/>
      <c r="H1292" s="7"/>
    </row>
    <row r="1293" spans="2:8" ht="15.75" customHeight="1" x14ac:dyDescent="0.2">
      <c r="B1293" s="3"/>
      <c r="F1293" s="24"/>
      <c r="H1293" s="7"/>
    </row>
    <row r="1294" spans="2:8" ht="15.75" customHeight="1" x14ac:dyDescent="0.2">
      <c r="B1294" s="3"/>
      <c r="F1294" s="24"/>
      <c r="H1294" s="7"/>
    </row>
    <row r="1295" spans="2:8" ht="15.75" customHeight="1" x14ac:dyDescent="0.2">
      <c r="B1295" s="3"/>
      <c r="F1295" s="24"/>
      <c r="H1295" s="7"/>
    </row>
    <row r="1296" spans="2:8" ht="15.75" customHeight="1" x14ac:dyDescent="0.2">
      <c r="B1296" s="3"/>
      <c r="F1296" s="24"/>
      <c r="H1296" s="7"/>
    </row>
    <row r="1297" spans="2:8" ht="15.75" customHeight="1" x14ac:dyDescent="0.2">
      <c r="B1297" s="3"/>
      <c r="F1297" s="24"/>
      <c r="H1297" s="7"/>
    </row>
    <row r="1298" spans="2:8" ht="15.75" customHeight="1" x14ac:dyDescent="0.2">
      <c r="B1298" s="3"/>
      <c r="F1298" s="24"/>
      <c r="H1298" s="7"/>
    </row>
    <row r="1299" spans="2:8" ht="15.75" customHeight="1" x14ac:dyDescent="0.2">
      <c r="B1299" s="3"/>
      <c r="F1299" s="24"/>
      <c r="H1299" s="7"/>
    </row>
    <row r="1300" spans="2:8" ht="15.75" customHeight="1" x14ac:dyDescent="0.2">
      <c r="B1300" s="3"/>
      <c r="F1300" s="24"/>
      <c r="H1300" s="7"/>
    </row>
    <row r="1301" spans="2:8" ht="15.75" customHeight="1" x14ac:dyDescent="0.2">
      <c r="B1301" s="3"/>
      <c r="F1301" s="24"/>
      <c r="H1301" s="7"/>
    </row>
    <row r="1302" spans="2:8" ht="15.75" customHeight="1" x14ac:dyDescent="0.2">
      <c r="B1302" s="3"/>
      <c r="F1302" s="24"/>
      <c r="H1302" s="7"/>
    </row>
    <row r="1303" spans="2:8" ht="15.75" customHeight="1" x14ac:dyDescent="0.2">
      <c r="B1303" s="3"/>
      <c r="F1303" s="24"/>
      <c r="H1303" s="7"/>
    </row>
    <row r="1304" spans="2:8" ht="15.75" customHeight="1" x14ac:dyDescent="0.2">
      <c r="B1304" s="3"/>
      <c r="F1304" s="24"/>
      <c r="H1304" s="7"/>
    </row>
    <row r="1305" spans="2:8" ht="15.75" customHeight="1" x14ac:dyDescent="0.2">
      <c r="B1305" s="3"/>
      <c r="F1305" s="24"/>
      <c r="H1305" s="7"/>
    </row>
    <row r="1306" spans="2:8" ht="15.75" customHeight="1" x14ac:dyDescent="0.2">
      <c r="B1306" s="3"/>
      <c r="F1306" s="24"/>
      <c r="H1306" s="7"/>
    </row>
    <row r="1307" spans="2:8" ht="15.75" customHeight="1" x14ac:dyDescent="0.2">
      <c r="B1307" s="3"/>
      <c r="F1307" s="24"/>
      <c r="H1307" s="7"/>
    </row>
    <row r="1308" spans="2:8" ht="15.75" customHeight="1" x14ac:dyDescent="0.2">
      <c r="B1308" s="3"/>
      <c r="F1308" s="24"/>
      <c r="H1308" s="7"/>
    </row>
    <row r="1309" spans="2:8" ht="15.75" customHeight="1" x14ac:dyDescent="0.2">
      <c r="B1309" s="3"/>
      <c r="F1309" s="24"/>
      <c r="H1309" s="7"/>
    </row>
    <row r="1310" spans="2:8" ht="15.75" customHeight="1" x14ac:dyDescent="0.2">
      <c r="B1310" s="3"/>
      <c r="F1310" s="24"/>
      <c r="H1310" s="7"/>
    </row>
    <row r="1311" spans="2:8" ht="15.75" customHeight="1" x14ac:dyDescent="0.2">
      <c r="B1311" s="3"/>
      <c r="F1311" s="24"/>
      <c r="H1311" s="7"/>
    </row>
    <row r="1312" spans="2:8" ht="15.75" customHeight="1" x14ac:dyDescent="0.2">
      <c r="B1312" s="3"/>
      <c r="F1312" s="24"/>
      <c r="H1312" s="7"/>
    </row>
    <row r="1313" spans="2:8" ht="15.75" customHeight="1" x14ac:dyDescent="0.2">
      <c r="B1313" s="3"/>
      <c r="F1313" s="24"/>
      <c r="H1313" s="7"/>
    </row>
    <row r="1314" spans="2:8" ht="15.75" customHeight="1" x14ac:dyDescent="0.2">
      <c r="B1314" s="3"/>
      <c r="F1314" s="24"/>
      <c r="H1314" s="7"/>
    </row>
    <row r="1315" spans="2:8" ht="15.75" customHeight="1" x14ac:dyDescent="0.2">
      <c r="B1315" s="3"/>
      <c r="F1315" s="24"/>
      <c r="H1315" s="7"/>
    </row>
    <row r="1316" spans="2:8" ht="15.75" customHeight="1" x14ac:dyDescent="0.2">
      <c r="B1316" s="3"/>
      <c r="F1316" s="24"/>
      <c r="H1316" s="7"/>
    </row>
    <row r="1317" spans="2:8" ht="15.75" customHeight="1" x14ac:dyDescent="0.2">
      <c r="B1317" s="3"/>
      <c r="F1317" s="24"/>
      <c r="H1317" s="7"/>
    </row>
    <row r="1318" spans="2:8" ht="15.75" customHeight="1" x14ac:dyDescent="0.2">
      <c r="B1318" s="3"/>
      <c r="F1318" s="24"/>
      <c r="H1318" s="7"/>
    </row>
    <row r="1319" spans="2:8" ht="15.75" customHeight="1" x14ac:dyDescent="0.2">
      <c r="B1319" s="3"/>
      <c r="F1319" s="24"/>
      <c r="H1319" s="7"/>
    </row>
    <row r="1320" spans="2:8" ht="15.75" customHeight="1" x14ac:dyDescent="0.2">
      <c r="B1320" s="3"/>
      <c r="F1320" s="24"/>
      <c r="H1320" s="7"/>
    </row>
    <row r="1321" spans="2:8" ht="15.75" customHeight="1" x14ac:dyDescent="0.2">
      <c r="B1321" s="3"/>
      <c r="F1321" s="24"/>
      <c r="H1321" s="7"/>
    </row>
    <row r="1322" spans="2:8" ht="15.75" customHeight="1" x14ac:dyDescent="0.2">
      <c r="B1322" s="3"/>
      <c r="F1322" s="24"/>
      <c r="H1322" s="7"/>
    </row>
    <row r="1323" spans="2:8" ht="15.75" customHeight="1" x14ac:dyDescent="0.2">
      <c r="B1323" s="3"/>
      <c r="F1323" s="24"/>
      <c r="H1323" s="7"/>
    </row>
    <row r="1324" spans="2:8" ht="15.75" customHeight="1" x14ac:dyDescent="0.2">
      <c r="B1324" s="3"/>
      <c r="F1324" s="24"/>
      <c r="H1324" s="7"/>
    </row>
    <row r="1325" spans="2:8" ht="15.75" customHeight="1" x14ac:dyDescent="0.2">
      <c r="B1325" s="3"/>
      <c r="F1325" s="24"/>
      <c r="H1325" s="7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347"/>
  <sheetViews>
    <sheetView workbookViewId="0">
      <pane xSplit="2" ySplit="1" topLeftCell="C352" activePane="bottomRight" state="frozen"/>
      <selection pane="topRight" activeCell="C1" sqref="C1"/>
      <selection pane="bottomLeft" activeCell="A2" sqref="A2"/>
      <selection pane="bottomRight" activeCell="G361" sqref="G361"/>
    </sheetView>
  </sheetViews>
  <sheetFormatPr baseColWidth="10" defaultColWidth="11.1640625" defaultRowHeight="15" customHeight="1" x14ac:dyDescent="0.2"/>
  <cols>
    <col min="1" max="1" width="10.5" customWidth="1"/>
    <col min="2" max="2" width="10.83203125" customWidth="1"/>
    <col min="3" max="5" width="10.5" customWidth="1"/>
    <col min="6" max="8" width="10.83203125" customWidth="1"/>
    <col min="9" max="24" width="10.5" customWidth="1"/>
  </cols>
  <sheetData>
    <row r="1" spans="1:24" ht="33.75" customHeight="1" x14ac:dyDescent="0.2">
      <c r="A1" s="3"/>
      <c r="B1" s="3" t="s">
        <v>49</v>
      </c>
      <c r="C1" s="3" t="s">
        <v>50</v>
      </c>
      <c r="D1" s="3" t="s">
        <v>51</v>
      </c>
      <c r="E1" s="3" t="s">
        <v>52</v>
      </c>
      <c r="F1" s="2" t="s">
        <v>53</v>
      </c>
      <c r="G1" s="3" t="s">
        <v>54</v>
      </c>
      <c r="H1" s="2" t="s">
        <v>55</v>
      </c>
      <c r="I1" s="2" t="s">
        <v>56</v>
      </c>
      <c r="J1" s="2" t="s">
        <v>57</v>
      </c>
      <c r="K1" s="2" t="s">
        <v>58</v>
      </c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.75" customHeight="1" x14ac:dyDescent="0.2">
      <c r="B2" s="3" t="s">
        <v>25</v>
      </c>
      <c r="C2" s="3"/>
      <c r="D2" s="3"/>
      <c r="E2" s="3"/>
      <c r="F2" s="2"/>
      <c r="G2" s="3"/>
      <c r="H2" s="2"/>
      <c r="I2" s="2"/>
      <c r="J2" s="2"/>
      <c r="K2" s="2"/>
      <c r="L2" s="2"/>
      <c r="M2" s="2"/>
      <c r="N2" s="3"/>
    </row>
    <row r="3" spans="1:24" ht="15.75" customHeight="1" x14ac:dyDescent="0.2">
      <c r="A3" s="4"/>
      <c r="B3" s="25" t="s">
        <v>59</v>
      </c>
      <c r="C3" s="3"/>
      <c r="D3" s="3"/>
      <c r="E3" s="3"/>
      <c r="F3" s="2"/>
      <c r="G3" s="3"/>
      <c r="H3" s="2"/>
      <c r="I3" s="2"/>
      <c r="J3" s="2"/>
      <c r="K3" s="2"/>
      <c r="L3" s="2"/>
      <c r="M3" s="2"/>
      <c r="N3" s="3"/>
    </row>
    <row r="4" spans="1:24" ht="15.75" customHeight="1" x14ac:dyDescent="0.2">
      <c r="A4" s="4" t="s">
        <v>60</v>
      </c>
      <c r="B4" s="25">
        <v>15</v>
      </c>
      <c r="C4" s="3"/>
      <c r="D4" s="3"/>
      <c r="E4" s="3"/>
      <c r="F4" s="2"/>
      <c r="G4" s="3"/>
      <c r="H4" s="2"/>
      <c r="I4" s="2"/>
      <c r="J4" s="2"/>
      <c r="K4" s="2"/>
      <c r="L4" s="2"/>
      <c r="M4" s="2"/>
      <c r="N4" s="3"/>
    </row>
    <row r="5" spans="1:24" ht="15.75" customHeight="1" x14ac:dyDescent="0.2">
      <c r="A5" s="4"/>
      <c r="B5" s="26" t="s">
        <v>62</v>
      </c>
      <c r="C5" s="3"/>
      <c r="D5" s="3"/>
      <c r="E5" s="3"/>
      <c r="F5" s="2"/>
      <c r="G5" s="3"/>
      <c r="H5" s="2"/>
      <c r="I5" s="2"/>
      <c r="J5" s="2"/>
      <c r="K5" s="2"/>
      <c r="L5" s="2"/>
      <c r="M5" s="2"/>
      <c r="N5" s="3"/>
    </row>
    <row r="6" spans="1:24" ht="15.75" customHeight="1" x14ac:dyDescent="0.2">
      <c r="A6" s="4"/>
      <c r="B6" s="26"/>
      <c r="C6" s="15">
        <v>45463</v>
      </c>
      <c r="D6" s="19">
        <v>0.60416666666666663</v>
      </c>
      <c r="E6" s="3"/>
      <c r="F6" s="2"/>
      <c r="G6" s="3"/>
      <c r="H6" s="2"/>
      <c r="I6" s="2"/>
      <c r="J6" s="2">
        <v>8.5</v>
      </c>
      <c r="K6" s="2">
        <v>9</v>
      </c>
      <c r="L6" s="2"/>
      <c r="M6" s="2"/>
      <c r="N6" s="3"/>
    </row>
    <row r="7" spans="1:24" ht="15.75" customHeight="1" x14ac:dyDescent="0.2">
      <c r="A7" s="4"/>
      <c r="B7" s="26"/>
      <c r="C7" s="15">
        <v>45463</v>
      </c>
      <c r="D7" s="19">
        <v>0.61111111111111105</v>
      </c>
      <c r="E7" s="3">
        <v>0.1</v>
      </c>
      <c r="F7" s="2">
        <v>10.49</v>
      </c>
      <c r="G7" s="3">
        <v>113.2</v>
      </c>
      <c r="H7" s="2">
        <v>19.100000000000001</v>
      </c>
      <c r="I7" s="2"/>
      <c r="J7" s="2"/>
      <c r="K7" s="2"/>
      <c r="L7" s="2"/>
      <c r="M7" s="2"/>
      <c r="N7" s="3"/>
    </row>
    <row r="8" spans="1:24" ht="15.75" customHeight="1" x14ac:dyDescent="0.2">
      <c r="A8" s="4"/>
      <c r="B8" s="26"/>
      <c r="C8" s="15">
        <v>45463</v>
      </c>
      <c r="D8" s="19">
        <v>0.61111111111111105</v>
      </c>
      <c r="E8" s="3">
        <v>1</v>
      </c>
      <c r="F8" s="2">
        <v>10.5</v>
      </c>
      <c r="G8" s="3">
        <v>107.8</v>
      </c>
      <c r="H8" s="2">
        <v>17.3</v>
      </c>
      <c r="I8" s="2"/>
      <c r="J8" s="2"/>
      <c r="K8" s="2"/>
      <c r="L8" s="2"/>
      <c r="M8" s="2"/>
      <c r="N8" s="3"/>
    </row>
    <row r="9" spans="1:24" ht="15.75" customHeight="1" x14ac:dyDescent="0.2">
      <c r="A9" s="4"/>
      <c r="B9" s="26"/>
      <c r="C9" s="15">
        <v>45463</v>
      </c>
      <c r="D9" s="19">
        <v>0.61111111111111105</v>
      </c>
      <c r="E9" s="3">
        <v>2</v>
      </c>
      <c r="F9" s="2">
        <v>10.61</v>
      </c>
      <c r="G9" s="3">
        <v>106.9</v>
      </c>
      <c r="H9" s="2">
        <v>16.100000000000001</v>
      </c>
      <c r="I9" s="2"/>
      <c r="J9" s="2"/>
      <c r="K9" s="2"/>
      <c r="L9" s="2"/>
      <c r="M9" s="2"/>
      <c r="N9" s="3"/>
    </row>
    <row r="10" spans="1:24" ht="15.75" customHeight="1" x14ac:dyDescent="0.2">
      <c r="A10" s="4"/>
      <c r="B10" s="26"/>
      <c r="C10" s="15">
        <v>45463</v>
      </c>
      <c r="D10" s="19">
        <v>0.61111111111111105</v>
      </c>
      <c r="E10" s="3">
        <v>3</v>
      </c>
      <c r="F10" s="2">
        <v>10.67</v>
      </c>
      <c r="G10" s="3">
        <v>106.4</v>
      </c>
      <c r="H10" s="2">
        <v>15.6</v>
      </c>
      <c r="I10" s="2"/>
      <c r="J10" s="2"/>
      <c r="K10" s="2"/>
      <c r="L10" s="2"/>
      <c r="M10" s="2"/>
      <c r="N10" s="3"/>
    </row>
    <row r="11" spans="1:24" ht="15.75" customHeight="1" x14ac:dyDescent="0.2">
      <c r="A11" s="4"/>
      <c r="B11" s="26"/>
      <c r="C11" s="15">
        <v>45463</v>
      </c>
      <c r="D11" s="19">
        <v>0.61111111111111105</v>
      </c>
      <c r="E11" s="3">
        <v>4</v>
      </c>
      <c r="F11" s="2">
        <v>10.59</v>
      </c>
      <c r="G11" s="3">
        <v>105.9</v>
      </c>
      <c r="H11" s="2">
        <v>15.4</v>
      </c>
      <c r="I11" s="2"/>
      <c r="J11" s="2"/>
      <c r="K11" s="2"/>
      <c r="L11" s="2"/>
      <c r="M11" s="2"/>
      <c r="N11" s="3"/>
    </row>
    <row r="12" spans="1:24" ht="15.75" customHeight="1" x14ac:dyDescent="0.2">
      <c r="A12" s="4"/>
      <c r="B12" s="26"/>
      <c r="C12" s="15">
        <v>45463</v>
      </c>
      <c r="D12" s="19">
        <v>0.61111111111111105</v>
      </c>
      <c r="E12" s="3">
        <v>5</v>
      </c>
      <c r="F12" s="2">
        <v>10.6</v>
      </c>
      <c r="G12" s="3">
        <v>105.2</v>
      </c>
      <c r="H12" s="2">
        <v>15.1</v>
      </c>
      <c r="I12" s="2"/>
      <c r="J12" s="2"/>
      <c r="K12" s="2"/>
      <c r="L12" s="2"/>
      <c r="M12" s="2"/>
      <c r="N12" s="3"/>
    </row>
    <row r="13" spans="1:24" ht="15.75" customHeight="1" x14ac:dyDescent="0.2">
      <c r="A13" s="4"/>
      <c r="B13" s="26"/>
      <c r="C13" s="15">
        <v>45463</v>
      </c>
      <c r="D13" s="19">
        <v>0.61111111111111105</v>
      </c>
      <c r="E13" s="3">
        <v>6</v>
      </c>
      <c r="F13" s="2">
        <v>10.61</v>
      </c>
      <c r="G13" s="3">
        <v>104.8</v>
      </c>
      <c r="H13" s="2">
        <v>14.8</v>
      </c>
      <c r="I13" s="2"/>
      <c r="J13" s="2"/>
      <c r="K13" s="2"/>
      <c r="L13" s="2"/>
      <c r="M13" s="2"/>
      <c r="N13" s="3"/>
    </row>
    <row r="14" spans="1:24" ht="15.75" customHeight="1" x14ac:dyDescent="0.2">
      <c r="A14" s="4"/>
      <c r="B14" s="26"/>
      <c r="C14" s="15">
        <v>45463</v>
      </c>
      <c r="D14" s="19">
        <v>0.61111111111111105</v>
      </c>
      <c r="E14" s="3">
        <v>7</v>
      </c>
      <c r="F14" s="2">
        <v>10.63</v>
      </c>
      <c r="G14" s="3">
        <v>104.1</v>
      </c>
      <c r="H14" s="2">
        <v>14.4</v>
      </c>
      <c r="I14" s="2"/>
      <c r="J14" s="2"/>
      <c r="K14" s="2"/>
      <c r="L14" s="2"/>
      <c r="M14" s="2"/>
      <c r="N14" s="3"/>
    </row>
    <row r="15" spans="1:24" ht="15.75" customHeight="1" x14ac:dyDescent="0.2">
      <c r="A15" s="4"/>
      <c r="B15" s="26"/>
      <c r="C15" s="15">
        <v>45463</v>
      </c>
      <c r="D15" s="19">
        <v>0.61111111111111105</v>
      </c>
      <c r="E15" s="3">
        <v>8</v>
      </c>
      <c r="F15" s="2">
        <v>10.71</v>
      </c>
      <c r="G15" s="3">
        <v>102.6</v>
      </c>
      <c r="H15" s="2">
        <v>13.9</v>
      </c>
      <c r="I15" s="2"/>
      <c r="J15" s="2"/>
      <c r="K15" s="2"/>
      <c r="L15" s="2"/>
      <c r="M15" s="2"/>
      <c r="N15" s="3"/>
    </row>
    <row r="16" spans="1:24" ht="15.75" customHeight="1" x14ac:dyDescent="0.2">
      <c r="A16" s="4"/>
      <c r="B16" s="26"/>
      <c r="C16" s="15">
        <v>45463</v>
      </c>
      <c r="D16" s="19">
        <v>0.61111111111111105</v>
      </c>
      <c r="E16" s="3">
        <v>9</v>
      </c>
      <c r="F16" s="2">
        <v>10.86</v>
      </c>
      <c r="G16" s="3">
        <v>103.6</v>
      </c>
      <c r="H16" s="2">
        <v>13.2</v>
      </c>
      <c r="I16" s="2"/>
      <c r="J16" s="2"/>
      <c r="K16" s="2"/>
      <c r="L16" s="2"/>
      <c r="M16" s="2"/>
      <c r="N16" s="3"/>
    </row>
    <row r="17" spans="1:14" ht="15.75" customHeight="1" x14ac:dyDescent="0.2">
      <c r="A17" s="4"/>
      <c r="B17" s="26"/>
      <c r="C17" s="15">
        <v>45463</v>
      </c>
      <c r="D17" s="19">
        <v>0.61111111111111105</v>
      </c>
      <c r="E17" s="3">
        <v>10</v>
      </c>
      <c r="F17" s="2">
        <v>10.88</v>
      </c>
      <c r="G17" s="3">
        <v>102.8</v>
      </c>
      <c r="H17" s="2">
        <v>12.9</v>
      </c>
      <c r="I17" s="2"/>
      <c r="J17" s="2"/>
      <c r="K17" s="2"/>
      <c r="L17" s="2"/>
      <c r="M17" s="2"/>
      <c r="N17" s="3"/>
    </row>
    <row r="18" spans="1:14" ht="15.75" customHeight="1" x14ac:dyDescent="0.2">
      <c r="A18" s="4"/>
      <c r="B18" s="26"/>
      <c r="C18" s="15">
        <v>45463</v>
      </c>
      <c r="D18" s="19">
        <v>0.61111111111111105</v>
      </c>
      <c r="E18" s="3">
        <v>11</v>
      </c>
      <c r="F18" s="2">
        <v>10.88</v>
      </c>
      <c r="G18" s="3">
        <v>101.9</v>
      </c>
      <c r="H18" s="2">
        <v>12.5</v>
      </c>
      <c r="I18" s="2"/>
      <c r="J18" s="2"/>
      <c r="K18" s="2"/>
      <c r="L18" s="2"/>
      <c r="M18" s="2"/>
      <c r="N18" s="3"/>
    </row>
    <row r="19" spans="1:14" ht="15.75" customHeight="1" x14ac:dyDescent="0.2">
      <c r="A19" s="4"/>
      <c r="B19" s="26"/>
      <c r="C19" s="15">
        <v>45463</v>
      </c>
      <c r="D19" s="19">
        <v>0.61111111111111105</v>
      </c>
      <c r="E19" s="3">
        <v>12</v>
      </c>
      <c r="F19" s="2">
        <v>10.96</v>
      </c>
      <c r="G19" s="3">
        <v>100.9</v>
      </c>
      <c r="H19" s="2">
        <v>11.7</v>
      </c>
      <c r="I19" s="2"/>
      <c r="J19" s="2"/>
      <c r="K19" s="2"/>
      <c r="L19" s="2"/>
      <c r="M19" s="2"/>
      <c r="N19" s="3"/>
    </row>
    <row r="20" spans="1:14" ht="15.75" customHeight="1" x14ac:dyDescent="0.2">
      <c r="A20" s="4"/>
      <c r="B20" s="26"/>
      <c r="C20" s="15">
        <v>45463</v>
      </c>
      <c r="D20" s="19">
        <v>0.61111111111111105</v>
      </c>
      <c r="E20" s="3">
        <v>13</v>
      </c>
      <c r="F20" s="2">
        <v>11.05</v>
      </c>
      <c r="G20" s="3">
        <v>100.5</v>
      </c>
      <c r="H20" s="2">
        <v>11.2</v>
      </c>
      <c r="I20" s="2"/>
      <c r="J20" s="2"/>
      <c r="K20" s="2"/>
      <c r="L20" s="2"/>
      <c r="M20" s="2"/>
      <c r="N20" s="3"/>
    </row>
    <row r="21" spans="1:14" ht="15.75" customHeight="1" x14ac:dyDescent="0.2">
      <c r="A21" s="4"/>
      <c r="B21" s="26"/>
      <c r="C21" s="15">
        <v>45463</v>
      </c>
      <c r="D21" s="19">
        <v>0.61111111111111105</v>
      </c>
      <c r="E21" s="3">
        <v>14</v>
      </c>
      <c r="F21" s="2">
        <v>11.8</v>
      </c>
      <c r="G21" s="3">
        <v>100.1</v>
      </c>
      <c r="H21" s="2">
        <v>10.8</v>
      </c>
      <c r="I21" s="2"/>
      <c r="J21" s="2"/>
      <c r="K21" s="2"/>
      <c r="L21" s="2"/>
      <c r="M21" s="2"/>
      <c r="N21" s="3"/>
    </row>
    <row r="22" spans="1:14" ht="15.75" customHeight="1" x14ac:dyDescent="0.2">
      <c r="A22" s="4"/>
      <c r="B22" s="26"/>
      <c r="C22" s="15">
        <v>45463</v>
      </c>
      <c r="D22" s="19">
        <v>0.61111111111111105</v>
      </c>
      <c r="E22" s="3">
        <v>15</v>
      </c>
      <c r="F22" s="2">
        <v>11.11</v>
      </c>
      <c r="G22" s="3">
        <v>99.5</v>
      </c>
      <c r="H22" s="2">
        <v>10.5</v>
      </c>
      <c r="I22" s="2"/>
      <c r="J22" s="2"/>
      <c r="K22" s="2"/>
      <c r="L22" s="2"/>
      <c r="M22" s="2"/>
      <c r="N22" s="3"/>
    </row>
    <row r="23" spans="1:14" ht="15.75" customHeight="1" x14ac:dyDescent="0.2">
      <c r="A23" s="4"/>
      <c r="B23" s="26"/>
      <c r="C23" s="3"/>
      <c r="D23" s="3"/>
      <c r="E23" s="3"/>
      <c r="F23" s="2"/>
      <c r="G23" s="3"/>
      <c r="H23" s="2"/>
      <c r="I23" s="2"/>
      <c r="J23" s="2"/>
      <c r="K23" s="2"/>
      <c r="L23" s="2"/>
      <c r="M23" s="2"/>
      <c r="N23" s="3"/>
    </row>
    <row r="24" spans="1:14" ht="15.75" customHeight="1" x14ac:dyDescent="0.2">
      <c r="A24" s="4"/>
      <c r="B24" s="26"/>
      <c r="C24" s="15">
        <v>45496</v>
      </c>
      <c r="D24" s="19">
        <v>0.5</v>
      </c>
      <c r="E24" s="3"/>
      <c r="F24" s="2"/>
      <c r="G24" s="3"/>
      <c r="H24" s="2"/>
      <c r="I24" s="2"/>
      <c r="J24" s="2">
        <v>9</v>
      </c>
      <c r="K24" s="2">
        <v>12</v>
      </c>
      <c r="L24" s="2"/>
      <c r="M24" s="2"/>
      <c r="N24" s="3"/>
    </row>
    <row r="25" spans="1:14" ht="15.75" customHeight="1" x14ac:dyDescent="0.2">
      <c r="A25" s="4"/>
      <c r="B25" s="26"/>
      <c r="C25" s="15">
        <v>45496</v>
      </c>
      <c r="D25" s="19">
        <v>0.50694444444444442</v>
      </c>
      <c r="E25" s="3">
        <v>0.1</v>
      </c>
      <c r="F25" s="2">
        <v>8.6999999999999993</v>
      </c>
      <c r="G25" s="3">
        <v>105.2</v>
      </c>
      <c r="H25" s="2">
        <v>25</v>
      </c>
      <c r="I25" s="2"/>
      <c r="J25" s="2"/>
      <c r="K25" s="2"/>
      <c r="L25" s="2"/>
      <c r="M25" s="2"/>
      <c r="N25" s="3"/>
    </row>
    <row r="26" spans="1:14" ht="15.75" customHeight="1" x14ac:dyDescent="0.2">
      <c r="A26" s="4"/>
      <c r="B26" s="26"/>
      <c r="C26" s="15">
        <v>45496</v>
      </c>
      <c r="D26" s="19">
        <v>0.50694444444444442</v>
      </c>
      <c r="E26" s="3">
        <v>1</v>
      </c>
      <c r="F26" s="2">
        <v>8.67</v>
      </c>
      <c r="G26" s="3">
        <v>104.7</v>
      </c>
      <c r="H26" s="2">
        <v>24.9</v>
      </c>
      <c r="I26" s="2"/>
      <c r="J26" s="2"/>
      <c r="K26" s="2"/>
      <c r="L26" s="2"/>
      <c r="M26" s="2"/>
      <c r="N26" s="3"/>
    </row>
    <row r="27" spans="1:14" ht="15.75" customHeight="1" x14ac:dyDescent="0.2">
      <c r="A27" s="4"/>
      <c r="B27" s="26"/>
      <c r="C27" s="15">
        <v>45496</v>
      </c>
      <c r="D27" s="19">
        <v>0.50694444444444442</v>
      </c>
      <c r="E27" s="3">
        <v>2</v>
      </c>
      <c r="F27" s="2">
        <v>8.64</v>
      </c>
      <c r="G27" s="3">
        <v>104.4</v>
      </c>
      <c r="H27" s="2">
        <v>24.9</v>
      </c>
      <c r="I27" s="2"/>
      <c r="J27" s="2"/>
      <c r="K27" s="2"/>
      <c r="L27" s="2"/>
      <c r="M27" s="2"/>
      <c r="N27" s="3"/>
    </row>
    <row r="28" spans="1:14" ht="15.75" customHeight="1" x14ac:dyDescent="0.2">
      <c r="A28" s="4"/>
      <c r="B28" s="26"/>
      <c r="C28" s="15">
        <v>45496</v>
      </c>
      <c r="D28" s="19">
        <v>0.50694444444444442</v>
      </c>
      <c r="E28" s="3">
        <v>3</v>
      </c>
      <c r="F28" s="2">
        <v>8.64</v>
      </c>
      <c r="G28" s="3">
        <v>104.2</v>
      </c>
      <c r="H28" s="2">
        <v>24.9</v>
      </c>
      <c r="I28" s="2"/>
      <c r="J28" s="2"/>
      <c r="K28" s="2"/>
      <c r="L28" s="2"/>
      <c r="M28" s="2"/>
      <c r="N28" s="3"/>
    </row>
    <row r="29" spans="1:14" ht="15.75" customHeight="1" x14ac:dyDescent="0.2">
      <c r="A29" s="4"/>
      <c r="B29" s="26"/>
      <c r="C29" s="15">
        <v>45496</v>
      </c>
      <c r="D29" s="19">
        <v>0.50694444444444442</v>
      </c>
      <c r="E29" s="3">
        <v>4</v>
      </c>
      <c r="F29" s="2">
        <v>8.6300000000000008</v>
      </c>
      <c r="G29" s="3">
        <v>104</v>
      </c>
      <c r="H29" s="2">
        <v>24.8</v>
      </c>
      <c r="I29" s="2"/>
      <c r="J29" s="2"/>
      <c r="K29" s="2"/>
      <c r="L29" s="2"/>
      <c r="M29" s="2"/>
      <c r="N29" s="3"/>
    </row>
    <row r="30" spans="1:14" ht="15.75" customHeight="1" x14ac:dyDescent="0.2">
      <c r="A30" s="4"/>
      <c r="B30" s="26"/>
      <c r="C30" s="15">
        <v>45496</v>
      </c>
      <c r="D30" s="19">
        <v>0.50694444444444442</v>
      </c>
      <c r="E30" s="3">
        <v>5</v>
      </c>
      <c r="F30" s="2">
        <v>8.6300000000000008</v>
      </c>
      <c r="G30" s="3">
        <v>103.9</v>
      </c>
      <c r="H30" s="2">
        <v>24.7</v>
      </c>
      <c r="I30" s="2"/>
      <c r="J30" s="2"/>
      <c r="K30" s="2"/>
      <c r="L30" s="2"/>
      <c r="M30" s="2"/>
      <c r="N30" s="3"/>
    </row>
    <row r="31" spans="1:14" ht="15.75" customHeight="1" x14ac:dyDescent="0.2">
      <c r="A31" s="4"/>
      <c r="B31" s="26"/>
      <c r="C31" s="15">
        <v>45496</v>
      </c>
      <c r="D31" s="19">
        <v>0.50694444444444442</v>
      </c>
      <c r="E31" s="3">
        <v>6</v>
      </c>
      <c r="F31" s="2">
        <v>8.6300000000000008</v>
      </c>
      <c r="G31" s="3">
        <v>103.9</v>
      </c>
      <c r="H31" s="2">
        <v>24.7</v>
      </c>
      <c r="I31" s="2"/>
      <c r="J31" s="2"/>
      <c r="K31" s="2"/>
      <c r="L31" s="2"/>
      <c r="M31" s="2"/>
      <c r="N31" s="3"/>
    </row>
    <row r="32" spans="1:14" ht="15.75" customHeight="1" x14ac:dyDescent="0.2">
      <c r="A32" s="4"/>
      <c r="B32" s="26"/>
      <c r="C32" s="15">
        <v>45496</v>
      </c>
      <c r="D32" s="19">
        <v>0.50694444444444442</v>
      </c>
      <c r="E32" s="3">
        <v>7</v>
      </c>
      <c r="F32" s="2">
        <v>8.65</v>
      </c>
      <c r="G32" s="3">
        <v>103.9</v>
      </c>
      <c r="H32" s="2">
        <v>24.6</v>
      </c>
      <c r="I32" s="2"/>
      <c r="J32" s="2"/>
      <c r="K32" s="2"/>
      <c r="L32" s="2"/>
      <c r="M32" s="2"/>
      <c r="N32" s="3"/>
    </row>
    <row r="33" spans="1:14" ht="15.75" customHeight="1" x14ac:dyDescent="0.2">
      <c r="A33" s="4"/>
      <c r="B33" s="26"/>
      <c r="C33" s="15">
        <v>45496</v>
      </c>
      <c r="D33" s="19">
        <v>0.50694444444444442</v>
      </c>
      <c r="E33" s="3">
        <v>8</v>
      </c>
      <c r="F33" s="2">
        <v>9.1999999999999993</v>
      </c>
      <c r="G33" s="3">
        <v>107.9</v>
      </c>
      <c r="H33" s="2">
        <v>23.5</v>
      </c>
      <c r="I33" s="2"/>
      <c r="J33" s="2"/>
      <c r="K33" s="2"/>
      <c r="L33" s="2"/>
      <c r="M33" s="2"/>
      <c r="N33" s="3"/>
    </row>
    <row r="34" spans="1:14" ht="15.75" customHeight="1" x14ac:dyDescent="0.2">
      <c r="A34" s="4"/>
      <c r="B34" s="26"/>
      <c r="C34" s="15">
        <v>45496</v>
      </c>
      <c r="D34" s="19">
        <v>0.50694444444444442</v>
      </c>
      <c r="E34" s="3">
        <v>9</v>
      </c>
      <c r="F34" s="2">
        <v>10.24</v>
      </c>
      <c r="G34" s="3">
        <v>111.11</v>
      </c>
      <c r="H34" s="2">
        <v>19.600000000000001</v>
      </c>
      <c r="I34" s="2"/>
      <c r="J34" s="2"/>
      <c r="K34" s="2"/>
      <c r="L34" s="2"/>
      <c r="M34" s="2"/>
      <c r="N34" s="3"/>
    </row>
    <row r="35" spans="1:14" ht="15.75" customHeight="1" x14ac:dyDescent="0.2">
      <c r="A35" s="4"/>
      <c r="B35" s="26"/>
      <c r="C35" s="15">
        <v>45496</v>
      </c>
      <c r="D35" s="19">
        <v>0.50694444444444442</v>
      </c>
      <c r="E35" s="3">
        <v>10</v>
      </c>
      <c r="F35" s="2">
        <v>10.76</v>
      </c>
      <c r="G35" s="3">
        <v>110.5</v>
      </c>
      <c r="H35" s="2">
        <v>16.7</v>
      </c>
      <c r="I35" s="2"/>
      <c r="J35" s="2"/>
      <c r="K35" s="2"/>
      <c r="L35" s="2"/>
      <c r="M35" s="2"/>
      <c r="N35" s="3"/>
    </row>
    <row r="36" spans="1:14" ht="15.75" customHeight="1" x14ac:dyDescent="0.2">
      <c r="A36" s="4"/>
      <c r="B36" s="26"/>
      <c r="C36" s="15">
        <v>45496</v>
      </c>
      <c r="D36" s="19">
        <v>0.50694444444444442</v>
      </c>
      <c r="E36" s="3">
        <v>11</v>
      </c>
      <c r="F36" s="2">
        <v>10.79</v>
      </c>
      <c r="G36" s="3">
        <v>109.1</v>
      </c>
      <c r="H36" s="2">
        <v>16</v>
      </c>
      <c r="I36" s="2"/>
      <c r="J36" s="2"/>
      <c r="K36" s="2"/>
      <c r="L36" s="2"/>
      <c r="M36" s="2"/>
      <c r="N36" s="3"/>
    </row>
    <row r="37" spans="1:14" ht="15.75" customHeight="1" x14ac:dyDescent="0.2">
      <c r="A37" s="4"/>
      <c r="B37" s="26"/>
      <c r="C37" s="15">
        <v>45496</v>
      </c>
      <c r="D37" s="19">
        <v>0.50694444444444442</v>
      </c>
      <c r="E37" s="3">
        <v>12</v>
      </c>
      <c r="F37" s="2">
        <v>10.81</v>
      </c>
      <c r="G37" s="3">
        <v>104.6</v>
      </c>
      <c r="H37" s="2">
        <v>13.8</v>
      </c>
      <c r="I37" s="2"/>
      <c r="J37" s="2"/>
      <c r="K37" s="2"/>
      <c r="L37" s="2"/>
      <c r="M37" s="2"/>
      <c r="N37" s="3"/>
    </row>
    <row r="38" spans="1:14" ht="15.75" customHeight="1" x14ac:dyDescent="0.2">
      <c r="A38" s="4"/>
      <c r="B38" s="26"/>
      <c r="C38" s="15">
        <v>45496</v>
      </c>
      <c r="D38" s="19">
        <v>0.50694444444444442</v>
      </c>
      <c r="E38" s="3">
        <v>13</v>
      </c>
      <c r="F38" s="2">
        <v>10.86</v>
      </c>
      <c r="G38" s="3">
        <v>102</v>
      </c>
      <c r="H38" s="2">
        <v>12.5</v>
      </c>
      <c r="I38" s="2"/>
      <c r="J38" s="2"/>
      <c r="K38" s="2"/>
      <c r="L38" s="2"/>
      <c r="M38" s="2"/>
      <c r="N38" s="3"/>
    </row>
    <row r="39" spans="1:14" ht="15.75" customHeight="1" x14ac:dyDescent="0.2">
      <c r="A39" s="4"/>
      <c r="B39" s="26"/>
      <c r="C39" s="15">
        <v>45496</v>
      </c>
      <c r="D39" s="19">
        <v>0.50694444444444442</v>
      </c>
      <c r="E39" s="3">
        <v>14</v>
      </c>
      <c r="F39" s="2">
        <v>10.93</v>
      </c>
      <c r="G39" s="3">
        <v>99.9</v>
      </c>
      <c r="H39" s="2">
        <v>11.4</v>
      </c>
      <c r="I39" s="2"/>
      <c r="J39" s="2"/>
      <c r="K39" s="2"/>
      <c r="L39" s="2"/>
      <c r="M39" s="2"/>
      <c r="N39" s="3"/>
    </row>
    <row r="40" spans="1:14" ht="15.75" customHeight="1" x14ac:dyDescent="0.2">
      <c r="A40" s="4"/>
      <c r="B40" s="26"/>
      <c r="C40" s="3"/>
      <c r="D40" s="3"/>
      <c r="E40" s="3"/>
      <c r="F40" s="2"/>
      <c r="G40" s="3"/>
      <c r="H40" s="2"/>
      <c r="I40" s="2"/>
      <c r="J40" s="2"/>
      <c r="K40" s="2"/>
      <c r="L40" s="2"/>
      <c r="M40" s="2"/>
      <c r="N40" s="3"/>
    </row>
    <row r="41" spans="1:14" ht="15.75" customHeight="1" x14ac:dyDescent="0.2">
      <c r="A41" s="4"/>
      <c r="B41" s="26"/>
      <c r="C41" s="15">
        <v>45524</v>
      </c>
      <c r="D41" s="19">
        <v>0.45833333333333331</v>
      </c>
      <c r="E41" s="3"/>
      <c r="F41" s="2"/>
      <c r="G41" s="3"/>
      <c r="H41" s="2"/>
      <c r="I41" s="2"/>
      <c r="J41" s="2">
        <v>9.5</v>
      </c>
      <c r="K41" s="2">
        <v>12</v>
      </c>
      <c r="L41" s="2"/>
      <c r="M41" s="2"/>
      <c r="N41" s="3"/>
    </row>
    <row r="42" spans="1:14" ht="15.75" customHeight="1" x14ac:dyDescent="0.2">
      <c r="A42" s="4"/>
      <c r="B42" s="26"/>
      <c r="C42" s="15">
        <v>45524</v>
      </c>
      <c r="D42" s="19">
        <v>0.46527777777777773</v>
      </c>
      <c r="E42" s="3">
        <v>0.1</v>
      </c>
      <c r="F42" s="2">
        <v>9</v>
      </c>
      <c r="G42" s="3">
        <v>102.2</v>
      </c>
      <c r="H42" s="2">
        <v>22.2</v>
      </c>
      <c r="I42" s="2"/>
      <c r="J42" s="2"/>
      <c r="K42" s="2"/>
      <c r="L42" s="2"/>
      <c r="M42" s="2"/>
      <c r="N42" s="3"/>
    </row>
    <row r="43" spans="1:14" ht="15.75" customHeight="1" x14ac:dyDescent="0.2">
      <c r="A43" s="4"/>
      <c r="B43" s="26"/>
      <c r="C43" s="15">
        <v>45524</v>
      </c>
      <c r="D43" s="19">
        <v>0.46527777777777773</v>
      </c>
      <c r="E43" s="3">
        <v>1</v>
      </c>
      <c r="F43" s="2">
        <v>8.9700000000000006</v>
      </c>
      <c r="G43" s="3">
        <v>102.1</v>
      </c>
      <c r="H43" s="2">
        <v>22.3</v>
      </c>
      <c r="I43" s="2"/>
      <c r="J43" s="2"/>
      <c r="K43" s="2"/>
      <c r="L43" s="2"/>
      <c r="M43" s="2"/>
      <c r="N43" s="3"/>
    </row>
    <row r="44" spans="1:14" ht="15.75" customHeight="1" x14ac:dyDescent="0.2">
      <c r="A44" s="4"/>
      <c r="B44" s="26"/>
      <c r="C44" s="15">
        <v>45524</v>
      </c>
      <c r="D44" s="19">
        <v>0.46527777777777773</v>
      </c>
      <c r="E44" s="3">
        <v>2</v>
      </c>
      <c r="F44" s="2">
        <v>8.9499999999999993</v>
      </c>
      <c r="G44" s="3">
        <v>102.8</v>
      </c>
      <c r="H44" s="2">
        <v>22.2</v>
      </c>
      <c r="I44" s="2"/>
      <c r="J44" s="2"/>
      <c r="K44" s="2"/>
      <c r="L44" s="2"/>
      <c r="M44" s="2"/>
      <c r="N44" s="3"/>
    </row>
    <row r="45" spans="1:14" ht="15.75" customHeight="1" x14ac:dyDescent="0.2">
      <c r="A45" s="4"/>
      <c r="B45" s="26"/>
      <c r="C45" s="15">
        <v>45524</v>
      </c>
      <c r="D45" s="19">
        <v>0.46527777777777773</v>
      </c>
      <c r="E45" s="3">
        <v>3</v>
      </c>
      <c r="F45" s="2">
        <v>8.93</v>
      </c>
      <c r="G45" s="3">
        <v>102.5</v>
      </c>
      <c r="H45" s="2">
        <v>22.2</v>
      </c>
      <c r="I45" s="2"/>
      <c r="J45" s="2"/>
      <c r="K45" s="2"/>
      <c r="L45" s="2"/>
      <c r="M45" s="2"/>
      <c r="N45" s="3"/>
    </row>
    <row r="46" spans="1:14" ht="15.75" customHeight="1" x14ac:dyDescent="0.2">
      <c r="A46" s="4"/>
      <c r="B46" s="26"/>
      <c r="C46" s="15">
        <v>45524</v>
      </c>
      <c r="D46" s="19">
        <v>0.46527777777777773</v>
      </c>
      <c r="E46" s="3">
        <v>4</v>
      </c>
      <c r="F46" s="2">
        <v>8.93</v>
      </c>
      <c r="G46" s="3">
        <v>102.4</v>
      </c>
      <c r="H46" s="2">
        <v>22.1</v>
      </c>
      <c r="I46" s="2"/>
      <c r="J46" s="2"/>
      <c r="K46" s="2"/>
      <c r="L46" s="2"/>
      <c r="M46" s="2"/>
      <c r="N46" s="3"/>
    </row>
    <row r="47" spans="1:14" ht="15.75" customHeight="1" x14ac:dyDescent="0.2">
      <c r="A47" s="4"/>
      <c r="B47" s="26"/>
      <c r="C47" s="15">
        <v>45524</v>
      </c>
      <c r="D47" s="19">
        <v>0.46527777777777773</v>
      </c>
      <c r="E47" s="3">
        <v>5</v>
      </c>
      <c r="F47" s="2">
        <v>8.94</v>
      </c>
      <c r="G47" s="3">
        <v>102.2</v>
      </c>
      <c r="H47" s="2">
        <v>22</v>
      </c>
      <c r="I47" s="2"/>
      <c r="J47" s="2"/>
      <c r="K47" s="2"/>
      <c r="L47" s="2"/>
      <c r="M47" s="2"/>
      <c r="N47" s="3"/>
    </row>
    <row r="48" spans="1:14" ht="15.75" customHeight="1" x14ac:dyDescent="0.2">
      <c r="A48" s="4"/>
      <c r="B48" s="26"/>
      <c r="C48" s="15">
        <v>45524</v>
      </c>
      <c r="D48" s="19">
        <v>0.46527777777777773</v>
      </c>
      <c r="E48" s="3">
        <v>6</v>
      </c>
      <c r="F48" s="2">
        <v>8.93</v>
      </c>
      <c r="G48" s="3">
        <v>102.2</v>
      </c>
      <c r="H48" s="2">
        <v>22</v>
      </c>
      <c r="I48" s="2"/>
      <c r="J48" s="2"/>
      <c r="K48" s="2"/>
      <c r="L48" s="2"/>
      <c r="M48" s="2"/>
      <c r="N48" s="3"/>
    </row>
    <row r="49" spans="1:14" ht="15.75" customHeight="1" x14ac:dyDescent="0.2">
      <c r="A49" s="4"/>
      <c r="B49" s="26"/>
      <c r="C49" s="15">
        <v>45524</v>
      </c>
      <c r="D49" s="19">
        <v>0.46527777777777773</v>
      </c>
      <c r="E49" s="3">
        <v>7</v>
      </c>
      <c r="F49" s="2">
        <v>8.93</v>
      </c>
      <c r="G49" s="3">
        <v>102.1</v>
      </c>
      <c r="H49" s="2">
        <v>22</v>
      </c>
      <c r="I49" s="2"/>
      <c r="J49" s="2"/>
      <c r="K49" s="2"/>
      <c r="L49" s="2"/>
      <c r="M49" s="2"/>
      <c r="N49" s="3"/>
    </row>
    <row r="50" spans="1:14" ht="15.75" customHeight="1" x14ac:dyDescent="0.2">
      <c r="A50" s="4"/>
      <c r="B50" s="26"/>
      <c r="C50" s="15">
        <v>45524</v>
      </c>
      <c r="D50" s="19">
        <v>0.46527777777777773</v>
      </c>
      <c r="E50" s="3">
        <v>8</v>
      </c>
      <c r="F50" s="2">
        <v>8.93</v>
      </c>
      <c r="G50" s="3">
        <v>101.9</v>
      </c>
      <c r="H50" s="2">
        <v>21.9</v>
      </c>
      <c r="I50" s="2"/>
      <c r="J50" s="2"/>
      <c r="K50" s="2"/>
      <c r="L50" s="2"/>
      <c r="M50" s="2"/>
      <c r="N50" s="3"/>
    </row>
    <row r="51" spans="1:14" ht="15.75" customHeight="1" x14ac:dyDescent="0.2">
      <c r="A51" s="4"/>
      <c r="B51" s="26"/>
      <c r="C51" s="15">
        <v>45524</v>
      </c>
      <c r="D51" s="19">
        <v>0.46527777777777773</v>
      </c>
      <c r="E51" s="3">
        <v>9</v>
      </c>
      <c r="F51" s="2">
        <v>8.82</v>
      </c>
      <c r="G51" s="3">
        <v>101.8</v>
      </c>
      <c r="H51" s="2">
        <v>21.9</v>
      </c>
      <c r="I51" s="2"/>
      <c r="J51" s="2"/>
      <c r="K51" s="2"/>
      <c r="L51" s="2"/>
      <c r="M51" s="2"/>
      <c r="N51" s="3"/>
    </row>
    <row r="52" spans="1:14" ht="15.75" customHeight="1" x14ac:dyDescent="0.2">
      <c r="A52" s="4"/>
      <c r="B52" s="26"/>
      <c r="C52" s="15">
        <v>45524</v>
      </c>
      <c r="D52" s="19">
        <v>0.46527777777777773</v>
      </c>
      <c r="E52" s="3">
        <v>10</v>
      </c>
      <c r="F52" s="2">
        <v>9.2200000000000006</v>
      </c>
      <c r="G52" s="3">
        <v>103.6</v>
      </c>
      <c r="H52" s="2">
        <v>21.1</v>
      </c>
      <c r="I52" s="2"/>
      <c r="J52" s="2"/>
      <c r="K52" s="2"/>
      <c r="L52" s="2"/>
      <c r="M52" s="2"/>
      <c r="N52" s="3"/>
    </row>
    <row r="53" spans="1:14" ht="15.75" customHeight="1" x14ac:dyDescent="0.2">
      <c r="A53" s="4"/>
      <c r="B53" s="26"/>
      <c r="C53" s="15">
        <v>45524</v>
      </c>
      <c r="D53" s="19">
        <v>0.46527777777777773</v>
      </c>
      <c r="E53" s="3">
        <v>11</v>
      </c>
      <c r="F53" s="2">
        <v>10.97</v>
      </c>
      <c r="G53" s="3">
        <v>112.1</v>
      </c>
      <c r="H53" s="2">
        <v>16.3</v>
      </c>
      <c r="I53" s="2"/>
      <c r="J53" s="2"/>
      <c r="K53" s="2"/>
      <c r="L53" s="2"/>
      <c r="M53" s="2"/>
      <c r="N53" s="3"/>
    </row>
    <row r="54" spans="1:14" ht="15.75" customHeight="1" x14ac:dyDescent="0.2">
      <c r="A54" s="4"/>
      <c r="B54" s="26"/>
      <c r="C54" s="15">
        <v>45524</v>
      </c>
      <c r="D54" s="19">
        <v>0.46527777777777773</v>
      </c>
      <c r="E54" s="3">
        <v>12</v>
      </c>
      <c r="F54" s="2">
        <v>11.03</v>
      </c>
      <c r="G54" s="3">
        <v>110.5</v>
      </c>
      <c r="H54" s="2">
        <v>15.5</v>
      </c>
      <c r="I54" s="2"/>
      <c r="J54" s="2"/>
      <c r="K54" s="2"/>
      <c r="L54" s="2"/>
      <c r="M54" s="2"/>
      <c r="N54" s="3"/>
    </row>
    <row r="55" spans="1:14" ht="15.75" customHeight="1" x14ac:dyDescent="0.2">
      <c r="A55" s="4"/>
      <c r="B55" s="26"/>
      <c r="C55" s="15">
        <v>45524</v>
      </c>
      <c r="D55" s="19">
        <v>0.46527777777777773</v>
      </c>
      <c r="E55" s="3">
        <v>12.5</v>
      </c>
      <c r="F55" s="2">
        <v>11.11</v>
      </c>
      <c r="G55" s="3">
        <v>108.7</v>
      </c>
      <c r="H55" s="2">
        <v>14.4</v>
      </c>
      <c r="I55" s="2"/>
      <c r="J55" s="2"/>
      <c r="K55" s="2"/>
      <c r="L55" s="2"/>
      <c r="M55" s="2"/>
      <c r="N55" s="3"/>
    </row>
    <row r="56" spans="1:14" ht="15.75" customHeight="1" x14ac:dyDescent="0.2">
      <c r="A56" s="4"/>
      <c r="B56" s="26"/>
      <c r="C56" s="15"/>
      <c r="D56" s="19"/>
      <c r="E56" s="3"/>
      <c r="F56" s="2"/>
      <c r="G56" s="3"/>
      <c r="H56" s="2"/>
      <c r="I56" s="2"/>
      <c r="J56" s="2"/>
      <c r="K56" s="2"/>
      <c r="L56" s="2"/>
      <c r="M56" s="2"/>
      <c r="N56" s="3"/>
    </row>
    <row r="57" spans="1:14" ht="15.75" customHeight="1" x14ac:dyDescent="0.2">
      <c r="A57" s="4"/>
      <c r="B57" s="26"/>
      <c r="C57" s="15">
        <v>45566</v>
      </c>
      <c r="D57" s="19">
        <v>0.57638888888888895</v>
      </c>
      <c r="E57" s="3"/>
      <c r="F57" s="2"/>
      <c r="G57" s="3"/>
      <c r="H57" s="2"/>
      <c r="I57" s="2"/>
      <c r="J57" s="2">
        <v>10</v>
      </c>
      <c r="K57" s="2">
        <v>11.5</v>
      </c>
      <c r="L57" s="2"/>
      <c r="M57" s="2"/>
      <c r="N57" s="3"/>
    </row>
    <row r="58" spans="1:14" ht="15.75" customHeight="1" x14ac:dyDescent="0.2">
      <c r="A58" s="4"/>
      <c r="B58" s="26"/>
      <c r="C58" s="15">
        <v>45566</v>
      </c>
      <c r="D58" s="19">
        <v>0.57638888888888895</v>
      </c>
      <c r="E58" s="3">
        <v>0.1</v>
      </c>
      <c r="F58" s="2">
        <v>9.8000000000000007</v>
      </c>
      <c r="G58" s="3">
        <v>101.7</v>
      </c>
      <c r="H58" s="2">
        <v>17.2</v>
      </c>
      <c r="I58" s="2"/>
      <c r="J58" s="2"/>
      <c r="K58" s="2"/>
      <c r="L58" s="2"/>
      <c r="M58" s="2"/>
      <c r="N58" s="3"/>
    </row>
    <row r="59" spans="1:14" ht="15.75" customHeight="1" x14ac:dyDescent="0.2">
      <c r="A59" s="4"/>
      <c r="B59" s="26"/>
      <c r="C59" s="15">
        <v>45566</v>
      </c>
      <c r="D59" s="19">
        <v>0.57638888888888895</v>
      </c>
      <c r="E59" s="3">
        <v>1</v>
      </c>
      <c r="F59" s="2">
        <v>9.6999999999999993</v>
      </c>
      <c r="G59" s="3">
        <v>101</v>
      </c>
      <c r="H59" s="2">
        <v>17.3</v>
      </c>
      <c r="I59" s="2"/>
      <c r="J59" s="2"/>
      <c r="K59" s="2"/>
      <c r="L59" s="2"/>
      <c r="M59" s="2"/>
      <c r="N59" s="3"/>
    </row>
    <row r="60" spans="1:14" ht="15.75" customHeight="1" x14ac:dyDescent="0.2">
      <c r="A60" s="4"/>
      <c r="B60" s="26"/>
      <c r="C60" s="15">
        <v>45566</v>
      </c>
      <c r="D60" s="19">
        <v>0.57638888888888895</v>
      </c>
      <c r="E60" s="3">
        <v>2</v>
      </c>
      <c r="F60" s="2">
        <v>9.68</v>
      </c>
      <c r="G60" s="3">
        <v>100.8</v>
      </c>
      <c r="H60" s="2">
        <v>17.3</v>
      </c>
      <c r="I60" s="2"/>
      <c r="J60" s="2"/>
      <c r="K60" s="2"/>
      <c r="L60" s="2"/>
      <c r="M60" s="2"/>
      <c r="N60" s="3"/>
    </row>
    <row r="61" spans="1:14" ht="15.75" customHeight="1" x14ac:dyDescent="0.2">
      <c r="A61" s="4"/>
      <c r="B61" s="26"/>
      <c r="C61" s="15">
        <v>45566</v>
      </c>
      <c r="D61" s="19">
        <v>0.57638888888888895</v>
      </c>
      <c r="E61" s="3">
        <v>3</v>
      </c>
      <c r="F61" s="2">
        <v>9.65</v>
      </c>
      <c r="G61" s="3">
        <v>100.5</v>
      </c>
      <c r="H61" s="2">
        <v>17.3</v>
      </c>
      <c r="I61" s="2"/>
      <c r="J61" s="2"/>
      <c r="K61" s="2"/>
      <c r="L61" s="2"/>
      <c r="M61" s="2"/>
      <c r="N61" s="3"/>
    </row>
    <row r="62" spans="1:14" ht="15.75" customHeight="1" x14ac:dyDescent="0.2">
      <c r="A62" s="4"/>
      <c r="B62" s="26"/>
      <c r="C62" s="15">
        <v>45566</v>
      </c>
      <c r="D62" s="19">
        <v>0.57638888888888895</v>
      </c>
      <c r="E62" s="3">
        <v>4</v>
      </c>
      <c r="F62" s="2">
        <v>9.64</v>
      </c>
      <c r="G62" s="3">
        <v>100.3</v>
      </c>
      <c r="H62" s="2">
        <v>17.3</v>
      </c>
      <c r="I62" s="2"/>
      <c r="J62" s="2"/>
      <c r="K62" s="2"/>
      <c r="L62" s="2"/>
      <c r="M62" s="2"/>
      <c r="N62" s="3"/>
    </row>
    <row r="63" spans="1:14" ht="15.75" customHeight="1" x14ac:dyDescent="0.2">
      <c r="A63" s="4"/>
      <c r="B63" s="26"/>
      <c r="C63" s="15">
        <v>45566</v>
      </c>
      <c r="D63" s="19">
        <v>0.57638888888888895</v>
      </c>
      <c r="E63" s="3">
        <v>5</v>
      </c>
      <c r="F63" s="2">
        <v>9.6199999999999992</v>
      </c>
      <c r="G63" s="3">
        <v>100.1</v>
      </c>
      <c r="H63" s="2">
        <v>17.3</v>
      </c>
      <c r="I63" s="2"/>
      <c r="J63" s="2"/>
      <c r="K63" s="2"/>
      <c r="L63" s="2"/>
      <c r="M63" s="2"/>
      <c r="N63" s="3"/>
    </row>
    <row r="64" spans="1:14" ht="15.75" customHeight="1" x14ac:dyDescent="0.2">
      <c r="A64" s="4"/>
      <c r="B64" s="26"/>
      <c r="C64" s="15">
        <v>45566</v>
      </c>
      <c r="D64" s="19">
        <v>0.57638888888888895</v>
      </c>
      <c r="E64" s="3">
        <v>6</v>
      </c>
      <c r="F64" s="2">
        <v>9.6199999999999992</v>
      </c>
      <c r="G64" s="3">
        <v>99.9</v>
      </c>
      <c r="H64" s="2">
        <v>17.2</v>
      </c>
      <c r="I64" s="2"/>
      <c r="J64" s="2"/>
      <c r="K64" s="2"/>
      <c r="L64" s="2"/>
      <c r="M64" s="2"/>
      <c r="N64" s="3"/>
    </row>
    <row r="65" spans="1:14" ht="15.75" customHeight="1" x14ac:dyDescent="0.2">
      <c r="A65" s="4"/>
      <c r="B65" s="26"/>
      <c r="C65" s="15">
        <v>45566</v>
      </c>
      <c r="D65" s="19">
        <v>0.57638888888888895</v>
      </c>
      <c r="E65" s="3">
        <v>7</v>
      </c>
      <c r="F65" s="2">
        <v>9.6</v>
      </c>
      <c r="G65" s="3">
        <v>99.8</v>
      </c>
      <c r="H65" s="2">
        <v>17.2</v>
      </c>
      <c r="I65" s="2"/>
      <c r="J65" s="2"/>
      <c r="K65" s="2"/>
      <c r="L65" s="2"/>
      <c r="M65" s="2"/>
      <c r="N65" s="3"/>
    </row>
    <row r="66" spans="1:14" ht="15.75" customHeight="1" x14ac:dyDescent="0.2">
      <c r="A66" s="4"/>
      <c r="B66" s="26"/>
      <c r="C66" s="15">
        <v>45566</v>
      </c>
      <c r="D66" s="19">
        <v>0.57638888888888895</v>
      </c>
      <c r="E66" s="3">
        <v>8</v>
      </c>
      <c r="F66" s="2">
        <v>9.59</v>
      </c>
      <c r="G66" s="3">
        <v>99.6</v>
      </c>
      <c r="H66" s="2">
        <v>17.2</v>
      </c>
      <c r="I66" s="2"/>
      <c r="J66" s="2"/>
      <c r="K66" s="2"/>
      <c r="L66" s="2"/>
      <c r="M66" s="2"/>
      <c r="N66" s="3"/>
    </row>
    <row r="67" spans="1:14" ht="15.75" customHeight="1" x14ac:dyDescent="0.2">
      <c r="A67" s="4"/>
      <c r="B67" s="26"/>
      <c r="C67" s="15">
        <v>45566</v>
      </c>
      <c r="D67" s="19">
        <v>0.57638888888888895</v>
      </c>
      <c r="E67" s="3">
        <v>9</v>
      </c>
      <c r="F67" s="2">
        <v>9.57</v>
      </c>
      <c r="G67" s="3">
        <v>99.4</v>
      </c>
      <c r="H67" s="2">
        <v>17.2</v>
      </c>
      <c r="I67" s="2"/>
      <c r="J67" s="2"/>
      <c r="K67" s="2"/>
      <c r="L67" s="2"/>
      <c r="M67" s="2"/>
      <c r="N67" s="3"/>
    </row>
    <row r="68" spans="1:14" ht="15.75" customHeight="1" x14ac:dyDescent="0.2">
      <c r="A68" s="4"/>
      <c r="B68" s="26"/>
      <c r="C68" s="15">
        <v>45566</v>
      </c>
      <c r="D68" s="19">
        <v>0.57638888888888895</v>
      </c>
      <c r="E68" s="3">
        <v>10</v>
      </c>
      <c r="F68" s="2">
        <v>9.5500000000000007</v>
      </c>
      <c r="G68" s="3">
        <v>99.2</v>
      </c>
      <c r="H68" s="2">
        <v>17.2</v>
      </c>
      <c r="I68" s="2"/>
      <c r="J68" s="2"/>
      <c r="K68" s="2"/>
      <c r="L68" s="2"/>
      <c r="M68" s="2"/>
      <c r="N68" s="3"/>
    </row>
    <row r="69" spans="1:14" ht="15.75" customHeight="1" x14ac:dyDescent="0.2">
      <c r="A69" s="4"/>
      <c r="B69" s="26"/>
      <c r="C69" s="15">
        <v>45566</v>
      </c>
      <c r="D69" s="19">
        <v>0.57638888888888895</v>
      </c>
      <c r="E69" s="3">
        <v>11</v>
      </c>
      <c r="F69" s="2">
        <v>9.5299999999999994</v>
      </c>
      <c r="G69" s="3">
        <v>98.9</v>
      </c>
      <c r="H69" s="2">
        <v>17.2</v>
      </c>
      <c r="I69" s="2"/>
      <c r="J69" s="2"/>
      <c r="K69" s="2"/>
      <c r="L69" s="2"/>
      <c r="M69" s="2"/>
      <c r="N69" s="3"/>
    </row>
    <row r="70" spans="1:14" ht="15.75" customHeight="1" x14ac:dyDescent="0.2">
      <c r="A70" s="4"/>
      <c r="B70" s="26"/>
      <c r="C70" s="15">
        <v>45566</v>
      </c>
      <c r="D70" s="19">
        <v>0.57638888888888895</v>
      </c>
      <c r="E70" s="3">
        <v>12</v>
      </c>
      <c r="F70" s="2">
        <v>9.51</v>
      </c>
      <c r="G70" s="3">
        <v>98.6</v>
      </c>
      <c r="H70" s="2">
        <v>17.100000000000001</v>
      </c>
      <c r="I70" s="2"/>
      <c r="J70" s="2"/>
      <c r="K70" s="2"/>
      <c r="L70" s="2"/>
      <c r="M70" s="2"/>
      <c r="N70" s="3"/>
    </row>
    <row r="71" spans="1:14" ht="15.75" customHeight="1" x14ac:dyDescent="0.2">
      <c r="A71" s="4"/>
      <c r="B71" s="26"/>
      <c r="C71" s="15">
        <v>45566</v>
      </c>
      <c r="D71" s="19">
        <v>0.57638888888888895</v>
      </c>
      <c r="E71" s="3">
        <v>13</v>
      </c>
      <c r="F71" s="2">
        <v>9.9600000000000009</v>
      </c>
      <c r="G71" s="3">
        <v>99.1</v>
      </c>
      <c r="H71" s="2">
        <v>15.2</v>
      </c>
      <c r="I71" s="2"/>
      <c r="J71" s="2"/>
      <c r="K71" s="2"/>
      <c r="L71" s="2"/>
      <c r="M71" s="2"/>
      <c r="N71" s="3"/>
    </row>
    <row r="72" spans="1:14" ht="15.75" customHeight="1" x14ac:dyDescent="0.2">
      <c r="A72" s="4"/>
      <c r="B72" s="26"/>
      <c r="C72" s="15">
        <v>45566</v>
      </c>
      <c r="D72" s="19">
        <v>0.57638888888888895</v>
      </c>
      <c r="E72" s="3">
        <v>14</v>
      </c>
      <c r="F72" s="2">
        <v>10.25</v>
      </c>
      <c r="G72" s="3">
        <v>99.6</v>
      </c>
      <c r="H72" s="2">
        <v>14</v>
      </c>
      <c r="I72" s="2"/>
      <c r="J72" s="2"/>
      <c r="K72" s="2"/>
      <c r="L72" s="2"/>
      <c r="M72" s="2"/>
      <c r="N72" s="3"/>
    </row>
    <row r="73" spans="1:14" ht="15.75" customHeight="1" x14ac:dyDescent="0.2">
      <c r="A73" s="4"/>
      <c r="B73" s="26"/>
      <c r="C73" s="15">
        <v>45566</v>
      </c>
      <c r="D73" s="19">
        <v>0.57638888888888895</v>
      </c>
      <c r="E73" s="3">
        <v>15</v>
      </c>
      <c r="F73" s="2">
        <v>10.34</v>
      </c>
      <c r="G73" s="3">
        <v>99.7</v>
      </c>
      <c r="H73" s="2">
        <v>13.7</v>
      </c>
      <c r="I73" s="2"/>
      <c r="J73" s="2"/>
      <c r="K73" s="2"/>
      <c r="L73" s="2"/>
      <c r="M73" s="2"/>
      <c r="N73" s="3"/>
    </row>
    <row r="74" spans="1:14" ht="15.75" customHeight="1" x14ac:dyDescent="0.2">
      <c r="A74" s="4"/>
      <c r="B74" s="26"/>
      <c r="C74" s="15">
        <v>45566</v>
      </c>
      <c r="D74" s="19">
        <v>0.57638888888888895</v>
      </c>
      <c r="E74" s="3">
        <v>16</v>
      </c>
      <c r="F74" s="2">
        <v>10.4</v>
      </c>
      <c r="G74" s="3">
        <v>100.1</v>
      </c>
      <c r="H74" s="2">
        <v>13.6</v>
      </c>
      <c r="I74" s="2"/>
      <c r="J74" s="2"/>
      <c r="K74" s="2"/>
      <c r="L74" s="2"/>
      <c r="M74" s="2"/>
      <c r="N74" s="3"/>
    </row>
    <row r="75" spans="1:14" ht="15.75" customHeight="1" x14ac:dyDescent="0.2">
      <c r="A75" s="4"/>
      <c r="B75" s="26"/>
      <c r="C75" s="3"/>
      <c r="D75" s="3"/>
      <c r="E75" s="3"/>
      <c r="F75" s="2"/>
      <c r="G75" s="3"/>
      <c r="H75" s="2"/>
      <c r="I75" s="2"/>
      <c r="J75" s="2"/>
      <c r="K75" s="2"/>
      <c r="L75" s="2"/>
      <c r="M75" s="2"/>
      <c r="N75" s="3"/>
    </row>
    <row r="76" spans="1:14" ht="15.75" customHeight="1" x14ac:dyDescent="0.2">
      <c r="A76" s="4"/>
      <c r="B76" s="26"/>
      <c r="C76" s="3"/>
      <c r="D76" s="3"/>
      <c r="E76" s="3"/>
      <c r="F76" s="2"/>
      <c r="G76" s="3"/>
      <c r="H76" s="2"/>
      <c r="I76" s="2"/>
      <c r="J76" s="2"/>
      <c r="K76" s="2"/>
      <c r="L76" s="2"/>
      <c r="M76" s="2"/>
      <c r="N76" s="3"/>
    </row>
    <row r="77" spans="1:14" ht="15.75" customHeight="1" x14ac:dyDescent="0.2">
      <c r="A77" s="4"/>
      <c r="B77" s="26"/>
      <c r="C77" s="15">
        <v>44369</v>
      </c>
      <c r="D77" s="19">
        <v>0.35416666666666669</v>
      </c>
      <c r="E77" s="3"/>
      <c r="F77" s="2"/>
      <c r="G77" s="3"/>
      <c r="H77" s="2"/>
      <c r="I77" s="2"/>
      <c r="J77" s="2">
        <v>8.5</v>
      </c>
      <c r="K77" s="2">
        <v>9</v>
      </c>
      <c r="L77" s="2"/>
      <c r="M77" s="2"/>
      <c r="N77" s="3"/>
    </row>
    <row r="78" spans="1:14" ht="15.75" customHeight="1" x14ac:dyDescent="0.2">
      <c r="A78" s="4"/>
      <c r="B78" s="26"/>
      <c r="C78" s="15">
        <v>44369</v>
      </c>
      <c r="D78" s="19">
        <v>0.36458333333333331</v>
      </c>
      <c r="E78" s="3">
        <v>0.1</v>
      </c>
      <c r="F78" s="2">
        <v>8.1199999999999992</v>
      </c>
      <c r="G78" s="3">
        <v>87.7</v>
      </c>
      <c r="H78" s="2">
        <v>19.100000000000001</v>
      </c>
      <c r="I78" s="2"/>
      <c r="J78" s="2"/>
      <c r="K78" s="2"/>
      <c r="L78" s="2"/>
      <c r="M78" s="2"/>
      <c r="N78" s="3"/>
    </row>
    <row r="79" spans="1:14" ht="15.75" customHeight="1" x14ac:dyDescent="0.2">
      <c r="A79" s="4"/>
      <c r="B79" s="26"/>
      <c r="C79" s="15">
        <v>44369</v>
      </c>
      <c r="D79" s="19">
        <v>0.36458333333333331</v>
      </c>
      <c r="E79" s="3">
        <v>1</v>
      </c>
      <c r="F79" s="2">
        <v>8.1300000000000008</v>
      </c>
      <c r="G79" s="3">
        <v>87.7</v>
      </c>
      <c r="H79" s="2">
        <v>19</v>
      </c>
      <c r="I79" s="2"/>
      <c r="J79" s="2"/>
      <c r="K79" s="2"/>
      <c r="L79" s="2"/>
      <c r="M79" s="2"/>
      <c r="N79" s="3"/>
    </row>
    <row r="80" spans="1:14" ht="15.75" customHeight="1" x14ac:dyDescent="0.2">
      <c r="A80" s="4"/>
      <c r="B80" s="26"/>
      <c r="C80" s="15">
        <v>44369</v>
      </c>
      <c r="D80" s="19">
        <v>0.36458333333333331</v>
      </c>
      <c r="E80" s="3">
        <v>2</v>
      </c>
      <c r="F80" s="2">
        <v>8.15</v>
      </c>
      <c r="G80" s="3">
        <v>87.6</v>
      </c>
      <c r="H80" s="2">
        <v>18.899999999999999</v>
      </c>
      <c r="I80" s="2"/>
      <c r="J80" s="2"/>
      <c r="K80" s="2"/>
      <c r="L80" s="2"/>
      <c r="M80" s="2"/>
      <c r="N80" s="3"/>
    </row>
    <row r="81" spans="1:14" ht="15.75" customHeight="1" x14ac:dyDescent="0.2">
      <c r="A81" s="4"/>
      <c r="B81" s="26"/>
      <c r="C81" s="15">
        <v>44369</v>
      </c>
      <c r="D81" s="19">
        <v>0.36458333333333331</v>
      </c>
      <c r="E81" s="3">
        <v>3</v>
      </c>
      <c r="F81" s="2">
        <v>8.15</v>
      </c>
      <c r="G81" s="3">
        <v>87.5</v>
      </c>
      <c r="H81" s="2">
        <v>18.8</v>
      </c>
      <c r="I81" s="2"/>
      <c r="J81" s="2"/>
      <c r="K81" s="2"/>
      <c r="L81" s="2"/>
      <c r="M81" s="2"/>
      <c r="N81" s="3"/>
    </row>
    <row r="82" spans="1:14" ht="15.75" customHeight="1" x14ac:dyDescent="0.2">
      <c r="A82" s="4"/>
      <c r="B82" s="26"/>
      <c r="C82" s="15">
        <v>44369</v>
      </c>
      <c r="D82" s="19">
        <v>0.36458333333333331</v>
      </c>
      <c r="E82" s="3">
        <v>4</v>
      </c>
      <c r="F82" s="2">
        <v>8.24</v>
      </c>
      <c r="G82" s="3">
        <v>87</v>
      </c>
      <c r="H82" s="2">
        <v>18</v>
      </c>
      <c r="I82" s="2"/>
      <c r="J82" s="2"/>
      <c r="K82" s="2"/>
      <c r="L82" s="2"/>
      <c r="M82" s="2"/>
      <c r="N82" s="3"/>
    </row>
    <row r="83" spans="1:14" ht="15.75" customHeight="1" x14ac:dyDescent="0.2">
      <c r="A83" s="4"/>
      <c r="B83" s="26"/>
      <c r="C83" s="15">
        <v>44369</v>
      </c>
      <c r="D83" s="19">
        <v>0.36458333333333331</v>
      </c>
      <c r="E83" s="3">
        <v>5</v>
      </c>
      <c r="F83" s="2">
        <v>8.52</v>
      </c>
      <c r="G83" s="3">
        <v>86</v>
      </c>
      <c r="H83" s="2">
        <v>15.8</v>
      </c>
      <c r="I83" s="2"/>
      <c r="J83" s="2"/>
      <c r="K83" s="2"/>
      <c r="L83" s="2"/>
      <c r="M83" s="2"/>
      <c r="N83" s="3"/>
    </row>
    <row r="84" spans="1:14" ht="15.75" customHeight="1" x14ac:dyDescent="0.2">
      <c r="A84" s="4"/>
      <c r="B84" s="26"/>
      <c r="C84" s="15">
        <v>44369</v>
      </c>
      <c r="D84" s="19">
        <v>0.36458333333333331</v>
      </c>
      <c r="E84" s="3">
        <v>7</v>
      </c>
      <c r="F84" s="2">
        <v>8.73</v>
      </c>
      <c r="G84" s="3">
        <v>85.4</v>
      </c>
      <c r="H84" s="2">
        <v>14.3</v>
      </c>
      <c r="I84" s="2"/>
      <c r="J84" s="2"/>
      <c r="K84" s="2"/>
      <c r="L84" s="2"/>
      <c r="M84" s="2"/>
      <c r="N84" s="3"/>
    </row>
    <row r="85" spans="1:14" ht="15.75" customHeight="1" x14ac:dyDescent="0.2">
      <c r="A85" s="4"/>
      <c r="B85" s="26"/>
      <c r="C85" s="15">
        <v>44369</v>
      </c>
      <c r="D85" s="19">
        <v>0.36458333333333331</v>
      </c>
      <c r="E85" s="3">
        <v>9</v>
      </c>
      <c r="F85" s="2">
        <v>8.81</v>
      </c>
      <c r="G85" s="3">
        <v>85.2</v>
      </c>
      <c r="H85" s="2">
        <v>13.8</v>
      </c>
      <c r="I85" s="2"/>
      <c r="J85" s="2"/>
      <c r="K85" s="2"/>
      <c r="L85" s="2"/>
      <c r="M85" s="2"/>
      <c r="N85" s="3"/>
    </row>
    <row r="86" spans="1:14" ht="15.75" customHeight="1" x14ac:dyDescent="0.2">
      <c r="A86" s="4"/>
      <c r="B86" s="26"/>
      <c r="C86" s="15">
        <v>44369</v>
      </c>
      <c r="D86" s="19">
        <v>0.36458333333333331</v>
      </c>
      <c r="E86" s="3">
        <v>11</v>
      </c>
      <c r="F86" s="2">
        <v>8.8800000000000008</v>
      </c>
      <c r="G86" s="3">
        <v>84.9</v>
      </c>
      <c r="H86" s="2">
        <v>13.4</v>
      </c>
      <c r="I86" s="2"/>
      <c r="J86" s="2"/>
      <c r="K86" s="2"/>
      <c r="L86" s="2"/>
      <c r="M86" s="2"/>
      <c r="N86" s="3"/>
    </row>
    <row r="87" spans="1:14" ht="15.75" customHeight="1" x14ac:dyDescent="0.2">
      <c r="A87" s="4"/>
      <c r="B87" s="26"/>
      <c r="C87" s="15">
        <v>44369</v>
      </c>
      <c r="D87" s="19">
        <v>0.36458333333333331</v>
      </c>
      <c r="E87" s="3">
        <v>13</v>
      </c>
      <c r="F87" s="2">
        <v>8.94</v>
      </c>
      <c r="G87" s="3">
        <v>84.3</v>
      </c>
      <c r="H87" s="2">
        <v>12.8</v>
      </c>
      <c r="I87" s="2"/>
      <c r="J87" s="2"/>
      <c r="K87" s="2"/>
      <c r="L87" s="2"/>
      <c r="M87" s="2"/>
      <c r="N87" s="3"/>
    </row>
    <row r="88" spans="1:14" ht="15.75" customHeight="1" x14ac:dyDescent="0.2">
      <c r="A88" s="4"/>
      <c r="B88" s="26"/>
      <c r="C88" s="15">
        <v>44369</v>
      </c>
      <c r="D88" s="19">
        <v>0.36458333333333331</v>
      </c>
      <c r="E88" s="3">
        <v>15</v>
      </c>
      <c r="F88" s="2">
        <v>8.94</v>
      </c>
      <c r="G88" s="3">
        <v>83.6</v>
      </c>
      <c r="H88" s="2">
        <v>12.4</v>
      </c>
      <c r="I88" s="2"/>
      <c r="J88" s="2"/>
      <c r="K88" s="2"/>
      <c r="L88" s="2"/>
      <c r="M88" s="2"/>
      <c r="N88" s="3"/>
    </row>
    <row r="89" spans="1:14" ht="15.75" customHeight="1" x14ac:dyDescent="0.2">
      <c r="A89" s="4"/>
      <c r="B89" s="26"/>
      <c r="C89" s="3"/>
      <c r="D89" s="3"/>
      <c r="E89" s="3"/>
      <c r="F89" s="2"/>
      <c r="G89" s="3"/>
      <c r="H89" s="2"/>
      <c r="I89" s="2"/>
      <c r="J89" s="2"/>
      <c r="K89" s="2"/>
      <c r="L89" s="2"/>
      <c r="M89" s="2"/>
      <c r="N89" s="3"/>
    </row>
    <row r="90" spans="1:14" ht="15.75" customHeight="1" x14ac:dyDescent="0.2">
      <c r="A90" s="4"/>
      <c r="B90" s="26"/>
      <c r="C90" s="15">
        <v>44403</v>
      </c>
      <c r="D90" s="19">
        <v>0.47916666666666669</v>
      </c>
      <c r="E90" s="3"/>
      <c r="F90" s="2"/>
      <c r="G90" s="3"/>
      <c r="H90" s="2"/>
      <c r="I90" s="2"/>
      <c r="J90" s="2">
        <v>11.5</v>
      </c>
      <c r="K90" s="2">
        <v>13</v>
      </c>
      <c r="L90" s="2"/>
      <c r="M90" s="2"/>
      <c r="N90" s="3"/>
    </row>
    <row r="91" spans="1:14" ht="15.75" customHeight="1" x14ac:dyDescent="0.2">
      <c r="A91" s="4"/>
      <c r="B91" s="26"/>
      <c r="C91" s="15">
        <v>44403</v>
      </c>
      <c r="D91" s="19">
        <v>0.4861111111111111</v>
      </c>
      <c r="E91" s="3">
        <v>0.1</v>
      </c>
      <c r="F91" s="2">
        <v>6.89</v>
      </c>
      <c r="G91" s="3">
        <v>82.1</v>
      </c>
      <c r="H91" s="2">
        <v>24.2</v>
      </c>
      <c r="I91" s="2"/>
      <c r="J91" s="2"/>
      <c r="K91" s="2"/>
      <c r="L91" s="2"/>
      <c r="M91" s="2"/>
      <c r="N91" s="3"/>
    </row>
    <row r="92" spans="1:14" ht="15.75" customHeight="1" x14ac:dyDescent="0.2">
      <c r="A92" s="4"/>
      <c r="B92" s="26"/>
      <c r="C92" s="15">
        <v>44403</v>
      </c>
      <c r="D92" s="19">
        <v>0.4861111111111111</v>
      </c>
      <c r="E92" s="3">
        <v>1</v>
      </c>
      <c r="F92" s="2">
        <v>6.91</v>
      </c>
      <c r="G92" s="3">
        <v>82.1</v>
      </c>
      <c r="H92" s="2">
        <v>24</v>
      </c>
      <c r="I92" s="2"/>
      <c r="J92" s="2"/>
      <c r="K92" s="2"/>
      <c r="L92" s="2"/>
      <c r="M92" s="2"/>
      <c r="N92" s="3"/>
    </row>
    <row r="93" spans="1:14" ht="15.75" customHeight="1" x14ac:dyDescent="0.2">
      <c r="A93" s="4"/>
      <c r="B93" s="26"/>
      <c r="C93" s="15">
        <v>44403</v>
      </c>
      <c r="D93" s="19">
        <v>0.4861111111111111</v>
      </c>
      <c r="E93" s="3">
        <v>2</v>
      </c>
      <c r="F93" s="2">
        <v>6.92</v>
      </c>
      <c r="G93" s="3">
        <v>81.599999999999994</v>
      </c>
      <c r="H93" s="2">
        <v>23.6</v>
      </c>
      <c r="I93" s="2"/>
      <c r="J93" s="2"/>
      <c r="K93" s="2"/>
      <c r="L93" s="2"/>
      <c r="M93" s="2"/>
      <c r="N93" s="3"/>
    </row>
    <row r="94" spans="1:14" ht="15.75" customHeight="1" x14ac:dyDescent="0.2">
      <c r="A94" s="4"/>
      <c r="B94" s="26"/>
      <c r="C94" s="15">
        <v>44403</v>
      </c>
      <c r="D94" s="19">
        <v>0.4861111111111111</v>
      </c>
      <c r="E94" s="3">
        <v>3</v>
      </c>
      <c r="F94" s="2">
        <v>6.93</v>
      </c>
      <c r="G94" s="3">
        <v>81.400000000000006</v>
      </c>
      <c r="H94" s="2">
        <v>23.4</v>
      </c>
      <c r="I94" s="2"/>
      <c r="J94" s="2"/>
      <c r="K94" s="2"/>
      <c r="L94" s="2"/>
      <c r="M94" s="2"/>
      <c r="N94" s="3"/>
    </row>
    <row r="95" spans="1:14" ht="15.75" customHeight="1" x14ac:dyDescent="0.2">
      <c r="A95" s="4"/>
      <c r="B95" s="26"/>
      <c r="C95" s="15">
        <v>44403</v>
      </c>
      <c r="D95" s="19">
        <v>0.4861111111111111</v>
      </c>
      <c r="E95" s="3">
        <v>4</v>
      </c>
      <c r="F95" s="2">
        <v>6.95</v>
      </c>
      <c r="G95" s="3">
        <v>81.5</v>
      </c>
      <c r="H95" s="2">
        <v>23.3</v>
      </c>
      <c r="I95" s="2"/>
      <c r="J95" s="2"/>
      <c r="K95" s="2"/>
      <c r="L95" s="2"/>
      <c r="M95" s="2"/>
      <c r="N95" s="3"/>
    </row>
    <row r="96" spans="1:14" ht="15.75" customHeight="1" x14ac:dyDescent="0.2">
      <c r="A96" s="4"/>
      <c r="B96" s="26"/>
      <c r="C96" s="15">
        <v>44403</v>
      </c>
      <c r="D96" s="19">
        <v>0.4861111111111111</v>
      </c>
      <c r="E96" s="3">
        <v>5</v>
      </c>
      <c r="F96" s="2">
        <v>6.98</v>
      </c>
      <c r="G96" s="3">
        <v>81.599999999999994</v>
      </c>
      <c r="H96" s="2">
        <v>23.1</v>
      </c>
      <c r="I96" s="2"/>
      <c r="J96" s="2"/>
      <c r="K96" s="2"/>
      <c r="L96" s="2"/>
      <c r="M96" s="2"/>
      <c r="N96" s="3"/>
    </row>
    <row r="97" spans="1:14" ht="15.75" customHeight="1" x14ac:dyDescent="0.2">
      <c r="A97" s="4"/>
      <c r="B97" s="26"/>
      <c r="C97" s="15">
        <v>44403</v>
      </c>
      <c r="D97" s="19">
        <v>0.4861111111111111</v>
      </c>
      <c r="E97" s="3">
        <v>6</v>
      </c>
      <c r="F97" s="2">
        <v>6.98</v>
      </c>
      <c r="G97" s="3">
        <v>81.5</v>
      </c>
      <c r="H97" s="2">
        <v>23.1</v>
      </c>
      <c r="I97" s="2"/>
      <c r="J97" s="2"/>
      <c r="K97" s="2"/>
      <c r="L97" s="2"/>
      <c r="M97" s="2"/>
      <c r="N97" s="3"/>
    </row>
    <row r="98" spans="1:14" ht="15.75" customHeight="1" x14ac:dyDescent="0.2">
      <c r="A98" s="4"/>
      <c r="B98" s="26"/>
      <c r="C98" s="15">
        <v>44403</v>
      </c>
      <c r="D98" s="19">
        <v>0.4861111111111111</v>
      </c>
      <c r="E98" s="3">
        <v>7</v>
      </c>
      <c r="F98" s="2">
        <v>7.14</v>
      </c>
      <c r="G98" s="3">
        <v>82.2</v>
      </c>
      <c r="H98" s="2">
        <v>22.4</v>
      </c>
      <c r="I98" s="2"/>
      <c r="J98" s="2"/>
      <c r="K98" s="2"/>
      <c r="L98" s="2"/>
      <c r="M98" s="2"/>
      <c r="N98" s="3"/>
    </row>
    <row r="99" spans="1:14" ht="15.75" customHeight="1" x14ac:dyDescent="0.2">
      <c r="A99" s="4"/>
      <c r="B99" s="26"/>
      <c r="C99" s="15">
        <v>44403</v>
      </c>
      <c r="D99" s="19">
        <v>0.4861111111111111</v>
      </c>
      <c r="E99" s="3">
        <v>8</v>
      </c>
      <c r="F99" s="2">
        <v>8.6</v>
      </c>
      <c r="G99" s="3">
        <v>92.2</v>
      </c>
      <c r="H99" s="2">
        <v>18.399999999999999</v>
      </c>
      <c r="I99" s="2"/>
      <c r="J99" s="2"/>
      <c r="K99" s="2"/>
      <c r="L99" s="2"/>
      <c r="M99" s="2"/>
      <c r="N99" s="3"/>
    </row>
    <row r="100" spans="1:14" ht="15.75" customHeight="1" x14ac:dyDescent="0.2">
      <c r="A100" s="4"/>
      <c r="B100" s="26"/>
      <c r="C100" s="15">
        <v>44403</v>
      </c>
      <c r="D100" s="19">
        <v>0.4861111111111111</v>
      </c>
      <c r="E100" s="3">
        <v>10</v>
      </c>
      <c r="F100" s="2">
        <v>8.9700000000000006</v>
      </c>
      <c r="G100" s="3">
        <v>90.5</v>
      </c>
      <c r="H100" s="2">
        <v>15.8</v>
      </c>
      <c r="I100" s="2"/>
      <c r="J100" s="2"/>
      <c r="K100" s="2"/>
      <c r="L100" s="2"/>
      <c r="M100" s="2"/>
      <c r="N100" s="3"/>
    </row>
    <row r="101" spans="1:14" ht="15.75" customHeight="1" x14ac:dyDescent="0.2">
      <c r="A101" s="4"/>
      <c r="B101" s="26"/>
      <c r="C101" s="15">
        <v>44403</v>
      </c>
      <c r="D101" s="19">
        <v>0.4861111111111111</v>
      </c>
      <c r="E101" s="3">
        <v>12</v>
      </c>
      <c r="F101" s="2">
        <v>9.1</v>
      </c>
      <c r="G101" s="3">
        <v>89.3</v>
      </c>
      <c r="H101" s="2">
        <v>14.5</v>
      </c>
      <c r="I101" s="2"/>
      <c r="J101" s="2"/>
      <c r="K101" s="2"/>
      <c r="L101" s="2"/>
      <c r="M101" s="2"/>
      <c r="N101" s="3"/>
    </row>
    <row r="102" spans="1:14" ht="15.75" customHeight="1" x14ac:dyDescent="0.2">
      <c r="A102" s="4"/>
      <c r="B102" s="26"/>
      <c r="C102" s="15">
        <v>44403</v>
      </c>
      <c r="D102" s="19">
        <v>0.4861111111111111</v>
      </c>
      <c r="E102" s="3">
        <v>14</v>
      </c>
      <c r="F102" s="2">
        <v>9.1999999999999993</v>
      </c>
      <c r="G102" s="3">
        <v>86.7</v>
      </c>
      <c r="H102" s="2">
        <v>12.7</v>
      </c>
      <c r="I102" s="2"/>
      <c r="J102" s="2"/>
      <c r="K102" s="2"/>
      <c r="L102" s="2"/>
      <c r="M102" s="2"/>
      <c r="N102" s="3"/>
    </row>
    <row r="103" spans="1:14" ht="15.75" customHeight="1" x14ac:dyDescent="0.2">
      <c r="A103" s="4"/>
      <c r="B103" s="26"/>
      <c r="C103" s="3"/>
      <c r="D103" s="3"/>
      <c r="E103" s="3"/>
      <c r="F103" s="2"/>
      <c r="G103" s="3"/>
      <c r="H103" s="2"/>
      <c r="I103" s="2"/>
      <c r="J103" s="2"/>
      <c r="K103" s="2"/>
      <c r="L103" s="2"/>
      <c r="M103" s="2"/>
      <c r="N103" s="3"/>
    </row>
    <row r="104" spans="1:14" ht="15.75" customHeight="1" x14ac:dyDescent="0.2">
      <c r="A104" s="4"/>
      <c r="B104" s="26"/>
      <c r="C104" s="15">
        <v>44438</v>
      </c>
      <c r="D104" s="19">
        <v>0.46875</v>
      </c>
      <c r="E104" s="3"/>
      <c r="F104" s="2"/>
      <c r="G104" s="3"/>
      <c r="H104" s="2"/>
      <c r="I104" s="2"/>
      <c r="J104" s="2">
        <v>10.5</v>
      </c>
      <c r="K104" s="2">
        <v>11</v>
      </c>
      <c r="L104" s="2"/>
      <c r="M104" s="2"/>
      <c r="N104" s="3"/>
    </row>
    <row r="105" spans="1:14" ht="15.75" customHeight="1" x14ac:dyDescent="0.2">
      <c r="A105" s="4"/>
      <c r="B105" s="26"/>
      <c r="C105" s="15">
        <v>44438</v>
      </c>
      <c r="D105" s="19">
        <v>0.4770833333333333</v>
      </c>
      <c r="E105" s="3">
        <v>0.1</v>
      </c>
      <c r="F105" s="2">
        <v>7.65</v>
      </c>
      <c r="G105" s="3">
        <v>85</v>
      </c>
      <c r="H105" s="2">
        <v>20.5</v>
      </c>
      <c r="I105" s="2"/>
      <c r="J105" s="2"/>
      <c r="K105" s="2"/>
      <c r="L105" s="2"/>
      <c r="M105" s="2"/>
      <c r="N105" s="3"/>
    </row>
    <row r="106" spans="1:14" ht="15.75" customHeight="1" x14ac:dyDescent="0.2">
      <c r="A106" s="4"/>
      <c r="B106" s="26"/>
      <c r="C106" s="15">
        <v>44438</v>
      </c>
      <c r="D106" s="19">
        <v>0.4770833333333333</v>
      </c>
      <c r="E106" s="3">
        <v>1</v>
      </c>
      <c r="F106" s="2">
        <v>7.69</v>
      </c>
      <c r="G106" s="3">
        <v>85</v>
      </c>
      <c r="H106" s="2">
        <v>20.3</v>
      </c>
      <c r="I106" s="2"/>
      <c r="J106" s="2"/>
      <c r="K106" s="2"/>
      <c r="L106" s="2"/>
      <c r="M106" s="2"/>
      <c r="N106" s="3"/>
    </row>
    <row r="107" spans="1:14" ht="15.75" customHeight="1" x14ac:dyDescent="0.2">
      <c r="A107" s="4"/>
      <c r="B107" s="26"/>
      <c r="C107" s="15">
        <v>44438</v>
      </c>
      <c r="D107" s="19">
        <v>0.4770833333333333</v>
      </c>
      <c r="E107" s="3">
        <v>2</v>
      </c>
      <c r="F107" s="2">
        <v>7.67</v>
      </c>
      <c r="G107" s="3">
        <v>84.7</v>
      </c>
      <c r="H107" s="2">
        <v>20.2</v>
      </c>
      <c r="I107" s="2"/>
      <c r="J107" s="2"/>
      <c r="K107" s="2"/>
      <c r="L107" s="2"/>
      <c r="M107" s="2"/>
      <c r="N107" s="3"/>
    </row>
    <row r="108" spans="1:14" ht="15.75" customHeight="1" x14ac:dyDescent="0.2">
      <c r="A108" s="4"/>
      <c r="B108" s="26"/>
      <c r="C108" s="15">
        <v>44438</v>
      </c>
      <c r="D108" s="19">
        <v>0.4770833333333333</v>
      </c>
      <c r="E108" s="3">
        <v>3</v>
      </c>
      <c r="F108" s="2">
        <v>7.67</v>
      </c>
      <c r="G108" s="3">
        <v>84.6</v>
      </c>
      <c r="H108" s="2">
        <v>20.100000000000001</v>
      </c>
      <c r="I108" s="2"/>
      <c r="J108" s="2"/>
      <c r="K108" s="2"/>
      <c r="L108" s="2"/>
      <c r="M108" s="2"/>
      <c r="N108" s="3"/>
    </row>
    <row r="109" spans="1:14" ht="15.75" customHeight="1" x14ac:dyDescent="0.2">
      <c r="A109" s="4"/>
      <c r="B109" s="26"/>
      <c r="C109" s="15">
        <v>44438</v>
      </c>
      <c r="D109" s="19">
        <v>0.4770833333333333</v>
      </c>
      <c r="E109" s="3">
        <v>4</v>
      </c>
      <c r="F109" s="2">
        <v>7.66</v>
      </c>
      <c r="G109" s="3">
        <v>84.4</v>
      </c>
      <c r="H109" s="2">
        <v>20.100000000000001</v>
      </c>
      <c r="I109" s="2"/>
      <c r="J109" s="2"/>
      <c r="K109" s="2"/>
      <c r="L109" s="2"/>
      <c r="M109" s="2"/>
      <c r="N109" s="3"/>
    </row>
    <row r="110" spans="1:14" ht="15.75" customHeight="1" x14ac:dyDescent="0.2">
      <c r="A110" s="4"/>
      <c r="B110" s="26"/>
      <c r="C110" s="15">
        <v>44438</v>
      </c>
      <c r="D110" s="19">
        <v>0.4770833333333333</v>
      </c>
      <c r="E110" s="3">
        <v>5</v>
      </c>
      <c r="F110" s="2">
        <v>7.65</v>
      </c>
      <c r="G110" s="3">
        <v>84.3</v>
      </c>
      <c r="H110" s="2">
        <v>20.100000000000001</v>
      </c>
      <c r="I110" s="2"/>
      <c r="J110" s="2"/>
      <c r="K110" s="2"/>
      <c r="L110" s="2"/>
      <c r="M110" s="2"/>
      <c r="N110" s="3"/>
    </row>
    <row r="111" spans="1:14" ht="15.75" customHeight="1" x14ac:dyDescent="0.2">
      <c r="A111" s="4"/>
      <c r="B111" s="26"/>
      <c r="C111" s="15">
        <v>44438</v>
      </c>
      <c r="D111" s="19">
        <v>0.4770833333333333</v>
      </c>
      <c r="E111" s="3">
        <v>6</v>
      </c>
      <c r="F111" s="2">
        <v>7.65</v>
      </c>
      <c r="G111" s="3">
        <v>84.1</v>
      </c>
      <c r="H111" s="2">
        <v>20</v>
      </c>
      <c r="I111" s="2"/>
      <c r="J111" s="2"/>
      <c r="K111" s="2"/>
      <c r="L111" s="2"/>
      <c r="M111" s="2"/>
      <c r="N111" s="3"/>
    </row>
    <row r="112" spans="1:14" ht="15.75" customHeight="1" x14ac:dyDescent="0.2">
      <c r="A112" s="4"/>
      <c r="B112" s="26"/>
      <c r="C112" s="15">
        <v>44438</v>
      </c>
      <c r="D112" s="19">
        <v>0.4770833333333333</v>
      </c>
      <c r="E112" s="3">
        <v>7</v>
      </c>
      <c r="F112" s="2">
        <v>7.63</v>
      </c>
      <c r="G112" s="3">
        <v>83.9</v>
      </c>
      <c r="H112" s="2">
        <v>20</v>
      </c>
      <c r="I112" s="2"/>
      <c r="J112" s="2"/>
      <c r="K112" s="2"/>
      <c r="L112" s="2"/>
      <c r="M112" s="2"/>
      <c r="N112" s="3"/>
    </row>
    <row r="113" spans="1:14" ht="15.75" customHeight="1" x14ac:dyDescent="0.2">
      <c r="A113" s="4"/>
      <c r="B113" s="26"/>
      <c r="C113" s="15">
        <v>44438</v>
      </c>
      <c r="D113" s="19">
        <v>0.4770833333333333</v>
      </c>
      <c r="E113" s="3">
        <v>8</v>
      </c>
      <c r="F113" s="2">
        <v>7.71</v>
      </c>
      <c r="G113" s="3">
        <v>84</v>
      </c>
      <c r="H113" s="2">
        <v>19.600000000000001</v>
      </c>
      <c r="I113" s="2"/>
      <c r="J113" s="2"/>
      <c r="K113" s="2"/>
      <c r="L113" s="2"/>
      <c r="M113" s="2"/>
      <c r="N113" s="3"/>
    </row>
    <row r="114" spans="1:14" ht="15.75" customHeight="1" x14ac:dyDescent="0.2">
      <c r="A114" s="4"/>
      <c r="B114" s="26"/>
      <c r="C114" s="15">
        <v>44438</v>
      </c>
      <c r="D114" s="19">
        <v>0.4770833333333333</v>
      </c>
      <c r="E114" s="3">
        <v>9</v>
      </c>
      <c r="F114" s="2">
        <v>7.82</v>
      </c>
      <c r="G114" s="3">
        <v>84.7</v>
      </c>
      <c r="H114" s="2">
        <v>19.2</v>
      </c>
      <c r="I114" s="2"/>
      <c r="J114" s="2"/>
      <c r="K114" s="2"/>
      <c r="L114" s="2"/>
      <c r="M114" s="2"/>
      <c r="N114" s="3"/>
    </row>
    <row r="115" spans="1:14" ht="15.75" customHeight="1" x14ac:dyDescent="0.2">
      <c r="A115" s="4"/>
      <c r="B115" s="26"/>
      <c r="C115" s="15">
        <v>44438</v>
      </c>
      <c r="D115" s="19">
        <v>0.4770833333333333</v>
      </c>
      <c r="E115" s="3">
        <v>10</v>
      </c>
      <c r="F115" s="2">
        <v>8.18</v>
      </c>
      <c r="G115" s="3">
        <v>87.3</v>
      </c>
      <c r="H115" s="2">
        <v>18.5</v>
      </c>
      <c r="I115" s="2"/>
      <c r="J115" s="2"/>
      <c r="K115" s="2"/>
      <c r="L115" s="2"/>
      <c r="M115" s="2"/>
      <c r="N115" s="3"/>
    </row>
    <row r="116" spans="1:14" ht="15.75" customHeight="1" x14ac:dyDescent="0.2">
      <c r="A116" s="4"/>
      <c r="B116" s="26"/>
      <c r="C116" s="15">
        <v>44438</v>
      </c>
      <c r="D116" s="19">
        <v>0.4770833333333333</v>
      </c>
      <c r="E116" s="3">
        <v>12</v>
      </c>
      <c r="F116" s="2">
        <v>9.31</v>
      </c>
      <c r="G116" s="3">
        <v>89.2</v>
      </c>
      <c r="H116" s="2">
        <v>13.4</v>
      </c>
      <c r="I116" s="2"/>
      <c r="J116" s="2"/>
      <c r="K116" s="2"/>
      <c r="L116" s="2"/>
      <c r="M116" s="2"/>
      <c r="N116" s="3"/>
    </row>
    <row r="117" spans="1:14" ht="15.75" customHeight="1" x14ac:dyDescent="0.2">
      <c r="A117" s="4"/>
      <c r="B117" s="26"/>
      <c r="C117" s="15">
        <v>44438</v>
      </c>
      <c r="D117" s="19">
        <v>0.4770833333333333</v>
      </c>
      <c r="E117" s="3">
        <v>14</v>
      </c>
      <c r="F117" s="2">
        <v>9.32</v>
      </c>
      <c r="G117" s="3">
        <v>86.4</v>
      </c>
      <c r="H117" s="2">
        <v>12</v>
      </c>
      <c r="I117" s="2"/>
      <c r="J117" s="2"/>
      <c r="K117" s="2"/>
      <c r="L117" s="2"/>
      <c r="M117" s="2"/>
      <c r="N117" s="3"/>
    </row>
    <row r="118" spans="1:14" ht="15.75" customHeight="1" x14ac:dyDescent="0.2">
      <c r="A118" s="4"/>
      <c r="B118" s="26"/>
      <c r="C118" s="3"/>
      <c r="D118" s="3"/>
      <c r="E118" s="3"/>
      <c r="F118" s="2"/>
      <c r="G118" s="3"/>
      <c r="H118" s="2"/>
      <c r="I118" s="2"/>
      <c r="J118" s="2"/>
      <c r="K118" s="2"/>
      <c r="L118" s="2"/>
      <c r="M118" s="2"/>
      <c r="N118" s="3"/>
    </row>
    <row r="119" spans="1:14" ht="15.75" customHeight="1" x14ac:dyDescent="0.2">
      <c r="A119" s="4"/>
      <c r="B119" s="26"/>
      <c r="C119" s="15">
        <v>44459</v>
      </c>
      <c r="D119" s="19">
        <v>0.46875</v>
      </c>
      <c r="E119" s="3"/>
      <c r="F119" s="2"/>
      <c r="G119" s="3"/>
      <c r="H119" s="2"/>
      <c r="I119" s="2"/>
      <c r="J119" s="2">
        <v>9.5</v>
      </c>
      <c r="K119" s="2">
        <v>11</v>
      </c>
      <c r="L119" s="2"/>
      <c r="M119" s="2"/>
      <c r="N119" s="3"/>
    </row>
    <row r="120" spans="1:14" ht="15.75" customHeight="1" x14ac:dyDescent="0.2">
      <c r="A120" s="4"/>
      <c r="B120" s="26"/>
      <c r="C120" s="15">
        <v>44459</v>
      </c>
      <c r="D120" s="19">
        <v>0.47916666666666669</v>
      </c>
      <c r="E120" s="3">
        <v>0.1</v>
      </c>
      <c r="F120" s="2">
        <v>8</v>
      </c>
      <c r="G120" s="3">
        <v>83</v>
      </c>
      <c r="H120" s="2">
        <v>17.2</v>
      </c>
      <c r="I120" s="2"/>
      <c r="J120" s="2"/>
      <c r="K120" s="2"/>
      <c r="L120" s="2"/>
      <c r="M120" s="2"/>
      <c r="N120" s="3"/>
    </row>
    <row r="121" spans="1:14" ht="15.75" customHeight="1" x14ac:dyDescent="0.2">
      <c r="A121" s="4"/>
      <c r="B121" s="26"/>
      <c r="C121" s="15">
        <v>44459</v>
      </c>
      <c r="D121" s="19">
        <v>0.47916666666666669</v>
      </c>
      <c r="E121" s="3">
        <v>1</v>
      </c>
      <c r="F121" s="2">
        <v>7.93</v>
      </c>
      <c r="G121" s="3">
        <v>82.3</v>
      </c>
      <c r="H121" s="2">
        <v>17.2</v>
      </c>
      <c r="I121" s="2"/>
      <c r="J121" s="2"/>
      <c r="K121" s="2"/>
      <c r="L121" s="2"/>
      <c r="M121" s="2"/>
      <c r="N121" s="3"/>
    </row>
    <row r="122" spans="1:14" ht="15.75" customHeight="1" x14ac:dyDescent="0.2">
      <c r="A122" s="4"/>
      <c r="B122" s="26"/>
      <c r="C122" s="15">
        <v>44459</v>
      </c>
      <c r="D122" s="19">
        <v>0.47916666666666669</v>
      </c>
      <c r="E122" s="3">
        <v>2</v>
      </c>
      <c r="F122" s="2">
        <v>7.86</v>
      </c>
      <c r="G122" s="3">
        <v>81.8</v>
      </c>
      <c r="H122" s="2">
        <v>17.3</v>
      </c>
      <c r="I122" s="2"/>
      <c r="J122" s="2"/>
      <c r="K122" s="2"/>
      <c r="L122" s="2"/>
      <c r="M122" s="2"/>
      <c r="N122" s="3"/>
    </row>
    <row r="123" spans="1:14" ht="15.75" customHeight="1" x14ac:dyDescent="0.2">
      <c r="A123" s="4"/>
      <c r="B123" s="26"/>
      <c r="C123" s="15">
        <v>44459</v>
      </c>
      <c r="D123" s="19">
        <v>0.47916666666666669</v>
      </c>
      <c r="E123" s="3">
        <v>3</v>
      </c>
      <c r="F123" s="2">
        <v>7.83</v>
      </c>
      <c r="G123" s="3">
        <v>81.5</v>
      </c>
      <c r="H123" s="2">
        <v>17.3</v>
      </c>
      <c r="I123" s="2"/>
      <c r="J123" s="2"/>
      <c r="K123" s="2"/>
      <c r="L123" s="2"/>
      <c r="M123" s="2"/>
      <c r="N123" s="3"/>
    </row>
    <row r="124" spans="1:14" ht="15.75" customHeight="1" x14ac:dyDescent="0.2">
      <c r="A124" s="4"/>
      <c r="B124" s="26"/>
      <c r="C124" s="15">
        <v>44459</v>
      </c>
      <c r="D124" s="19">
        <v>0.47916666666666669</v>
      </c>
      <c r="E124" s="3">
        <v>4</v>
      </c>
      <c r="F124" s="2">
        <v>7.8</v>
      </c>
      <c r="G124" s="3">
        <v>81.2</v>
      </c>
      <c r="H124" s="2">
        <v>17.3</v>
      </c>
      <c r="I124" s="2"/>
      <c r="J124" s="2"/>
      <c r="K124" s="2"/>
      <c r="L124" s="2"/>
      <c r="M124" s="2"/>
      <c r="N124" s="3"/>
    </row>
    <row r="125" spans="1:14" ht="15.75" customHeight="1" x14ac:dyDescent="0.2">
      <c r="A125" s="4"/>
      <c r="B125" s="26"/>
      <c r="C125" s="15">
        <v>44459</v>
      </c>
      <c r="D125" s="19">
        <v>0.47916666666666669</v>
      </c>
      <c r="E125" s="3">
        <v>5</v>
      </c>
      <c r="F125" s="2">
        <v>7.78</v>
      </c>
      <c r="G125" s="3">
        <v>81</v>
      </c>
      <c r="H125" s="2">
        <v>17.3</v>
      </c>
      <c r="I125" s="2"/>
      <c r="J125" s="2"/>
      <c r="K125" s="2"/>
      <c r="L125" s="2"/>
      <c r="M125" s="2"/>
      <c r="N125" s="3"/>
    </row>
    <row r="126" spans="1:14" ht="15.75" customHeight="1" x14ac:dyDescent="0.2">
      <c r="A126" s="4"/>
      <c r="B126" s="26"/>
      <c r="C126" s="15">
        <v>44459</v>
      </c>
      <c r="D126" s="19">
        <v>0.47916666666666669</v>
      </c>
      <c r="E126" s="3">
        <v>6</v>
      </c>
      <c r="F126" s="2">
        <v>7.76</v>
      </c>
      <c r="G126" s="3">
        <v>80.7</v>
      </c>
      <c r="H126" s="2">
        <v>17.3</v>
      </c>
      <c r="I126" s="2"/>
      <c r="J126" s="2"/>
      <c r="K126" s="2"/>
      <c r="L126" s="2"/>
      <c r="M126" s="2"/>
      <c r="N126" s="3"/>
    </row>
    <row r="127" spans="1:14" ht="15.75" customHeight="1" x14ac:dyDescent="0.2">
      <c r="A127" s="4"/>
      <c r="B127" s="26"/>
      <c r="C127" s="15">
        <v>44459</v>
      </c>
      <c r="D127" s="19">
        <v>0.47916666666666669</v>
      </c>
      <c r="E127" s="3">
        <v>7</v>
      </c>
      <c r="F127" s="2">
        <v>7.74</v>
      </c>
      <c r="G127" s="3">
        <v>80.5</v>
      </c>
      <c r="H127" s="2">
        <v>17.3</v>
      </c>
      <c r="I127" s="2"/>
      <c r="J127" s="2"/>
      <c r="K127" s="2"/>
      <c r="L127" s="2"/>
      <c r="M127" s="2"/>
      <c r="N127" s="3"/>
    </row>
    <row r="128" spans="1:14" ht="15.75" customHeight="1" x14ac:dyDescent="0.2">
      <c r="A128" s="4"/>
      <c r="B128" s="26"/>
      <c r="C128" s="15">
        <v>44459</v>
      </c>
      <c r="D128" s="19">
        <v>0.47916666666666669</v>
      </c>
      <c r="E128" s="3">
        <v>8</v>
      </c>
      <c r="F128" s="2">
        <v>7.72</v>
      </c>
      <c r="G128" s="3">
        <v>80.400000000000006</v>
      </c>
      <c r="H128" s="2">
        <v>17.3</v>
      </c>
      <c r="I128" s="2"/>
      <c r="J128" s="2"/>
      <c r="K128" s="2"/>
      <c r="L128" s="2"/>
      <c r="M128" s="2"/>
      <c r="N128" s="3"/>
    </row>
    <row r="129" spans="1:14" ht="15.75" customHeight="1" x14ac:dyDescent="0.2">
      <c r="A129" s="4"/>
      <c r="B129" s="26"/>
      <c r="C129" s="15">
        <v>44459</v>
      </c>
      <c r="D129" s="19">
        <v>0.47916666666666669</v>
      </c>
      <c r="E129" s="3">
        <v>9</v>
      </c>
      <c r="F129" s="2">
        <v>7.71</v>
      </c>
      <c r="G129" s="3">
        <v>80.2</v>
      </c>
      <c r="H129" s="2">
        <v>17.3</v>
      </c>
      <c r="I129" s="2"/>
      <c r="J129" s="2"/>
      <c r="K129" s="2"/>
      <c r="L129" s="2"/>
      <c r="M129" s="2"/>
      <c r="N129" s="3"/>
    </row>
    <row r="130" spans="1:14" ht="15.75" customHeight="1" x14ac:dyDescent="0.2">
      <c r="A130" s="4"/>
      <c r="B130" s="26"/>
      <c r="C130" s="15">
        <v>44459</v>
      </c>
      <c r="D130" s="19">
        <v>0.47916666666666669</v>
      </c>
      <c r="E130" s="3">
        <v>10</v>
      </c>
      <c r="F130" s="2">
        <v>7.7</v>
      </c>
      <c r="G130" s="3">
        <v>80.099999999999994</v>
      </c>
      <c r="H130" s="2">
        <v>17.3</v>
      </c>
      <c r="I130" s="2"/>
      <c r="J130" s="2"/>
      <c r="K130" s="2"/>
      <c r="L130" s="2"/>
      <c r="M130" s="2"/>
      <c r="N130" s="3"/>
    </row>
    <row r="131" spans="1:14" ht="15.75" customHeight="1" x14ac:dyDescent="0.2">
      <c r="B131" s="3"/>
      <c r="C131" s="15">
        <v>44459</v>
      </c>
      <c r="D131" s="19">
        <v>0.47916666666666669</v>
      </c>
      <c r="E131" s="3">
        <v>11</v>
      </c>
      <c r="F131" s="2">
        <v>7.68</v>
      </c>
      <c r="G131" s="3">
        <v>80</v>
      </c>
      <c r="H131" s="2">
        <v>17.3</v>
      </c>
      <c r="I131" s="2"/>
      <c r="J131" s="2"/>
      <c r="K131" s="2"/>
      <c r="L131" s="2"/>
      <c r="M131" s="2"/>
      <c r="N131" s="3"/>
    </row>
    <row r="132" spans="1:14" ht="15.75" customHeight="1" x14ac:dyDescent="0.2">
      <c r="B132" s="3"/>
      <c r="C132" s="3"/>
      <c r="D132" s="3"/>
      <c r="E132" s="3"/>
      <c r="F132" s="2"/>
      <c r="G132" s="3"/>
      <c r="H132" s="2"/>
      <c r="I132" s="2"/>
      <c r="J132" s="2"/>
      <c r="K132" s="2"/>
      <c r="L132" s="2"/>
      <c r="M132" s="2"/>
      <c r="N132" s="3"/>
    </row>
    <row r="133" spans="1:14" ht="15.75" customHeight="1" x14ac:dyDescent="0.2">
      <c r="B133" s="3"/>
      <c r="C133" s="16"/>
      <c r="D133" s="29"/>
      <c r="F133" s="24"/>
      <c r="G133" s="3"/>
      <c r="H133" s="7"/>
    </row>
    <row r="134" spans="1:14" ht="15.75" customHeight="1" x14ac:dyDescent="0.2">
      <c r="B134" s="3"/>
      <c r="C134" s="16">
        <v>43620</v>
      </c>
      <c r="D134" s="30">
        <v>0.41666666666666669</v>
      </c>
      <c r="F134" s="24"/>
      <c r="G134" s="3"/>
      <c r="H134" s="7"/>
    </row>
    <row r="135" spans="1:14" ht="15.75" customHeight="1" x14ac:dyDescent="0.2">
      <c r="B135" s="3"/>
      <c r="C135" s="16">
        <v>43620</v>
      </c>
      <c r="D135" s="12">
        <v>0.4236111111111111</v>
      </c>
      <c r="E135" s="1">
        <v>0.1</v>
      </c>
      <c r="F135" s="24">
        <v>8.23</v>
      </c>
      <c r="G135" s="3">
        <v>81.5</v>
      </c>
      <c r="H135" s="7">
        <v>14.9</v>
      </c>
    </row>
    <row r="136" spans="1:14" ht="15.75" customHeight="1" x14ac:dyDescent="0.2">
      <c r="B136" s="3"/>
      <c r="C136" s="16">
        <v>43620</v>
      </c>
      <c r="D136" s="12">
        <v>0.4236111111111111</v>
      </c>
      <c r="E136" s="1">
        <v>1</v>
      </c>
      <c r="F136" s="24">
        <v>8.2799999999999994</v>
      </c>
      <c r="G136" s="3"/>
      <c r="H136" s="7">
        <v>14.8</v>
      </c>
    </row>
    <row r="137" spans="1:14" ht="15.75" customHeight="1" x14ac:dyDescent="0.2">
      <c r="B137" s="3"/>
      <c r="C137" s="16">
        <v>43620</v>
      </c>
      <c r="D137" s="12">
        <v>0.4236111111111111</v>
      </c>
      <c r="E137" s="1">
        <v>2</v>
      </c>
      <c r="F137" s="24">
        <v>8.2799999999999994</v>
      </c>
      <c r="G137" s="3"/>
      <c r="H137" s="7">
        <v>14.7</v>
      </c>
    </row>
    <row r="138" spans="1:14" ht="15.75" customHeight="1" x14ac:dyDescent="0.2">
      <c r="B138" s="3"/>
      <c r="C138" s="16">
        <v>43620</v>
      </c>
      <c r="D138" s="12">
        <v>0.4236111111111111</v>
      </c>
      <c r="E138" s="1">
        <v>3</v>
      </c>
      <c r="F138" s="24">
        <v>8.36</v>
      </c>
      <c r="G138" s="3"/>
      <c r="H138" s="7">
        <v>14.3</v>
      </c>
    </row>
    <row r="139" spans="1:14" ht="15.75" customHeight="1" x14ac:dyDescent="0.2">
      <c r="B139" s="3"/>
      <c r="C139" s="16">
        <v>43620</v>
      </c>
      <c r="D139" s="12">
        <v>0.4236111111111111</v>
      </c>
      <c r="E139" s="1">
        <v>4</v>
      </c>
      <c r="F139" s="24">
        <v>8.39</v>
      </c>
      <c r="G139" s="3"/>
      <c r="H139" s="7">
        <v>14</v>
      </c>
    </row>
    <row r="140" spans="1:14" ht="15.75" customHeight="1" x14ac:dyDescent="0.2">
      <c r="B140" s="3"/>
      <c r="C140" s="16">
        <v>43620</v>
      </c>
      <c r="D140" s="12">
        <v>0.4236111111111111</v>
      </c>
      <c r="E140" s="1">
        <v>5</v>
      </c>
      <c r="F140" s="24">
        <v>8.41</v>
      </c>
      <c r="G140" s="3"/>
      <c r="H140" s="7">
        <v>13.9</v>
      </c>
    </row>
    <row r="141" spans="1:14" ht="15.75" customHeight="1" x14ac:dyDescent="0.2">
      <c r="B141" s="3"/>
      <c r="C141" s="16">
        <v>43620</v>
      </c>
      <c r="D141" s="12">
        <v>0.4236111111111111</v>
      </c>
      <c r="E141" s="1">
        <v>6</v>
      </c>
      <c r="F141" s="24">
        <v>8.43</v>
      </c>
      <c r="G141" s="3"/>
      <c r="H141" s="7">
        <v>13.8</v>
      </c>
    </row>
    <row r="142" spans="1:14" ht="15.75" customHeight="1" x14ac:dyDescent="0.2">
      <c r="B142" s="3"/>
      <c r="C142" s="16">
        <v>43620</v>
      </c>
      <c r="D142" s="12">
        <v>0.4236111111111111</v>
      </c>
      <c r="E142" s="1">
        <v>7</v>
      </c>
      <c r="F142" s="24">
        <v>8.43</v>
      </c>
      <c r="G142" s="3"/>
      <c r="H142" s="7">
        <v>13.6</v>
      </c>
    </row>
    <row r="143" spans="1:14" ht="15.75" customHeight="1" x14ac:dyDescent="0.2">
      <c r="B143" s="3"/>
      <c r="C143" s="16">
        <v>43620</v>
      </c>
      <c r="D143" s="12">
        <v>0.4236111111111111</v>
      </c>
      <c r="E143" s="1">
        <v>8</v>
      </c>
      <c r="F143" s="24">
        <v>8.4600000000000009</v>
      </c>
      <c r="G143" s="3"/>
      <c r="H143" s="7">
        <v>13.4</v>
      </c>
    </row>
    <row r="144" spans="1:14" ht="15.75" customHeight="1" x14ac:dyDescent="0.2">
      <c r="B144" s="3"/>
      <c r="C144" s="16">
        <v>43620</v>
      </c>
      <c r="D144" s="12">
        <v>0.4236111111111111</v>
      </c>
      <c r="E144" s="1">
        <v>9</v>
      </c>
      <c r="F144" s="24">
        <v>8.48</v>
      </c>
      <c r="G144" s="3"/>
      <c r="H144" s="7">
        <v>13.2</v>
      </c>
    </row>
    <row r="145" spans="2:11" ht="15.75" customHeight="1" x14ac:dyDescent="0.2">
      <c r="B145" s="3"/>
      <c r="C145" s="16">
        <v>43620</v>
      </c>
      <c r="D145" s="12">
        <v>0.4236111111111111</v>
      </c>
      <c r="E145" s="1">
        <v>10</v>
      </c>
      <c r="F145" s="24">
        <v>8.5</v>
      </c>
      <c r="G145" s="3"/>
      <c r="H145" s="7">
        <v>13.1</v>
      </c>
    </row>
    <row r="146" spans="2:11" ht="15.75" customHeight="1" x14ac:dyDescent="0.2">
      <c r="B146" s="3"/>
      <c r="C146" s="16">
        <v>43620</v>
      </c>
      <c r="D146" s="12">
        <v>0.4236111111111111</v>
      </c>
      <c r="E146" s="1">
        <v>11</v>
      </c>
      <c r="F146" s="24">
        <v>8.5</v>
      </c>
      <c r="G146" s="3"/>
      <c r="H146" s="7">
        <v>13</v>
      </c>
    </row>
    <row r="147" spans="2:11" ht="15.75" customHeight="1" x14ac:dyDescent="0.2">
      <c r="B147" s="3"/>
      <c r="C147" s="16">
        <v>43620</v>
      </c>
      <c r="D147" s="12">
        <v>0.4236111111111111</v>
      </c>
      <c r="E147" s="1">
        <v>12</v>
      </c>
      <c r="F147" s="24">
        <v>8.5</v>
      </c>
      <c r="G147" s="3"/>
      <c r="H147" s="7">
        <v>12.9</v>
      </c>
    </row>
    <row r="148" spans="2:11" ht="15.75" customHeight="1" x14ac:dyDescent="0.2">
      <c r="B148" s="3"/>
      <c r="C148" s="16">
        <v>43620</v>
      </c>
      <c r="D148" s="12">
        <v>0.4236111111111111</v>
      </c>
      <c r="E148" s="1">
        <v>13</v>
      </c>
      <c r="F148" s="24">
        <v>8.52</v>
      </c>
      <c r="G148" s="3"/>
      <c r="H148" s="7">
        <v>12.8</v>
      </c>
    </row>
    <row r="149" spans="2:11" ht="15.75" customHeight="1" x14ac:dyDescent="0.2">
      <c r="B149" s="3"/>
      <c r="C149" s="16">
        <v>43620</v>
      </c>
      <c r="D149" s="12">
        <v>0.4236111111111111</v>
      </c>
      <c r="E149" s="1">
        <v>14</v>
      </c>
      <c r="F149" s="24">
        <v>8.51</v>
      </c>
      <c r="G149" s="3"/>
      <c r="H149" s="7">
        <v>12.7</v>
      </c>
    </row>
    <row r="150" spans="2:11" ht="15.75" customHeight="1" x14ac:dyDescent="0.2">
      <c r="B150" s="3"/>
      <c r="C150" s="16">
        <v>43620</v>
      </c>
      <c r="D150" s="12">
        <v>0.4236111111111111</v>
      </c>
      <c r="E150" s="1">
        <v>15</v>
      </c>
      <c r="F150" s="24">
        <v>8.52</v>
      </c>
      <c r="G150" s="3">
        <v>80.099999999999994</v>
      </c>
      <c r="H150" s="7">
        <v>12.6</v>
      </c>
    </row>
    <row r="151" spans="2:11" ht="15.75" customHeight="1" x14ac:dyDescent="0.2">
      <c r="B151" s="3"/>
      <c r="C151" s="16"/>
      <c r="D151" s="12"/>
      <c r="F151" s="24"/>
      <c r="G151" s="3"/>
      <c r="H151" s="7"/>
    </row>
    <row r="152" spans="2:11" ht="15.75" customHeight="1" x14ac:dyDescent="0.2">
      <c r="B152" s="3"/>
      <c r="C152" s="16">
        <v>43671</v>
      </c>
      <c r="D152" s="12">
        <v>0.37152777777777773</v>
      </c>
      <c r="F152" s="24"/>
      <c r="G152" s="3"/>
      <c r="H152" s="7"/>
      <c r="J152" s="1">
        <v>10</v>
      </c>
      <c r="K152" s="1">
        <v>11</v>
      </c>
    </row>
    <row r="153" spans="2:11" ht="15.75" customHeight="1" x14ac:dyDescent="0.2">
      <c r="B153" s="3"/>
      <c r="C153" s="16">
        <v>43671</v>
      </c>
      <c r="D153" s="12">
        <v>0.38055555555555554</v>
      </c>
      <c r="E153" s="1">
        <v>0.1</v>
      </c>
      <c r="F153" s="24">
        <v>7.68</v>
      </c>
      <c r="G153" s="3">
        <v>83.6</v>
      </c>
      <c r="H153" s="7">
        <v>19.5</v>
      </c>
    </row>
    <row r="154" spans="2:11" ht="15.75" customHeight="1" x14ac:dyDescent="0.2">
      <c r="B154" s="3"/>
      <c r="C154" s="16">
        <v>43671</v>
      </c>
      <c r="D154" s="12">
        <v>0.38055555555555554</v>
      </c>
      <c r="E154" s="1">
        <v>1</v>
      </c>
      <c r="F154" s="24">
        <v>7.68</v>
      </c>
      <c r="G154" s="3"/>
      <c r="H154" s="7">
        <v>19.399999999999999</v>
      </c>
    </row>
    <row r="155" spans="2:11" ht="15.75" customHeight="1" x14ac:dyDescent="0.2">
      <c r="B155" s="3"/>
      <c r="C155" s="16">
        <v>43671</v>
      </c>
      <c r="D155" s="12">
        <v>0.38055555555555554</v>
      </c>
      <c r="E155" s="1">
        <v>2</v>
      </c>
      <c r="F155" s="24">
        <v>7.67</v>
      </c>
      <c r="G155" s="3"/>
      <c r="H155" s="7">
        <v>19.399999999999999</v>
      </c>
    </row>
    <row r="156" spans="2:11" ht="15.75" customHeight="1" x14ac:dyDescent="0.2">
      <c r="B156" s="3"/>
      <c r="C156" s="16">
        <v>43671</v>
      </c>
      <c r="D156" s="12">
        <v>0.38055555555555554</v>
      </c>
      <c r="E156" s="1">
        <v>3</v>
      </c>
      <c r="F156" s="24">
        <v>7.67</v>
      </c>
      <c r="G156" s="3"/>
      <c r="H156" s="7">
        <v>19.3</v>
      </c>
    </row>
    <row r="157" spans="2:11" ht="15.75" customHeight="1" x14ac:dyDescent="0.2">
      <c r="B157" s="3"/>
      <c r="C157" s="16">
        <v>43671</v>
      </c>
      <c r="D157" s="12">
        <v>0.38055555555555554</v>
      </c>
      <c r="E157" s="1">
        <v>4</v>
      </c>
      <c r="F157" s="24">
        <v>7.65</v>
      </c>
      <c r="G157" s="3"/>
      <c r="H157" s="7">
        <v>19.3</v>
      </c>
    </row>
    <row r="158" spans="2:11" ht="15.75" customHeight="1" x14ac:dyDescent="0.2">
      <c r="B158" s="3"/>
      <c r="C158" s="16">
        <v>43671</v>
      </c>
      <c r="D158" s="12">
        <v>0.38055555555555554</v>
      </c>
      <c r="E158" s="1">
        <v>5</v>
      </c>
      <c r="F158" s="24">
        <v>7.64</v>
      </c>
      <c r="G158" s="3"/>
      <c r="H158" s="7">
        <v>19.3</v>
      </c>
    </row>
    <row r="159" spans="2:11" ht="15.75" customHeight="1" x14ac:dyDescent="0.2">
      <c r="B159" s="3"/>
      <c r="C159" s="16">
        <v>43671</v>
      </c>
      <c r="D159" s="12">
        <v>0.38055555555555554</v>
      </c>
      <c r="E159" s="1">
        <v>6</v>
      </c>
      <c r="F159" s="24">
        <v>7.63</v>
      </c>
      <c r="G159" s="3"/>
      <c r="H159" s="7">
        <v>19.3</v>
      </c>
    </row>
    <row r="160" spans="2:11" ht="15.75" customHeight="1" x14ac:dyDescent="0.2">
      <c r="B160" s="3"/>
      <c r="C160" s="16">
        <v>43671</v>
      </c>
      <c r="D160" s="12">
        <v>0.38055555555555554</v>
      </c>
      <c r="E160" s="1">
        <v>7</v>
      </c>
      <c r="F160" s="24">
        <v>7.63</v>
      </c>
      <c r="G160" s="3"/>
      <c r="H160" s="7">
        <v>19.2</v>
      </c>
    </row>
    <row r="161" spans="2:11" ht="15.75" customHeight="1" x14ac:dyDescent="0.2">
      <c r="B161" s="3"/>
      <c r="C161" s="16">
        <v>43671</v>
      </c>
      <c r="D161" s="12">
        <v>0.38055555555555554</v>
      </c>
      <c r="E161" s="1">
        <v>8</v>
      </c>
      <c r="F161" s="24">
        <v>7.73</v>
      </c>
      <c r="G161" s="3">
        <v>83.3</v>
      </c>
      <c r="H161" s="7">
        <v>19</v>
      </c>
    </row>
    <row r="162" spans="2:11" ht="15.75" customHeight="1" x14ac:dyDescent="0.2">
      <c r="B162" s="3"/>
      <c r="C162" s="16">
        <v>43671</v>
      </c>
      <c r="D162" s="12">
        <v>0.38055555555555554</v>
      </c>
      <c r="E162" s="1">
        <v>9</v>
      </c>
      <c r="F162" s="24">
        <v>7.81</v>
      </c>
      <c r="G162" s="3">
        <v>83.2</v>
      </c>
      <c r="H162" s="7">
        <v>18.5</v>
      </c>
    </row>
    <row r="163" spans="2:11" ht="15.75" customHeight="1" x14ac:dyDescent="0.2">
      <c r="B163" s="3"/>
      <c r="C163" s="16">
        <v>43671</v>
      </c>
      <c r="D163" s="12">
        <v>0.38055555555555554</v>
      </c>
      <c r="E163" s="1">
        <v>10</v>
      </c>
      <c r="F163" s="24">
        <v>8.3699999999999992</v>
      </c>
      <c r="G163" s="3">
        <v>86.1</v>
      </c>
      <c r="H163" s="7">
        <v>17</v>
      </c>
    </row>
    <row r="164" spans="2:11" ht="15.75" customHeight="1" x14ac:dyDescent="0.2">
      <c r="B164" s="3"/>
      <c r="C164" s="16">
        <v>43671</v>
      </c>
      <c r="D164" s="12">
        <v>0.38055555555555554</v>
      </c>
      <c r="E164" s="1">
        <v>11</v>
      </c>
      <c r="F164" s="24">
        <v>9.09</v>
      </c>
      <c r="G164" s="3">
        <v>88.2</v>
      </c>
      <c r="H164" s="7">
        <v>13.9</v>
      </c>
    </row>
    <row r="165" spans="2:11" ht="15.75" customHeight="1" x14ac:dyDescent="0.2">
      <c r="B165" s="3"/>
      <c r="C165" s="16">
        <v>43671</v>
      </c>
      <c r="D165" s="12">
        <v>0.38055555555555554</v>
      </c>
      <c r="E165" s="1">
        <v>12</v>
      </c>
      <c r="F165" s="24">
        <v>9.41</v>
      </c>
      <c r="G165" s="3"/>
      <c r="H165" s="7">
        <v>12.8</v>
      </c>
    </row>
    <row r="166" spans="2:11" ht="15.75" customHeight="1" x14ac:dyDescent="0.2">
      <c r="B166" s="3"/>
      <c r="C166" s="16">
        <v>43671</v>
      </c>
      <c r="D166" s="12">
        <v>0.38055555555555554</v>
      </c>
      <c r="E166" s="1">
        <v>13</v>
      </c>
      <c r="F166" s="24">
        <v>9.77</v>
      </c>
      <c r="G166" s="3"/>
      <c r="H166" s="7">
        <v>10</v>
      </c>
    </row>
    <row r="167" spans="2:11" ht="15.75" customHeight="1" x14ac:dyDescent="0.2">
      <c r="B167" s="3"/>
      <c r="C167" s="16">
        <v>43671</v>
      </c>
      <c r="D167" s="12">
        <v>0.38055555555555554</v>
      </c>
      <c r="E167" s="1">
        <v>14</v>
      </c>
      <c r="F167" s="24">
        <v>9.86</v>
      </c>
      <c r="G167" s="3"/>
      <c r="H167" s="7">
        <v>9.5</v>
      </c>
    </row>
    <row r="168" spans="2:11" ht="15.75" customHeight="1" x14ac:dyDescent="0.2">
      <c r="B168" s="3"/>
      <c r="C168" s="16">
        <v>43671</v>
      </c>
      <c r="D168" s="12">
        <v>0.38055555555555554</v>
      </c>
      <c r="E168" s="1">
        <v>15</v>
      </c>
      <c r="F168" s="24">
        <v>9.7899999999999991</v>
      </c>
      <c r="G168" s="3">
        <v>86.1</v>
      </c>
      <c r="H168" s="7">
        <v>9.6999999999999993</v>
      </c>
    </row>
    <row r="169" spans="2:11" ht="15.75" customHeight="1" x14ac:dyDescent="0.2">
      <c r="B169" s="3"/>
      <c r="C169" s="16"/>
      <c r="D169" s="12"/>
      <c r="F169" s="24"/>
      <c r="G169" s="3"/>
      <c r="H169" s="7"/>
    </row>
    <row r="170" spans="2:11" ht="15.75" customHeight="1" x14ac:dyDescent="0.2">
      <c r="B170" s="3"/>
      <c r="C170" s="16"/>
      <c r="D170" s="12"/>
      <c r="F170" s="24"/>
      <c r="G170" s="3"/>
      <c r="H170" s="7"/>
    </row>
    <row r="171" spans="2:11" ht="15.75" customHeight="1" x14ac:dyDescent="0.2">
      <c r="B171" s="3"/>
      <c r="C171" s="16">
        <v>43705</v>
      </c>
      <c r="D171" s="12">
        <v>0.55763888888888891</v>
      </c>
      <c r="F171" s="24"/>
      <c r="G171" s="3"/>
      <c r="H171" s="7"/>
      <c r="J171" s="1">
        <v>9.5</v>
      </c>
      <c r="K171" s="1">
        <v>11.5</v>
      </c>
    </row>
    <row r="172" spans="2:11" ht="15.75" customHeight="1" x14ac:dyDescent="0.2">
      <c r="B172" s="3"/>
      <c r="C172" s="16">
        <v>43705</v>
      </c>
      <c r="D172" s="12">
        <v>0.56805555555555554</v>
      </c>
      <c r="E172" s="1">
        <v>0.1</v>
      </c>
      <c r="F172" s="24">
        <v>7.4</v>
      </c>
      <c r="G172" s="3">
        <v>85.3</v>
      </c>
      <c r="H172" s="7">
        <v>22.3</v>
      </c>
    </row>
    <row r="173" spans="2:11" ht="15.75" customHeight="1" x14ac:dyDescent="0.2">
      <c r="B173" s="3"/>
      <c r="C173" s="16">
        <v>43705</v>
      </c>
      <c r="D173" s="12">
        <v>0.56805555555555554</v>
      </c>
      <c r="E173" s="1">
        <v>1</v>
      </c>
      <c r="F173" s="24">
        <v>7.4</v>
      </c>
      <c r="G173" s="3"/>
      <c r="H173" s="7">
        <v>22.3</v>
      </c>
    </row>
    <row r="174" spans="2:11" ht="15.75" customHeight="1" x14ac:dyDescent="0.2">
      <c r="B174" s="3"/>
      <c r="C174" s="16">
        <v>43705</v>
      </c>
      <c r="D174" s="12">
        <v>0.56805555555555554</v>
      </c>
      <c r="E174" s="1">
        <v>2</v>
      </c>
      <c r="F174" s="24">
        <v>7.36</v>
      </c>
      <c r="G174" s="3"/>
      <c r="H174" s="7">
        <v>22.2</v>
      </c>
    </row>
    <row r="175" spans="2:11" ht="15.75" customHeight="1" x14ac:dyDescent="0.2">
      <c r="B175" s="3"/>
      <c r="C175" s="16">
        <v>43705</v>
      </c>
      <c r="D175" s="12">
        <v>0.56805555555555554</v>
      </c>
      <c r="E175" s="1">
        <v>3</v>
      </c>
      <c r="F175" s="24">
        <v>7.37</v>
      </c>
      <c r="G175" s="3"/>
      <c r="H175" s="7">
        <v>21.5</v>
      </c>
    </row>
    <row r="176" spans="2:11" ht="15.75" customHeight="1" x14ac:dyDescent="0.2">
      <c r="B176" s="3"/>
      <c r="C176" s="16">
        <v>43705</v>
      </c>
      <c r="D176" s="12">
        <v>0.56805555555555554</v>
      </c>
      <c r="E176" s="1">
        <v>4</v>
      </c>
      <c r="F176" s="24">
        <v>7.37</v>
      </c>
      <c r="G176" s="3"/>
      <c r="H176" s="7">
        <v>21.4</v>
      </c>
    </row>
    <row r="177" spans="2:11" ht="15.75" customHeight="1" x14ac:dyDescent="0.2">
      <c r="B177" s="3"/>
      <c r="C177" s="16">
        <v>43705</v>
      </c>
      <c r="D177" s="12">
        <v>0.56805555555555554</v>
      </c>
      <c r="E177" s="1">
        <v>5</v>
      </c>
      <c r="F177" s="24">
        <v>7.36</v>
      </c>
      <c r="G177" s="3"/>
      <c r="H177" s="7">
        <v>21.3</v>
      </c>
    </row>
    <row r="178" spans="2:11" ht="15.75" customHeight="1" x14ac:dyDescent="0.2">
      <c r="B178" s="3"/>
      <c r="C178" s="16">
        <v>43705</v>
      </c>
      <c r="D178" s="12">
        <v>0.56805555555555554</v>
      </c>
      <c r="E178" s="1">
        <v>6</v>
      </c>
      <c r="F178" s="24">
        <v>7.36</v>
      </c>
      <c r="G178" s="3"/>
      <c r="H178" s="7">
        <v>21.2</v>
      </c>
    </row>
    <row r="179" spans="2:11" ht="15.75" customHeight="1" x14ac:dyDescent="0.2">
      <c r="B179" s="3"/>
      <c r="C179" s="16">
        <v>43705</v>
      </c>
      <c r="D179" s="12">
        <v>0.56805555555555554</v>
      </c>
      <c r="E179" s="1">
        <v>7</v>
      </c>
      <c r="F179" s="24">
        <v>7.35</v>
      </c>
      <c r="G179" s="3">
        <v>82.7</v>
      </c>
      <c r="H179" s="7">
        <v>21.2</v>
      </c>
    </row>
    <row r="180" spans="2:11" ht="15.75" customHeight="1" x14ac:dyDescent="0.2">
      <c r="B180" s="3"/>
      <c r="C180" s="16">
        <v>43705</v>
      </c>
      <c r="D180" s="12">
        <v>0.56805555555555554</v>
      </c>
      <c r="E180" s="1">
        <v>8</v>
      </c>
      <c r="F180" s="24">
        <v>7.34</v>
      </c>
      <c r="G180" s="3">
        <v>82.6</v>
      </c>
      <c r="H180" s="7">
        <v>21.2</v>
      </c>
    </row>
    <row r="181" spans="2:11" ht="15.75" customHeight="1" x14ac:dyDescent="0.2">
      <c r="B181" s="3"/>
      <c r="C181" s="16">
        <v>43705</v>
      </c>
      <c r="D181" s="12">
        <v>0.56805555555555554</v>
      </c>
      <c r="E181" s="1">
        <v>9</v>
      </c>
      <c r="F181" s="24">
        <v>7.46</v>
      </c>
      <c r="G181" s="3">
        <v>83.3</v>
      </c>
      <c r="H181" s="7">
        <v>20.8</v>
      </c>
    </row>
    <row r="182" spans="2:11" ht="15.75" customHeight="1" x14ac:dyDescent="0.2">
      <c r="B182" s="3"/>
      <c r="C182" s="16">
        <v>43705</v>
      </c>
      <c r="D182" s="12">
        <v>0.56805555555555554</v>
      </c>
      <c r="E182" s="1">
        <v>10</v>
      </c>
      <c r="F182" s="24">
        <v>8.08</v>
      </c>
      <c r="G182" s="3">
        <v>87.9</v>
      </c>
      <c r="H182" s="7">
        <v>19.2</v>
      </c>
    </row>
    <row r="183" spans="2:11" ht="15.75" customHeight="1" x14ac:dyDescent="0.2">
      <c r="B183" s="3"/>
      <c r="C183" s="16">
        <v>43705</v>
      </c>
      <c r="D183" s="12">
        <v>0.56805555555555554</v>
      </c>
      <c r="E183" s="1">
        <v>11</v>
      </c>
      <c r="F183" s="24">
        <v>9.6</v>
      </c>
      <c r="G183" s="3">
        <v>90.7</v>
      </c>
      <c r="H183" s="7">
        <v>17.8</v>
      </c>
    </row>
    <row r="184" spans="2:11" ht="15.75" customHeight="1" x14ac:dyDescent="0.2">
      <c r="B184" s="3"/>
      <c r="C184" s="16">
        <v>43705</v>
      </c>
      <c r="D184" s="12">
        <v>0.56805555555555554</v>
      </c>
      <c r="E184" s="1">
        <v>12</v>
      </c>
      <c r="F184" s="24">
        <v>9.6300000000000008</v>
      </c>
      <c r="G184" s="3"/>
      <c r="H184" s="7">
        <v>14.4</v>
      </c>
    </row>
    <row r="185" spans="2:11" ht="15.75" customHeight="1" x14ac:dyDescent="0.2">
      <c r="B185" s="3"/>
      <c r="C185" s="16">
        <v>43705</v>
      </c>
      <c r="D185" s="12">
        <v>0.56805555555555554</v>
      </c>
      <c r="E185" s="1">
        <v>13</v>
      </c>
      <c r="F185" s="24">
        <v>9.84</v>
      </c>
      <c r="G185" s="3"/>
      <c r="H185" s="7">
        <v>12.4</v>
      </c>
    </row>
    <row r="186" spans="2:11" ht="15.75" customHeight="1" x14ac:dyDescent="0.2">
      <c r="B186" s="3"/>
      <c r="C186" s="16">
        <v>43705</v>
      </c>
      <c r="D186" s="12">
        <v>0.56805555555555554</v>
      </c>
      <c r="E186" s="1">
        <v>14</v>
      </c>
      <c r="F186" s="24">
        <v>10.06</v>
      </c>
      <c r="G186" s="3"/>
      <c r="H186" s="7">
        <v>11</v>
      </c>
    </row>
    <row r="187" spans="2:11" ht="15.75" customHeight="1" x14ac:dyDescent="0.2">
      <c r="B187" s="3"/>
      <c r="C187" s="16">
        <v>43705</v>
      </c>
      <c r="D187" s="12">
        <v>0.56805555555555554</v>
      </c>
      <c r="E187" s="1">
        <v>15</v>
      </c>
      <c r="F187" s="24">
        <v>10.07</v>
      </c>
      <c r="G187" s="3">
        <v>90.5</v>
      </c>
      <c r="H187" s="7">
        <v>10.6</v>
      </c>
    </row>
    <row r="188" spans="2:11" ht="15.75" customHeight="1" x14ac:dyDescent="0.2">
      <c r="B188" s="3"/>
      <c r="F188" s="24"/>
      <c r="G188" s="3"/>
      <c r="H188" s="7"/>
    </row>
    <row r="189" spans="2:11" ht="15.75" customHeight="1" x14ac:dyDescent="0.2">
      <c r="B189" s="3"/>
      <c r="C189" s="16">
        <v>43732</v>
      </c>
      <c r="D189" s="12">
        <v>0.49305555555555558</v>
      </c>
      <c r="F189" s="24"/>
      <c r="G189" s="3"/>
      <c r="H189" s="7"/>
      <c r="J189" s="1">
        <v>9</v>
      </c>
      <c r="K189" s="1">
        <v>11</v>
      </c>
    </row>
    <row r="190" spans="2:11" ht="15.75" customHeight="1" x14ac:dyDescent="0.2">
      <c r="B190" s="3"/>
      <c r="C190" s="16">
        <v>43732</v>
      </c>
      <c r="D190" s="12">
        <v>0.49305555555555558</v>
      </c>
      <c r="E190" s="1">
        <v>0.1</v>
      </c>
      <c r="F190" s="24">
        <v>8</v>
      </c>
      <c r="G190" s="3">
        <v>84.1</v>
      </c>
      <c r="H190" s="7">
        <v>17.7</v>
      </c>
    </row>
    <row r="191" spans="2:11" ht="15.75" customHeight="1" x14ac:dyDescent="0.2">
      <c r="B191" s="3"/>
      <c r="C191" s="16">
        <v>43732</v>
      </c>
      <c r="D191" s="12">
        <v>0.49305555555555558</v>
      </c>
      <c r="E191" s="1">
        <v>1</v>
      </c>
      <c r="F191" s="24">
        <v>8</v>
      </c>
      <c r="G191" s="3"/>
      <c r="H191" s="7">
        <v>17.7</v>
      </c>
    </row>
    <row r="192" spans="2:11" ht="15.75" customHeight="1" x14ac:dyDescent="0.2">
      <c r="B192" s="3"/>
      <c r="C192" s="16">
        <v>43732</v>
      </c>
      <c r="D192" s="12">
        <v>0.49305555555555558</v>
      </c>
      <c r="E192" s="1">
        <v>2</v>
      </c>
      <c r="F192" s="24">
        <v>7.99</v>
      </c>
      <c r="G192" s="3"/>
      <c r="H192" s="7">
        <v>17.7</v>
      </c>
    </row>
    <row r="193" spans="2:11" ht="15.75" customHeight="1" x14ac:dyDescent="0.2">
      <c r="B193" s="3"/>
      <c r="C193" s="16">
        <v>43732</v>
      </c>
      <c r="D193" s="12">
        <v>0.49305555555555558</v>
      </c>
      <c r="E193" s="1">
        <v>3</v>
      </c>
      <c r="F193" s="24">
        <v>7.98</v>
      </c>
      <c r="G193" s="3"/>
      <c r="H193" s="7">
        <v>17.7</v>
      </c>
    </row>
    <row r="194" spans="2:11" ht="15.75" customHeight="1" x14ac:dyDescent="0.2">
      <c r="B194" s="3"/>
      <c r="C194" s="16">
        <v>43732</v>
      </c>
      <c r="D194" s="12">
        <v>0.49305555555555558</v>
      </c>
      <c r="E194" s="1">
        <v>4</v>
      </c>
      <c r="F194" s="24">
        <v>7.96</v>
      </c>
      <c r="G194" s="3"/>
      <c r="H194" s="7">
        <v>17.7</v>
      </c>
    </row>
    <row r="195" spans="2:11" ht="15.75" customHeight="1" x14ac:dyDescent="0.2">
      <c r="B195" s="3"/>
      <c r="C195" s="16">
        <v>43732</v>
      </c>
      <c r="D195" s="12">
        <v>0.49305555555555558</v>
      </c>
      <c r="E195" s="1">
        <v>5</v>
      </c>
      <c r="F195" s="24">
        <v>7.95</v>
      </c>
      <c r="G195" s="3"/>
      <c r="H195" s="7">
        <v>17.7</v>
      </c>
    </row>
    <row r="196" spans="2:11" ht="15.75" customHeight="1" x14ac:dyDescent="0.2">
      <c r="B196" s="3"/>
      <c r="C196" s="16">
        <v>43732</v>
      </c>
      <c r="D196" s="12">
        <v>0.49305555555555558</v>
      </c>
      <c r="E196" s="1">
        <v>6</v>
      </c>
      <c r="F196" s="24">
        <v>7.94</v>
      </c>
      <c r="G196" s="3"/>
      <c r="H196" s="7">
        <v>17.7</v>
      </c>
    </row>
    <row r="197" spans="2:11" ht="15.75" customHeight="1" x14ac:dyDescent="0.2">
      <c r="B197" s="3"/>
      <c r="C197" s="16">
        <v>43732</v>
      </c>
      <c r="D197" s="12">
        <v>0.49305555555555558</v>
      </c>
      <c r="E197" s="1">
        <v>7</v>
      </c>
      <c r="F197" s="24">
        <v>7.93</v>
      </c>
      <c r="G197" s="3"/>
      <c r="H197" s="7">
        <v>17.7</v>
      </c>
    </row>
    <row r="198" spans="2:11" ht="15.75" customHeight="1" x14ac:dyDescent="0.2">
      <c r="B198" s="3"/>
      <c r="C198" s="16">
        <v>43732</v>
      </c>
      <c r="D198" s="12">
        <v>0.49305555555555558</v>
      </c>
      <c r="E198" s="1">
        <v>8</v>
      </c>
      <c r="F198" s="24">
        <v>7.91</v>
      </c>
      <c r="G198" s="3"/>
      <c r="H198" s="7">
        <v>17.7</v>
      </c>
    </row>
    <row r="199" spans="2:11" ht="15.75" customHeight="1" x14ac:dyDescent="0.2">
      <c r="B199" s="3"/>
      <c r="C199" s="16">
        <v>43732</v>
      </c>
      <c r="D199" s="12">
        <v>0.49305555555555558</v>
      </c>
      <c r="E199" s="1">
        <v>9</v>
      </c>
      <c r="F199" s="24">
        <v>7.9</v>
      </c>
      <c r="G199" s="3"/>
      <c r="H199" s="7">
        <v>17.600000000000001</v>
      </c>
    </row>
    <row r="200" spans="2:11" ht="15.75" customHeight="1" x14ac:dyDescent="0.2">
      <c r="B200" s="3"/>
      <c r="C200" s="16">
        <v>43732</v>
      </c>
      <c r="D200" s="12">
        <v>0.49305555555555558</v>
      </c>
      <c r="E200" s="1">
        <v>10</v>
      </c>
      <c r="F200" s="24">
        <v>7.9</v>
      </c>
      <c r="G200" s="3"/>
      <c r="H200" s="7">
        <v>17.600000000000001</v>
      </c>
    </row>
    <row r="201" spans="2:11" ht="15.75" customHeight="1" x14ac:dyDescent="0.2">
      <c r="B201" s="3"/>
      <c r="C201" s="16">
        <v>43732</v>
      </c>
      <c r="D201" s="12">
        <v>0.49305555555555558</v>
      </c>
      <c r="E201" s="1">
        <v>11</v>
      </c>
      <c r="F201" s="24">
        <v>7.88</v>
      </c>
      <c r="G201" s="3"/>
      <c r="H201" s="7">
        <v>17.600000000000001</v>
      </c>
    </row>
    <row r="202" spans="2:11" ht="15.75" customHeight="1" x14ac:dyDescent="0.2">
      <c r="B202" s="3"/>
      <c r="C202" s="16">
        <v>43732</v>
      </c>
      <c r="D202" s="12">
        <v>0.49305555555555558</v>
      </c>
      <c r="E202" s="1">
        <v>12</v>
      </c>
      <c r="F202" s="24">
        <v>7.87</v>
      </c>
      <c r="G202" s="3"/>
      <c r="H202" s="7">
        <v>17.600000000000001</v>
      </c>
    </row>
    <row r="203" spans="2:11" ht="15.75" customHeight="1" x14ac:dyDescent="0.2">
      <c r="B203" s="3"/>
      <c r="C203" s="16">
        <v>43732</v>
      </c>
      <c r="D203" s="12">
        <v>0.49305555555555558</v>
      </c>
      <c r="E203" s="1">
        <v>13</v>
      </c>
      <c r="F203" s="24">
        <v>7.88</v>
      </c>
      <c r="G203" s="3"/>
      <c r="H203" s="7">
        <v>17.5</v>
      </c>
    </row>
    <row r="204" spans="2:11" ht="15.75" customHeight="1" x14ac:dyDescent="0.2">
      <c r="B204" s="3"/>
      <c r="C204" s="16">
        <v>43732</v>
      </c>
      <c r="D204" s="12">
        <v>0.49305555555555558</v>
      </c>
      <c r="E204" s="1">
        <v>14</v>
      </c>
      <c r="F204" s="24">
        <v>7.86</v>
      </c>
      <c r="G204" s="3"/>
      <c r="H204" s="7">
        <v>17.5</v>
      </c>
    </row>
    <row r="205" spans="2:11" ht="15.75" customHeight="1" x14ac:dyDescent="0.2">
      <c r="B205" s="3"/>
      <c r="C205" s="16">
        <v>43732</v>
      </c>
      <c r="D205" s="12">
        <v>0.49305555555555558</v>
      </c>
      <c r="E205" s="1">
        <v>15</v>
      </c>
      <c r="F205" s="24">
        <v>7.86</v>
      </c>
      <c r="G205" s="3">
        <v>82.2</v>
      </c>
      <c r="H205" s="7">
        <v>17.399999999999999</v>
      </c>
    </row>
    <row r="206" spans="2:11" ht="15.75" customHeight="1" x14ac:dyDescent="0.2">
      <c r="B206" s="3"/>
      <c r="C206" s="1" t="s">
        <v>77</v>
      </c>
      <c r="F206" s="24"/>
      <c r="G206" s="3"/>
      <c r="H206" s="7"/>
    </row>
    <row r="207" spans="2:11" ht="15.75" customHeight="1" x14ac:dyDescent="0.2">
      <c r="B207" s="3"/>
      <c r="F207" s="24"/>
      <c r="G207" s="3"/>
      <c r="H207" s="7"/>
    </row>
    <row r="208" spans="2:11" ht="15.75" customHeight="1" x14ac:dyDescent="0.2">
      <c r="B208" s="3"/>
      <c r="C208" s="1" t="s">
        <v>63</v>
      </c>
      <c r="F208" s="24"/>
      <c r="G208" s="3"/>
      <c r="H208" s="7"/>
      <c r="J208" s="1">
        <v>6</v>
      </c>
      <c r="K208" s="1">
        <v>7</v>
      </c>
    </row>
    <row r="209" spans="2:11" ht="15.75" customHeight="1" x14ac:dyDescent="0.2">
      <c r="B209" s="3"/>
      <c r="C209" s="1" t="s">
        <v>64</v>
      </c>
      <c r="F209" s="24"/>
      <c r="G209" s="3"/>
      <c r="H209" s="7"/>
      <c r="J209" s="1">
        <v>10.5</v>
      </c>
      <c r="K209" s="1">
        <v>11</v>
      </c>
    </row>
    <row r="210" spans="2:11" ht="15.75" customHeight="1" x14ac:dyDescent="0.2">
      <c r="B210" s="3"/>
      <c r="C210" s="1" t="s">
        <v>65</v>
      </c>
      <c r="F210" s="24"/>
      <c r="G210" s="3"/>
      <c r="H210" s="7"/>
      <c r="J210" s="1">
        <v>12</v>
      </c>
      <c r="K210" s="1">
        <v>13</v>
      </c>
    </row>
    <row r="211" spans="2:11" ht="15.75" customHeight="1" x14ac:dyDescent="0.2">
      <c r="B211" s="3"/>
      <c r="C211" s="1" t="s">
        <v>66</v>
      </c>
      <c r="F211" s="24"/>
      <c r="G211" s="3"/>
      <c r="H211" s="7"/>
      <c r="J211" s="1">
        <v>6.5</v>
      </c>
      <c r="K211" s="1">
        <v>11</v>
      </c>
    </row>
    <row r="212" spans="2:11" ht="15.75" customHeight="1" x14ac:dyDescent="0.2">
      <c r="B212" s="3"/>
      <c r="C212" s="1" t="s">
        <v>77</v>
      </c>
      <c r="F212" s="24"/>
      <c r="G212" s="3"/>
      <c r="H212" s="7"/>
    </row>
    <row r="213" spans="2:11" ht="15.75" customHeight="1" x14ac:dyDescent="0.2">
      <c r="B213" s="3"/>
      <c r="F213" s="24"/>
      <c r="G213" s="3"/>
      <c r="H213" s="7"/>
    </row>
    <row r="214" spans="2:11" ht="15.75" customHeight="1" x14ac:dyDescent="0.2">
      <c r="B214" s="3"/>
      <c r="C214" s="205">
        <v>42877</v>
      </c>
      <c r="D214" s="185">
        <v>0.37152777777777773</v>
      </c>
      <c r="F214" s="24"/>
      <c r="G214" s="3"/>
      <c r="H214" s="7"/>
      <c r="J214">
        <v>7.5</v>
      </c>
      <c r="K214">
        <v>8.5</v>
      </c>
    </row>
    <row r="215" spans="2:11" ht="15.75" customHeight="1" x14ac:dyDescent="0.2">
      <c r="B215" s="3"/>
      <c r="C215" s="205">
        <v>42877</v>
      </c>
      <c r="D215" s="185">
        <v>0.37847222222222227</v>
      </c>
      <c r="E215">
        <v>0.1</v>
      </c>
      <c r="F215" s="24">
        <v>9.41</v>
      </c>
      <c r="G215" s="3">
        <v>90.6</v>
      </c>
      <c r="H215" s="7">
        <v>13.7</v>
      </c>
    </row>
    <row r="216" spans="2:11" ht="15.75" customHeight="1" x14ac:dyDescent="0.2">
      <c r="B216" s="3"/>
      <c r="C216" s="205">
        <v>42877</v>
      </c>
      <c r="D216" s="185">
        <v>0.37847222222222227</v>
      </c>
      <c r="E216">
        <v>1</v>
      </c>
      <c r="F216" s="24">
        <v>9.51</v>
      </c>
      <c r="G216" s="3">
        <v>91</v>
      </c>
      <c r="H216" s="7">
        <v>13.3</v>
      </c>
    </row>
    <row r="217" spans="2:11" ht="15.75" customHeight="1" x14ac:dyDescent="0.2">
      <c r="B217" s="3"/>
      <c r="C217" s="205">
        <v>42877</v>
      </c>
      <c r="D217" s="185">
        <v>0.37847222222222227</v>
      </c>
      <c r="E217">
        <v>2</v>
      </c>
      <c r="F217" s="24">
        <v>9.59</v>
      </c>
      <c r="G217" s="3">
        <v>90.6</v>
      </c>
      <c r="H217" s="7">
        <v>12.9</v>
      </c>
    </row>
    <row r="218" spans="2:11" ht="15.75" customHeight="1" x14ac:dyDescent="0.2">
      <c r="B218" s="3"/>
      <c r="C218" s="205">
        <v>42877</v>
      </c>
      <c r="D218" s="185">
        <v>0.37847222222222227</v>
      </c>
      <c r="E218">
        <v>3</v>
      </c>
      <c r="F218" s="24">
        <v>9.57</v>
      </c>
      <c r="G218" s="3">
        <v>89.6</v>
      </c>
      <c r="H218" s="7">
        <v>12.4</v>
      </c>
    </row>
    <row r="219" spans="2:11" ht="15.75" customHeight="1" x14ac:dyDescent="0.2">
      <c r="B219" s="3"/>
      <c r="C219" s="205">
        <v>42877</v>
      </c>
      <c r="D219" s="185">
        <v>0.37847222222222227</v>
      </c>
      <c r="E219">
        <v>4</v>
      </c>
      <c r="F219" s="24">
        <v>9.89</v>
      </c>
      <c r="G219" s="3">
        <v>86.9</v>
      </c>
      <c r="H219" s="7">
        <v>9.6</v>
      </c>
    </row>
    <row r="220" spans="2:11" ht="15.75" customHeight="1" x14ac:dyDescent="0.2">
      <c r="B220" s="3"/>
      <c r="C220" s="205">
        <v>42877</v>
      </c>
      <c r="D220" s="185">
        <v>0.37847222222222227</v>
      </c>
      <c r="E220">
        <v>5</v>
      </c>
      <c r="F220" s="24">
        <v>9.9700000000000006</v>
      </c>
      <c r="G220" s="3">
        <v>86.2</v>
      </c>
      <c r="H220" s="7">
        <v>9</v>
      </c>
    </row>
    <row r="221" spans="2:11" ht="15.75" customHeight="1" x14ac:dyDescent="0.2">
      <c r="B221" s="3"/>
      <c r="C221" s="205">
        <v>42877</v>
      </c>
      <c r="D221" s="185">
        <v>0.37847222222222227</v>
      </c>
      <c r="E221">
        <v>6</v>
      </c>
      <c r="F221" s="24">
        <v>10.130000000000001</v>
      </c>
      <c r="G221" s="3">
        <v>85.7</v>
      </c>
      <c r="H221" s="7">
        <v>8.1</v>
      </c>
    </row>
    <row r="222" spans="2:11" ht="15.75" customHeight="1" x14ac:dyDescent="0.2">
      <c r="B222" s="3"/>
      <c r="C222" s="205">
        <v>42877</v>
      </c>
      <c r="D222" s="185">
        <v>0.37847222222222227</v>
      </c>
      <c r="E222">
        <v>7</v>
      </c>
      <c r="F222" s="24">
        <v>10.11</v>
      </c>
      <c r="G222" s="3">
        <v>85.3</v>
      </c>
      <c r="H222" s="7">
        <v>8</v>
      </c>
    </row>
    <row r="223" spans="2:11" ht="15.75" customHeight="1" x14ac:dyDescent="0.2">
      <c r="B223" s="3"/>
      <c r="C223" s="205">
        <v>42877</v>
      </c>
      <c r="D223" s="185">
        <v>0.37847222222222227</v>
      </c>
      <c r="E223">
        <v>8</v>
      </c>
      <c r="F223" s="24">
        <v>10.09</v>
      </c>
      <c r="G223" s="3">
        <v>85</v>
      </c>
      <c r="H223" s="7">
        <v>7.9</v>
      </c>
    </row>
    <row r="224" spans="2:11" ht="15.75" customHeight="1" x14ac:dyDescent="0.2">
      <c r="B224" s="3"/>
      <c r="C224" s="205">
        <v>42877</v>
      </c>
      <c r="D224" s="185">
        <v>0.37847222222222227</v>
      </c>
      <c r="E224">
        <v>9</v>
      </c>
      <c r="F224" s="24">
        <v>10.029999999999999</v>
      </c>
      <c r="G224" s="3">
        <v>83.9</v>
      </c>
      <c r="H224" s="7">
        <v>7.7</v>
      </c>
    </row>
    <row r="225" spans="2:11" ht="15.75" customHeight="1" x14ac:dyDescent="0.2">
      <c r="B225" s="3"/>
      <c r="C225" s="205">
        <v>42877</v>
      </c>
      <c r="D225" s="185">
        <v>0.37847222222222227</v>
      </c>
      <c r="E225">
        <v>10</v>
      </c>
      <c r="F225" s="24">
        <v>9.9600000000000009</v>
      </c>
      <c r="G225" s="3">
        <v>82.9</v>
      </c>
      <c r="H225" s="7">
        <v>7.4</v>
      </c>
    </row>
    <row r="226" spans="2:11" ht="15.75" customHeight="1" x14ac:dyDescent="0.2">
      <c r="B226" s="3"/>
      <c r="C226" s="205">
        <v>42877</v>
      </c>
      <c r="D226" s="185">
        <v>0.37847222222222227</v>
      </c>
      <c r="E226">
        <v>11</v>
      </c>
      <c r="F226" s="24">
        <v>9.93</v>
      </c>
      <c r="G226" s="3">
        <v>82.1</v>
      </c>
      <c r="H226" s="7">
        <v>7.3</v>
      </c>
    </row>
    <row r="227" spans="2:11" ht="15.75" customHeight="1" x14ac:dyDescent="0.2">
      <c r="B227" s="3"/>
      <c r="C227" s="205">
        <v>42877</v>
      </c>
      <c r="D227" s="185">
        <v>0.37847222222222227</v>
      </c>
      <c r="E227">
        <v>12</v>
      </c>
      <c r="F227" s="24">
        <v>9.86</v>
      </c>
      <c r="G227" s="3">
        <v>81.099999999999994</v>
      </c>
      <c r="H227" s="7">
        <v>7</v>
      </c>
    </row>
    <row r="228" spans="2:11" ht="15.75" customHeight="1" x14ac:dyDescent="0.2">
      <c r="B228" s="3"/>
      <c r="C228" s="205">
        <v>42877</v>
      </c>
      <c r="D228" s="185">
        <v>0.37847222222222227</v>
      </c>
      <c r="E228">
        <v>13</v>
      </c>
      <c r="F228" s="24">
        <v>9.77</v>
      </c>
      <c r="G228" s="3">
        <v>80</v>
      </c>
      <c r="H228" s="7">
        <v>6.8</v>
      </c>
    </row>
    <row r="229" spans="2:11" ht="15.75" customHeight="1" x14ac:dyDescent="0.2">
      <c r="B229" s="3"/>
      <c r="F229" s="24"/>
      <c r="G229" s="3"/>
      <c r="H229" s="7"/>
    </row>
    <row r="230" spans="2:11" ht="15.75" customHeight="1" x14ac:dyDescent="0.2">
      <c r="B230" s="3"/>
      <c r="C230" s="205">
        <v>42905</v>
      </c>
      <c r="D230" s="185">
        <v>0.37152777777777773</v>
      </c>
      <c r="F230" s="24"/>
      <c r="G230" s="3"/>
      <c r="H230" s="7"/>
      <c r="J230">
        <v>8</v>
      </c>
      <c r="K230">
        <v>9.25</v>
      </c>
    </row>
    <row r="231" spans="2:11" ht="15.75" customHeight="1" x14ac:dyDescent="0.2">
      <c r="B231" s="3"/>
      <c r="C231" s="205">
        <v>42905</v>
      </c>
      <c r="D231" s="185">
        <v>0.38194444444444442</v>
      </c>
      <c r="E231">
        <v>0.1</v>
      </c>
      <c r="F231" s="24">
        <v>8.7200000000000006</v>
      </c>
      <c r="G231" s="3">
        <v>88.1</v>
      </c>
      <c r="H231" s="7">
        <v>15.9</v>
      </c>
    </row>
    <row r="232" spans="2:11" ht="15.75" customHeight="1" x14ac:dyDescent="0.2">
      <c r="B232" s="3"/>
      <c r="C232" s="205">
        <v>42905</v>
      </c>
      <c r="D232" s="185">
        <v>0.38194444444444442</v>
      </c>
      <c r="E232">
        <v>1</v>
      </c>
      <c r="F232" s="24">
        <v>8.82</v>
      </c>
      <c r="G232" s="3">
        <v>88.5</v>
      </c>
      <c r="H232" s="7">
        <v>15.6</v>
      </c>
    </row>
    <row r="233" spans="2:11" ht="15.75" customHeight="1" x14ac:dyDescent="0.2">
      <c r="B233" s="3"/>
      <c r="C233" s="205">
        <v>42905</v>
      </c>
      <c r="D233" s="185">
        <v>0.38194444444444442</v>
      </c>
      <c r="E233">
        <v>2</v>
      </c>
      <c r="F233" s="24">
        <v>8.82</v>
      </c>
      <c r="G233" s="3">
        <v>88.3</v>
      </c>
      <c r="H233" s="7">
        <v>15.4</v>
      </c>
    </row>
    <row r="234" spans="2:11" ht="15.75" customHeight="1" x14ac:dyDescent="0.2">
      <c r="B234" s="3"/>
      <c r="C234" s="205">
        <v>42905</v>
      </c>
      <c r="D234" s="185">
        <v>0.38194444444444442</v>
      </c>
      <c r="E234">
        <v>3</v>
      </c>
      <c r="F234" s="24">
        <v>8.81</v>
      </c>
      <c r="G234" s="3">
        <v>87.7</v>
      </c>
      <c r="H234" s="7">
        <v>15.2</v>
      </c>
    </row>
    <row r="235" spans="2:11" ht="15.75" customHeight="1" x14ac:dyDescent="0.2">
      <c r="B235" s="3"/>
      <c r="C235" s="205">
        <v>42905</v>
      </c>
      <c r="D235" s="185">
        <v>0.38194444444444442</v>
      </c>
      <c r="E235">
        <v>4</v>
      </c>
      <c r="F235" s="24">
        <v>8.7899999999999991</v>
      </c>
      <c r="G235" s="3">
        <v>87.2</v>
      </c>
      <c r="H235" s="7">
        <v>15</v>
      </c>
    </row>
    <row r="236" spans="2:11" ht="15.75" customHeight="1" x14ac:dyDescent="0.2">
      <c r="B236" s="3"/>
      <c r="C236" s="205">
        <v>42905</v>
      </c>
      <c r="D236" s="185">
        <v>0.38194444444444442</v>
      </c>
      <c r="E236">
        <v>5</v>
      </c>
      <c r="F236" s="24">
        <v>8.82</v>
      </c>
      <c r="G236" s="3">
        <v>87</v>
      </c>
      <c r="H236" s="7">
        <v>14.8</v>
      </c>
    </row>
    <row r="237" spans="2:11" ht="15.75" customHeight="1" x14ac:dyDescent="0.2">
      <c r="B237" s="3"/>
      <c r="C237" s="205">
        <v>42905</v>
      </c>
      <c r="D237" s="185">
        <v>0.38194444444444442</v>
      </c>
      <c r="E237">
        <v>6</v>
      </c>
      <c r="F237" s="24">
        <v>8.7899999999999991</v>
      </c>
      <c r="G237" s="3">
        <v>86.4</v>
      </c>
      <c r="H237" s="7">
        <v>14.6</v>
      </c>
    </row>
    <row r="238" spans="2:11" ht="15.75" customHeight="1" x14ac:dyDescent="0.2">
      <c r="B238" s="3"/>
      <c r="C238" s="205">
        <v>42905</v>
      </c>
      <c r="D238" s="185">
        <v>0.38194444444444442</v>
      </c>
      <c r="E238">
        <v>7</v>
      </c>
      <c r="F238" s="24">
        <v>8.7799999999999994</v>
      </c>
      <c r="G238" s="3">
        <v>85.6</v>
      </c>
      <c r="H238" s="7">
        <v>14.3</v>
      </c>
    </row>
    <row r="239" spans="2:11" ht="15.75" customHeight="1" x14ac:dyDescent="0.2">
      <c r="B239" s="3"/>
      <c r="C239" s="205">
        <v>42905</v>
      </c>
      <c r="D239" s="185">
        <v>0.38194444444444442</v>
      </c>
      <c r="E239">
        <v>8</v>
      </c>
      <c r="F239" s="24">
        <v>8.7799999999999994</v>
      </c>
      <c r="G239" s="3">
        <v>85</v>
      </c>
      <c r="H239" s="7">
        <v>14</v>
      </c>
    </row>
    <row r="240" spans="2:11" ht="15.75" customHeight="1" x14ac:dyDescent="0.2">
      <c r="B240" s="3"/>
      <c r="C240" s="205">
        <v>42905</v>
      </c>
      <c r="D240" s="185">
        <v>0.38194444444444442</v>
      </c>
      <c r="E240">
        <v>9</v>
      </c>
      <c r="F240" s="24">
        <v>8.7799999999999994</v>
      </c>
      <c r="G240" s="3">
        <v>84.6</v>
      </c>
      <c r="H240" s="7">
        <v>13.7</v>
      </c>
    </row>
    <row r="241" spans="2:11" ht="15.75" customHeight="1" x14ac:dyDescent="0.2">
      <c r="B241" s="3"/>
      <c r="C241" s="205">
        <v>42905</v>
      </c>
      <c r="D241" s="185">
        <v>0.38194444444444442</v>
      </c>
      <c r="E241">
        <v>10</v>
      </c>
      <c r="F241" s="24">
        <v>8.7899999999999991</v>
      </c>
      <c r="G241" s="3">
        <v>83.8</v>
      </c>
      <c r="H241" s="7">
        <v>13.2</v>
      </c>
    </row>
    <row r="242" spans="2:11" ht="15.75" customHeight="1" x14ac:dyDescent="0.2">
      <c r="B242" s="3"/>
      <c r="C242" s="205">
        <v>42905</v>
      </c>
      <c r="D242" s="185">
        <v>0.38194444444444442</v>
      </c>
      <c r="E242">
        <v>11</v>
      </c>
      <c r="F242" s="24">
        <v>9.0500000000000007</v>
      </c>
      <c r="G242" s="3">
        <v>82.8</v>
      </c>
      <c r="H242" s="7">
        <v>11</v>
      </c>
    </row>
    <row r="243" spans="2:11" ht="15.75" customHeight="1" x14ac:dyDescent="0.2">
      <c r="B243" s="3"/>
      <c r="C243" s="205">
        <v>42905</v>
      </c>
      <c r="D243" s="185">
        <v>0.38194444444444442</v>
      </c>
      <c r="E243">
        <v>12</v>
      </c>
      <c r="F243" s="24">
        <v>9.11</v>
      </c>
      <c r="G243" s="3">
        <v>81.400000000000006</v>
      </c>
      <c r="H243" s="7">
        <v>10.3</v>
      </c>
    </row>
    <row r="244" spans="2:11" ht="15.75" customHeight="1" x14ac:dyDescent="0.2">
      <c r="B244" s="3"/>
      <c r="C244" s="205">
        <v>42905</v>
      </c>
      <c r="D244" s="185">
        <v>0.38194444444444442</v>
      </c>
      <c r="E244">
        <v>13</v>
      </c>
      <c r="F244" s="24">
        <v>9.24</v>
      </c>
      <c r="G244" s="3">
        <v>79.7</v>
      </c>
      <c r="H244" s="7">
        <v>8.8000000000000007</v>
      </c>
    </row>
    <row r="245" spans="2:11" ht="15.75" customHeight="1" x14ac:dyDescent="0.2">
      <c r="B245" s="3"/>
      <c r="C245" s="205">
        <v>42905</v>
      </c>
      <c r="D245" s="185">
        <v>0.38194444444444442</v>
      </c>
      <c r="E245">
        <v>14</v>
      </c>
      <c r="F245" s="24">
        <v>9.31</v>
      </c>
      <c r="G245" s="3">
        <v>79.8</v>
      </c>
      <c r="H245" s="7">
        <v>8.6</v>
      </c>
    </row>
    <row r="246" spans="2:11" ht="15.75" customHeight="1" x14ac:dyDescent="0.2">
      <c r="B246" s="3"/>
      <c r="F246" s="24"/>
      <c r="G246" s="3"/>
      <c r="H246" s="7"/>
    </row>
    <row r="247" spans="2:11" ht="15.75" customHeight="1" x14ac:dyDescent="0.2">
      <c r="B247" s="3"/>
      <c r="C247" s="205">
        <v>42933</v>
      </c>
      <c r="D247" s="185">
        <v>0.37847222222222227</v>
      </c>
      <c r="F247" s="24"/>
      <c r="G247" s="3"/>
      <c r="H247" s="7"/>
      <c r="J247">
        <v>9.5</v>
      </c>
      <c r="K247">
        <v>13</v>
      </c>
    </row>
    <row r="248" spans="2:11" ht="15.75" customHeight="1" x14ac:dyDescent="0.2">
      <c r="B248" s="3"/>
      <c r="C248" s="205">
        <v>42933</v>
      </c>
      <c r="D248" s="185">
        <v>0.38541666666666669</v>
      </c>
      <c r="E248">
        <v>0.1</v>
      </c>
      <c r="F248" s="24">
        <v>7.71</v>
      </c>
      <c r="G248" s="3">
        <v>87</v>
      </c>
      <c r="H248" s="7">
        <v>21.3</v>
      </c>
    </row>
    <row r="249" spans="2:11" ht="15.75" customHeight="1" x14ac:dyDescent="0.2">
      <c r="B249" s="3"/>
      <c r="C249" s="205">
        <v>42933</v>
      </c>
      <c r="D249" s="185">
        <v>0.38541666666666669</v>
      </c>
      <c r="E249">
        <v>1</v>
      </c>
      <c r="F249" s="24">
        <v>7.71</v>
      </c>
      <c r="G249" s="3">
        <v>87</v>
      </c>
      <c r="H249" s="7">
        <v>21.3</v>
      </c>
    </row>
    <row r="250" spans="2:11" ht="15.75" customHeight="1" x14ac:dyDescent="0.2">
      <c r="B250" s="3"/>
      <c r="C250" s="205">
        <v>42933</v>
      </c>
      <c r="D250" s="185">
        <v>0.38541666666666669</v>
      </c>
      <c r="E250">
        <v>2</v>
      </c>
      <c r="F250" s="24">
        <v>7.71</v>
      </c>
      <c r="G250" s="3">
        <v>87</v>
      </c>
      <c r="H250" s="7">
        <v>21.3</v>
      </c>
    </row>
    <row r="251" spans="2:11" ht="15.75" customHeight="1" x14ac:dyDescent="0.2">
      <c r="B251" s="3"/>
      <c r="C251" s="205">
        <v>42933</v>
      </c>
      <c r="D251" s="185">
        <v>0.38541666666666669</v>
      </c>
      <c r="E251">
        <v>3</v>
      </c>
      <c r="F251" s="24">
        <v>7.7</v>
      </c>
      <c r="G251" s="3">
        <v>86.8</v>
      </c>
      <c r="H251" s="7">
        <v>21.3</v>
      </c>
    </row>
    <row r="252" spans="2:11" ht="15.75" customHeight="1" x14ac:dyDescent="0.2">
      <c r="B252" s="3"/>
      <c r="C252" s="205">
        <v>42933</v>
      </c>
      <c r="D252" s="185">
        <v>0.38541666666666669</v>
      </c>
      <c r="E252">
        <v>4</v>
      </c>
      <c r="F252" s="24">
        <v>7.68</v>
      </c>
      <c r="G252" s="3">
        <v>86.7</v>
      </c>
      <c r="H252" s="7">
        <v>21.3</v>
      </c>
    </row>
    <row r="253" spans="2:11" ht="15.75" customHeight="1" x14ac:dyDescent="0.2">
      <c r="B253" s="3"/>
      <c r="C253" s="205">
        <v>42933</v>
      </c>
      <c r="D253" s="185">
        <v>0.38541666666666669</v>
      </c>
      <c r="E253">
        <v>5</v>
      </c>
      <c r="F253" s="24">
        <v>7.64</v>
      </c>
      <c r="G253" s="3">
        <v>86</v>
      </c>
      <c r="H253" s="7">
        <v>21.2</v>
      </c>
    </row>
    <row r="254" spans="2:11" ht="15.75" customHeight="1" x14ac:dyDescent="0.2">
      <c r="B254" s="3"/>
      <c r="C254" s="205">
        <v>42933</v>
      </c>
      <c r="D254" s="185">
        <v>0.38541666666666669</v>
      </c>
      <c r="E254">
        <v>6</v>
      </c>
      <c r="F254" s="24">
        <v>7.72</v>
      </c>
      <c r="G254" s="3">
        <v>86.7</v>
      </c>
      <c r="H254" s="7">
        <v>21.1</v>
      </c>
    </row>
    <row r="255" spans="2:11" ht="15.75" customHeight="1" x14ac:dyDescent="0.2">
      <c r="B255" s="3"/>
      <c r="C255" s="205">
        <v>42933</v>
      </c>
      <c r="D255" s="185">
        <v>0.38541666666666669</v>
      </c>
      <c r="E255">
        <v>7</v>
      </c>
      <c r="F255" s="24">
        <v>7.8</v>
      </c>
      <c r="G255" s="3">
        <v>87.3</v>
      </c>
      <c r="H255" s="7">
        <v>20.8</v>
      </c>
    </row>
    <row r="256" spans="2:11" ht="15.75" customHeight="1" x14ac:dyDescent="0.2">
      <c r="B256" s="3"/>
      <c r="C256" s="205">
        <v>42933</v>
      </c>
      <c r="D256" s="185">
        <v>0.38541666666666669</v>
      </c>
      <c r="E256">
        <v>8</v>
      </c>
      <c r="F256" s="24">
        <v>7.83</v>
      </c>
      <c r="G256" s="3">
        <v>86.9</v>
      </c>
      <c r="H256" s="7">
        <v>20.5</v>
      </c>
    </row>
    <row r="257" spans="2:11" ht="15.75" customHeight="1" x14ac:dyDescent="0.2">
      <c r="B257" s="3"/>
      <c r="C257" s="205">
        <v>42933</v>
      </c>
      <c r="D257" s="185">
        <v>0.38541666666666669</v>
      </c>
      <c r="E257">
        <v>9</v>
      </c>
      <c r="F257" s="24">
        <v>8.0399999999999991</v>
      </c>
      <c r="G257" s="3">
        <v>87.5</v>
      </c>
      <c r="H257" s="7">
        <v>19.5</v>
      </c>
    </row>
    <row r="258" spans="2:11" ht="15.75" customHeight="1" x14ac:dyDescent="0.2">
      <c r="B258" s="3"/>
      <c r="C258" s="205">
        <v>42933</v>
      </c>
      <c r="D258" s="185">
        <v>0.38541666666666669</v>
      </c>
      <c r="E258">
        <v>10</v>
      </c>
      <c r="F258" s="24">
        <v>8.1199999999999992</v>
      </c>
      <c r="G258" s="3">
        <v>87.4</v>
      </c>
      <c r="H258" s="7">
        <v>18.899999999999999</v>
      </c>
    </row>
    <row r="259" spans="2:11" ht="15.75" customHeight="1" x14ac:dyDescent="0.2">
      <c r="B259" s="3"/>
      <c r="C259" s="205">
        <v>42933</v>
      </c>
      <c r="D259" s="185">
        <v>0.38541666666666669</v>
      </c>
      <c r="E259">
        <v>11</v>
      </c>
      <c r="F259" s="24">
        <v>8.59</v>
      </c>
      <c r="G259" s="3">
        <v>88.1</v>
      </c>
      <c r="H259" s="7">
        <v>16.2</v>
      </c>
    </row>
    <row r="260" spans="2:11" ht="15.75" customHeight="1" x14ac:dyDescent="0.2">
      <c r="B260" s="3"/>
      <c r="F260" s="24"/>
      <c r="G260" s="3"/>
      <c r="H260" s="7"/>
    </row>
    <row r="261" spans="2:11" ht="15.75" customHeight="1" x14ac:dyDescent="0.2">
      <c r="B261" s="3"/>
      <c r="C261" s="205">
        <v>42968</v>
      </c>
      <c r="D261" s="185">
        <v>0.38611111111111113</v>
      </c>
      <c r="F261" s="24"/>
      <c r="G261" s="3"/>
      <c r="H261" s="7"/>
      <c r="J261">
        <v>13</v>
      </c>
      <c r="K261">
        <v>14</v>
      </c>
    </row>
    <row r="262" spans="2:11" ht="15.75" customHeight="1" x14ac:dyDescent="0.2">
      <c r="B262" s="3"/>
      <c r="C262" s="205">
        <v>42968</v>
      </c>
      <c r="D262" s="185">
        <v>0.39305555555555555</v>
      </c>
      <c r="E262">
        <v>0.1</v>
      </c>
      <c r="F262" s="24">
        <v>7.48</v>
      </c>
      <c r="G262" s="3">
        <v>85.2</v>
      </c>
      <c r="H262" s="7">
        <v>21.8</v>
      </c>
    </row>
    <row r="263" spans="2:11" ht="15.75" customHeight="1" x14ac:dyDescent="0.2">
      <c r="B263" s="3"/>
      <c r="C263" s="205">
        <v>42968</v>
      </c>
      <c r="D263" s="185">
        <v>0.39305555555555555</v>
      </c>
      <c r="E263">
        <v>1</v>
      </c>
      <c r="F263" s="24">
        <v>7.45</v>
      </c>
      <c r="G263" s="3">
        <v>85</v>
      </c>
      <c r="H263" s="7">
        <v>21.9</v>
      </c>
    </row>
    <row r="264" spans="2:11" ht="15.75" customHeight="1" x14ac:dyDescent="0.2">
      <c r="B264" s="3"/>
      <c r="C264" s="205">
        <v>42968</v>
      </c>
      <c r="D264" s="185">
        <v>0.39305555555555555</v>
      </c>
      <c r="E264">
        <v>2</v>
      </c>
      <c r="F264" s="24">
        <v>7.42</v>
      </c>
      <c r="G264" s="3">
        <v>84.7</v>
      </c>
      <c r="H264" s="7">
        <v>21.9</v>
      </c>
    </row>
    <row r="265" spans="2:11" ht="15.75" customHeight="1" x14ac:dyDescent="0.2">
      <c r="B265" s="3"/>
      <c r="C265" s="205">
        <v>42968</v>
      </c>
      <c r="D265" s="185">
        <v>0.39305555555555555</v>
      </c>
      <c r="E265">
        <v>3</v>
      </c>
      <c r="F265" s="24">
        <v>7.4</v>
      </c>
      <c r="G265" s="3">
        <v>84.4</v>
      </c>
      <c r="H265" s="7">
        <v>21.9</v>
      </c>
    </row>
    <row r="266" spans="2:11" ht="15.75" customHeight="1" x14ac:dyDescent="0.2">
      <c r="B266" s="3"/>
      <c r="C266" s="205">
        <v>42968</v>
      </c>
      <c r="D266" s="185">
        <v>0.39305555555555555</v>
      </c>
      <c r="E266">
        <v>4</v>
      </c>
      <c r="F266" s="24">
        <v>7.38</v>
      </c>
      <c r="G266" s="3">
        <v>84.3</v>
      </c>
      <c r="H266" s="7">
        <v>21.9</v>
      </c>
    </row>
    <row r="267" spans="2:11" ht="15.75" customHeight="1" x14ac:dyDescent="0.2">
      <c r="B267" s="3"/>
      <c r="C267" s="205">
        <v>42968</v>
      </c>
      <c r="D267" s="185">
        <v>0.39305555555555555</v>
      </c>
      <c r="E267">
        <v>5</v>
      </c>
      <c r="F267" s="24">
        <v>7.37</v>
      </c>
      <c r="G267" s="3">
        <v>84.2</v>
      </c>
      <c r="H267" s="7">
        <v>21.9</v>
      </c>
    </row>
    <row r="268" spans="2:11" ht="15.75" customHeight="1" x14ac:dyDescent="0.2">
      <c r="B268" s="3"/>
      <c r="C268" s="205">
        <v>42968</v>
      </c>
      <c r="D268" s="185">
        <v>0.39305555555555555</v>
      </c>
      <c r="E268">
        <v>6</v>
      </c>
      <c r="F268" s="24">
        <v>7.36</v>
      </c>
      <c r="G268" s="3">
        <v>84</v>
      </c>
      <c r="H268" s="7">
        <v>21.9</v>
      </c>
    </row>
    <row r="269" spans="2:11" ht="15.75" customHeight="1" x14ac:dyDescent="0.2">
      <c r="B269" s="3"/>
      <c r="C269" s="205">
        <v>42968</v>
      </c>
      <c r="D269" s="185">
        <v>0.39305555555555555</v>
      </c>
      <c r="E269">
        <v>7</v>
      </c>
      <c r="F269" s="24">
        <v>7.35</v>
      </c>
      <c r="G269" s="3">
        <v>83.9</v>
      </c>
      <c r="H269" s="7">
        <v>21.9</v>
      </c>
    </row>
    <row r="270" spans="2:11" ht="15.75" customHeight="1" x14ac:dyDescent="0.2">
      <c r="B270" s="3"/>
      <c r="C270" s="205">
        <v>42968</v>
      </c>
      <c r="D270" s="185">
        <v>0.39305555555555555</v>
      </c>
      <c r="E270">
        <v>8</v>
      </c>
      <c r="F270" s="24">
        <v>7.5</v>
      </c>
      <c r="G270" s="3">
        <v>84.8</v>
      </c>
      <c r="H270" s="7">
        <v>21.4</v>
      </c>
    </row>
    <row r="271" spans="2:11" ht="15.75" customHeight="1" x14ac:dyDescent="0.2">
      <c r="B271" s="3"/>
      <c r="C271" s="205">
        <v>42968</v>
      </c>
      <c r="D271" s="185">
        <v>0.39305555555555555</v>
      </c>
      <c r="E271">
        <v>9</v>
      </c>
      <c r="F271" s="24">
        <v>7.61</v>
      </c>
      <c r="G271" s="3">
        <v>85.2</v>
      </c>
      <c r="H271" s="7">
        <v>20.9</v>
      </c>
    </row>
    <row r="272" spans="2:11" ht="15.75" customHeight="1" x14ac:dyDescent="0.2">
      <c r="B272" s="3"/>
      <c r="C272" s="205">
        <v>42968</v>
      </c>
      <c r="D272" s="185">
        <v>0.39305555555555555</v>
      </c>
      <c r="E272">
        <v>10</v>
      </c>
      <c r="F272" s="24">
        <v>8.69</v>
      </c>
      <c r="G272" s="3">
        <v>89.9</v>
      </c>
      <c r="H272" s="7">
        <v>17</v>
      </c>
    </row>
    <row r="273" spans="2:11" ht="15.75" customHeight="1" x14ac:dyDescent="0.2">
      <c r="B273" s="3"/>
      <c r="C273" s="205">
        <v>42968</v>
      </c>
      <c r="D273" s="185">
        <v>0.39305555555555555</v>
      </c>
      <c r="E273">
        <v>11</v>
      </c>
      <c r="F273" s="24">
        <v>9.18</v>
      </c>
      <c r="G273" s="3">
        <v>88</v>
      </c>
      <c r="H273" s="7">
        <v>13.4</v>
      </c>
    </row>
    <row r="274" spans="2:11" ht="15.75" customHeight="1" x14ac:dyDescent="0.2">
      <c r="B274" s="3"/>
      <c r="F274" s="24"/>
      <c r="G274" s="3"/>
      <c r="H274" s="7"/>
    </row>
    <row r="275" spans="2:11" ht="15.75" customHeight="1" x14ac:dyDescent="0.2">
      <c r="B275" s="3"/>
      <c r="C275" s="205">
        <v>43003</v>
      </c>
      <c r="D275" s="185">
        <v>0.39583333333333331</v>
      </c>
      <c r="F275" s="24"/>
      <c r="G275" s="3"/>
      <c r="H275" s="7"/>
      <c r="J275">
        <v>11</v>
      </c>
      <c r="K275">
        <v>13</v>
      </c>
    </row>
    <row r="276" spans="2:11" ht="15.75" customHeight="1" x14ac:dyDescent="0.2">
      <c r="B276" s="3"/>
      <c r="C276" s="205">
        <v>43003</v>
      </c>
      <c r="D276" s="185">
        <v>0.40277777777777773</v>
      </c>
      <c r="E276">
        <v>0.1</v>
      </c>
      <c r="F276" s="3">
        <v>8.1999999999999993</v>
      </c>
      <c r="G276" s="3">
        <v>83.5</v>
      </c>
      <c r="H276" s="7">
        <v>16.3</v>
      </c>
    </row>
    <row r="277" spans="2:11" ht="15.75" customHeight="1" x14ac:dyDescent="0.2">
      <c r="B277" s="3"/>
      <c r="C277" s="205">
        <v>43003</v>
      </c>
      <c r="D277" s="185">
        <v>0.40277777777777773</v>
      </c>
      <c r="E277">
        <v>1</v>
      </c>
      <c r="F277" s="3">
        <v>8.17</v>
      </c>
      <c r="G277" s="3">
        <v>83.4</v>
      </c>
      <c r="H277" s="7">
        <v>16.399999999999999</v>
      </c>
    </row>
    <row r="278" spans="2:11" ht="15.75" customHeight="1" x14ac:dyDescent="0.2">
      <c r="B278" s="3"/>
      <c r="C278" s="205">
        <v>43003</v>
      </c>
      <c r="D278" s="185">
        <v>0.40277777777777773</v>
      </c>
      <c r="E278">
        <v>2</v>
      </c>
      <c r="F278" s="3">
        <v>8.15</v>
      </c>
      <c r="G278" s="3">
        <v>83.2</v>
      </c>
      <c r="H278" s="7">
        <v>16.399999999999999</v>
      </c>
    </row>
    <row r="279" spans="2:11" ht="15.75" customHeight="1" x14ac:dyDescent="0.2">
      <c r="B279" s="3"/>
      <c r="C279" s="205">
        <v>43003</v>
      </c>
      <c r="D279" s="185">
        <v>0.40277777777777773</v>
      </c>
      <c r="E279">
        <v>3</v>
      </c>
      <c r="F279" s="3">
        <v>8.11</v>
      </c>
      <c r="G279" s="3">
        <v>83</v>
      </c>
      <c r="H279" s="7">
        <v>16.5</v>
      </c>
    </row>
    <row r="280" spans="2:11" ht="15.75" customHeight="1" x14ac:dyDescent="0.2">
      <c r="B280" s="3"/>
      <c r="C280" s="205">
        <v>43003</v>
      </c>
      <c r="D280" s="185">
        <v>0.40277777777777773</v>
      </c>
      <c r="E280">
        <v>4</v>
      </c>
      <c r="F280" s="3">
        <v>8.1</v>
      </c>
      <c r="G280" s="3">
        <v>82.9</v>
      </c>
      <c r="H280" s="7">
        <v>16.5</v>
      </c>
    </row>
    <row r="281" spans="2:11" ht="15.75" customHeight="1" x14ac:dyDescent="0.2">
      <c r="B281" s="3"/>
      <c r="C281" s="205">
        <v>43003</v>
      </c>
      <c r="D281" s="185">
        <v>0.40277777777777773</v>
      </c>
      <c r="E281">
        <v>5</v>
      </c>
      <c r="F281" s="3">
        <v>8.08</v>
      </c>
      <c r="G281" s="3">
        <v>82.7</v>
      </c>
      <c r="H281" s="7">
        <v>16.5</v>
      </c>
    </row>
    <row r="282" spans="2:11" ht="15.75" customHeight="1" x14ac:dyDescent="0.2">
      <c r="B282" s="3"/>
      <c r="C282" s="205">
        <v>43003</v>
      </c>
      <c r="D282" s="185">
        <v>0.40277777777777773</v>
      </c>
      <c r="E282">
        <v>6</v>
      </c>
      <c r="F282" s="3">
        <v>8.07</v>
      </c>
      <c r="G282" s="3">
        <v>82.6</v>
      </c>
      <c r="H282" s="7">
        <v>16.5</v>
      </c>
    </row>
    <row r="283" spans="2:11" ht="15.75" customHeight="1" x14ac:dyDescent="0.2">
      <c r="B283" s="3"/>
      <c r="C283" s="205">
        <v>43003</v>
      </c>
      <c r="D283" s="185">
        <v>0.40277777777777773</v>
      </c>
      <c r="E283">
        <v>7</v>
      </c>
      <c r="F283" s="3">
        <v>8.0500000000000007</v>
      </c>
      <c r="G283" s="3">
        <v>82.4</v>
      </c>
      <c r="H283" s="7">
        <v>16.5</v>
      </c>
    </row>
    <row r="284" spans="2:11" ht="15.75" customHeight="1" x14ac:dyDescent="0.2">
      <c r="B284" s="3"/>
      <c r="C284" s="205">
        <v>43003</v>
      </c>
      <c r="D284" s="185">
        <v>0.40277777777777773</v>
      </c>
      <c r="E284">
        <v>8</v>
      </c>
      <c r="F284" s="3">
        <v>8.0399999999999991</v>
      </c>
      <c r="G284" s="3">
        <v>82.3</v>
      </c>
      <c r="H284" s="7">
        <v>16.5</v>
      </c>
    </row>
    <row r="285" spans="2:11" ht="15.75" customHeight="1" x14ac:dyDescent="0.2">
      <c r="B285" s="3"/>
      <c r="C285" s="205">
        <v>43003</v>
      </c>
      <c r="D285" s="185">
        <v>0.40277777777777773</v>
      </c>
      <c r="E285">
        <v>9</v>
      </c>
      <c r="F285" s="3">
        <v>8.02</v>
      </c>
      <c r="G285" s="3">
        <v>82.1</v>
      </c>
      <c r="H285" s="7">
        <v>16.5</v>
      </c>
    </row>
    <row r="286" spans="2:11" ht="15.75" customHeight="1" x14ac:dyDescent="0.2">
      <c r="B286" s="3"/>
      <c r="C286" s="205">
        <v>43003</v>
      </c>
      <c r="D286" s="185">
        <v>0.40277777777777773</v>
      </c>
      <c r="E286">
        <v>10</v>
      </c>
      <c r="F286" s="3">
        <v>8.01</v>
      </c>
      <c r="G286" s="3">
        <v>82</v>
      </c>
      <c r="H286" s="7">
        <v>16.5</v>
      </c>
    </row>
    <row r="287" spans="2:11" ht="15.75" customHeight="1" x14ac:dyDescent="0.2">
      <c r="B287" s="3"/>
      <c r="C287" s="205">
        <v>43003</v>
      </c>
      <c r="D287" s="185">
        <v>0.40277777777777773</v>
      </c>
      <c r="E287">
        <v>11</v>
      </c>
      <c r="F287" s="3">
        <v>8</v>
      </c>
      <c r="G287" s="3">
        <v>81.900000000000006</v>
      </c>
      <c r="H287" s="7">
        <v>16.5</v>
      </c>
    </row>
    <row r="288" spans="2:11" ht="15.75" customHeight="1" x14ac:dyDescent="0.2">
      <c r="B288" s="3"/>
      <c r="C288" s="205">
        <v>43003</v>
      </c>
      <c r="D288" s="185">
        <v>0.40277777777777773</v>
      </c>
      <c r="E288">
        <v>12</v>
      </c>
      <c r="F288" s="3">
        <v>7.98</v>
      </c>
      <c r="G288" s="3">
        <v>81.5</v>
      </c>
      <c r="H288" s="7">
        <v>16.399999999999999</v>
      </c>
    </row>
    <row r="289" spans="2:11" ht="15.75" customHeight="1" x14ac:dyDescent="0.2">
      <c r="B289" s="3"/>
      <c r="C289" s="205">
        <v>43003</v>
      </c>
      <c r="D289" s="185">
        <v>0.40277777777777773</v>
      </c>
      <c r="E289">
        <v>13</v>
      </c>
      <c r="F289" s="3">
        <v>8.89</v>
      </c>
      <c r="G289" s="3">
        <v>85</v>
      </c>
      <c r="H289" s="7">
        <v>13.2</v>
      </c>
    </row>
    <row r="290" spans="2:11" ht="15.75" customHeight="1" x14ac:dyDescent="0.2">
      <c r="B290" s="3"/>
      <c r="C290" s="205"/>
      <c r="D290" s="185"/>
      <c r="F290" s="3"/>
      <c r="G290" s="3"/>
      <c r="H290" s="7"/>
    </row>
    <row r="291" spans="2:11" ht="15.75" customHeight="1" x14ac:dyDescent="0.2">
      <c r="B291" s="3"/>
      <c r="C291" s="205">
        <v>43024</v>
      </c>
      <c r="D291" s="185">
        <v>0.39930555555555558</v>
      </c>
      <c r="F291" s="3"/>
      <c r="G291" s="3"/>
      <c r="H291" s="7"/>
      <c r="J291">
        <v>8.5</v>
      </c>
      <c r="K291">
        <v>11</v>
      </c>
    </row>
    <row r="292" spans="2:11" ht="15.75" customHeight="1" x14ac:dyDescent="0.2">
      <c r="B292" s="3"/>
      <c r="C292" s="205">
        <v>43024</v>
      </c>
      <c r="D292" s="185">
        <v>0.40277777777777773</v>
      </c>
      <c r="E292">
        <v>0.1</v>
      </c>
      <c r="F292" s="3">
        <v>8.85</v>
      </c>
      <c r="G292" s="3">
        <v>82.9</v>
      </c>
      <c r="H292" s="7">
        <v>12.3</v>
      </c>
    </row>
    <row r="293" spans="2:11" ht="15.75" customHeight="1" x14ac:dyDescent="0.2">
      <c r="B293" s="3"/>
      <c r="C293" s="205">
        <v>43024</v>
      </c>
      <c r="D293" s="185">
        <v>0.40277777777777773</v>
      </c>
      <c r="E293">
        <v>1</v>
      </c>
      <c r="F293" s="3">
        <v>8.7799999999999994</v>
      </c>
      <c r="G293" s="3">
        <v>82.4</v>
      </c>
      <c r="H293" s="7">
        <v>12.5</v>
      </c>
    </row>
    <row r="294" spans="2:11" ht="15.75" customHeight="1" x14ac:dyDescent="0.2">
      <c r="B294" s="3"/>
      <c r="C294" s="205">
        <v>43024</v>
      </c>
      <c r="D294" s="185">
        <v>0.40277777777777773</v>
      </c>
      <c r="E294">
        <v>2</v>
      </c>
      <c r="F294" s="3">
        <v>8.75</v>
      </c>
      <c r="G294" s="3">
        <v>82.1</v>
      </c>
      <c r="H294" s="7">
        <v>12.5</v>
      </c>
    </row>
    <row r="295" spans="2:11" ht="15.75" customHeight="1" x14ac:dyDescent="0.2">
      <c r="B295" s="3"/>
      <c r="C295" s="205">
        <v>43024</v>
      </c>
      <c r="D295" s="185">
        <v>0.40277777777777773</v>
      </c>
      <c r="E295">
        <v>3</v>
      </c>
      <c r="F295" s="3">
        <v>8.7200000000000006</v>
      </c>
      <c r="G295" s="3">
        <v>82</v>
      </c>
      <c r="H295" s="7">
        <v>12.6</v>
      </c>
    </row>
    <row r="296" spans="2:11" ht="15.75" customHeight="1" x14ac:dyDescent="0.2">
      <c r="B296" s="3"/>
      <c r="C296" s="205">
        <v>43024</v>
      </c>
      <c r="D296" s="185">
        <v>0.40277777777777773</v>
      </c>
      <c r="E296">
        <v>4</v>
      </c>
      <c r="F296" s="3">
        <v>8.6999999999999993</v>
      </c>
      <c r="G296" s="3">
        <v>81.8</v>
      </c>
      <c r="H296" s="7">
        <v>12.6</v>
      </c>
    </row>
    <row r="297" spans="2:11" ht="15.75" customHeight="1" x14ac:dyDescent="0.2">
      <c r="B297" s="3"/>
      <c r="C297" s="205">
        <v>43024</v>
      </c>
      <c r="D297" s="185">
        <v>0.40277777777777773</v>
      </c>
      <c r="E297">
        <v>5</v>
      </c>
      <c r="F297" s="3">
        <v>8.68</v>
      </c>
      <c r="G297" s="3">
        <v>81.599999999999994</v>
      </c>
      <c r="H297" s="7">
        <v>12.6</v>
      </c>
    </row>
    <row r="298" spans="2:11" ht="15.75" customHeight="1" x14ac:dyDescent="0.2">
      <c r="B298" s="3"/>
      <c r="C298" s="205">
        <v>43024</v>
      </c>
      <c r="D298" s="185">
        <v>0.40277777777777773</v>
      </c>
      <c r="E298">
        <v>6</v>
      </c>
      <c r="F298" s="3">
        <v>8.66</v>
      </c>
      <c r="G298" s="3">
        <v>81.5</v>
      </c>
      <c r="H298" s="7">
        <v>12.6</v>
      </c>
    </row>
    <row r="299" spans="2:11" ht="15.75" customHeight="1" x14ac:dyDescent="0.2">
      <c r="B299" s="3"/>
      <c r="C299" s="205">
        <v>43024</v>
      </c>
      <c r="D299" s="185">
        <v>0.40277777777777773</v>
      </c>
      <c r="E299">
        <v>7</v>
      </c>
      <c r="F299" s="3">
        <v>8.65</v>
      </c>
      <c r="G299" s="3">
        <v>81.3</v>
      </c>
      <c r="H299" s="7">
        <v>12.6</v>
      </c>
    </row>
    <row r="300" spans="2:11" ht="15.75" customHeight="1" x14ac:dyDescent="0.2">
      <c r="B300" s="3"/>
      <c r="C300" s="205">
        <v>43024</v>
      </c>
      <c r="D300" s="185">
        <v>0.40277777777777773</v>
      </c>
      <c r="E300">
        <v>8</v>
      </c>
      <c r="F300" s="24">
        <v>8.6300000000000008</v>
      </c>
      <c r="G300" s="3">
        <v>81.099999999999994</v>
      </c>
      <c r="H300" s="7">
        <v>12.6</v>
      </c>
    </row>
    <row r="301" spans="2:11" ht="15.75" customHeight="1" x14ac:dyDescent="0.2">
      <c r="B301" s="3"/>
      <c r="C301" s="205">
        <v>43024</v>
      </c>
      <c r="D301" s="185">
        <v>0.40277777777777773</v>
      </c>
      <c r="E301">
        <v>9</v>
      </c>
      <c r="F301" s="24">
        <v>8.61</v>
      </c>
      <c r="G301" s="3">
        <v>81</v>
      </c>
      <c r="H301" s="7">
        <v>12.6</v>
      </c>
    </row>
    <row r="302" spans="2:11" ht="15.75" customHeight="1" x14ac:dyDescent="0.2">
      <c r="B302" s="3"/>
      <c r="C302" s="205">
        <v>43024</v>
      </c>
      <c r="D302" s="185">
        <v>0.40277777777777773</v>
      </c>
      <c r="E302">
        <v>10</v>
      </c>
      <c r="F302" s="24">
        <v>8.59</v>
      </c>
      <c r="G302" s="3">
        <v>80.8</v>
      </c>
      <c r="H302" s="7">
        <v>12.6</v>
      </c>
    </row>
    <row r="303" spans="2:11" ht="15.75" customHeight="1" x14ac:dyDescent="0.2">
      <c r="B303" s="3"/>
      <c r="C303" s="205">
        <v>43024</v>
      </c>
      <c r="D303" s="185">
        <v>0.40277777777777773</v>
      </c>
      <c r="E303">
        <v>11</v>
      </c>
      <c r="F303" s="24">
        <v>8.58</v>
      </c>
      <c r="G303" s="3">
        <v>80.7</v>
      </c>
      <c r="H303" s="7">
        <v>12.6</v>
      </c>
    </row>
    <row r="304" spans="2:11" ht="15.75" customHeight="1" x14ac:dyDescent="0.2">
      <c r="B304" s="3"/>
      <c r="C304" s="205">
        <v>43024</v>
      </c>
      <c r="D304" s="185">
        <v>0.40277777777777773</v>
      </c>
      <c r="E304">
        <v>12</v>
      </c>
      <c r="F304" s="24">
        <v>8.56</v>
      </c>
      <c r="G304" s="3">
        <v>80.5</v>
      </c>
      <c r="H304" s="7">
        <v>12.6</v>
      </c>
    </row>
    <row r="305" spans="2:11" ht="15.75" customHeight="1" x14ac:dyDescent="0.2">
      <c r="B305" s="3"/>
      <c r="C305" s="205">
        <v>43024</v>
      </c>
      <c r="D305" s="185">
        <v>0.40277777777777773</v>
      </c>
      <c r="E305">
        <v>13</v>
      </c>
      <c r="F305" s="24">
        <v>8.51</v>
      </c>
      <c r="G305" s="3">
        <v>80</v>
      </c>
      <c r="H305" s="7">
        <v>12.6</v>
      </c>
    </row>
    <row r="306" spans="2:11" ht="15.75" customHeight="1" x14ac:dyDescent="0.2">
      <c r="B306" s="3"/>
      <c r="F306" s="24"/>
      <c r="G306" s="3"/>
      <c r="H306" s="7"/>
    </row>
    <row r="307" spans="2:11" ht="15.75" customHeight="1" x14ac:dyDescent="0.2">
      <c r="B307" s="3"/>
      <c r="F307" s="24"/>
      <c r="G307" s="3"/>
      <c r="H307" s="7"/>
    </row>
    <row r="308" spans="2:11" ht="15.75" customHeight="1" x14ac:dyDescent="0.2">
      <c r="B308" s="3"/>
      <c r="C308" s="205">
        <v>42597</v>
      </c>
      <c r="D308" s="185">
        <v>0.60069444444444442</v>
      </c>
      <c r="F308" s="24"/>
      <c r="G308" s="3"/>
      <c r="H308" s="7"/>
      <c r="J308">
        <v>12</v>
      </c>
      <c r="K308">
        <v>14.5</v>
      </c>
    </row>
    <row r="309" spans="2:11" ht="15.75" customHeight="1" x14ac:dyDescent="0.2">
      <c r="B309" s="3"/>
      <c r="C309" s="205">
        <v>42597</v>
      </c>
      <c r="D309" s="185">
        <v>0.61111111111111105</v>
      </c>
      <c r="E309">
        <v>0.1</v>
      </c>
      <c r="F309" s="24">
        <v>7.41</v>
      </c>
      <c r="G309" s="3">
        <v>86.9</v>
      </c>
      <c r="H309" s="7">
        <v>23.3</v>
      </c>
    </row>
    <row r="310" spans="2:11" ht="15.75" customHeight="1" x14ac:dyDescent="0.2">
      <c r="B310" s="3"/>
      <c r="C310" s="205">
        <v>42597</v>
      </c>
      <c r="D310" s="185">
        <v>0.61111111111111105</v>
      </c>
      <c r="E310">
        <v>1</v>
      </c>
      <c r="F310" s="24">
        <v>7.48</v>
      </c>
      <c r="G310" s="3">
        <v>87.3</v>
      </c>
      <c r="H310" s="7">
        <v>23.1</v>
      </c>
    </row>
    <row r="311" spans="2:11" ht="15.75" customHeight="1" x14ac:dyDescent="0.2">
      <c r="B311" s="3"/>
      <c r="C311" s="205">
        <v>42597</v>
      </c>
      <c r="D311" s="185">
        <v>0.61111111111111105</v>
      </c>
      <c r="E311">
        <v>2</v>
      </c>
      <c r="F311" s="24">
        <v>7.51</v>
      </c>
      <c r="G311" s="3">
        <v>87</v>
      </c>
      <c r="H311" s="7">
        <v>22.7</v>
      </c>
    </row>
    <row r="312" spans="2:11" ht="15.75" customHeight="1" x14ac:dyDescent="0.2">
      <c r="B312" s="3"/>
      <c r="C312" s="205">
        <v>42597</v>
      </c>
      <c r="D312" s="185">
        <v>0.61111111111111105</v>
      </c>
      <c r="E312">
        <v>3</v>
      </c>
      <c r="F312" s="24">
        <v>7.54</v>
      </c>
      <c r="G312" s="3">
        <v>86.5</v>
      </c>
      <c r="H312" s="7">
        <v>22.2</v>
      </c>
    </row>
    <row r="313" spans="2:11" ht="15.75" customHeight="1" x14ac:dyDescent="0.2">
      <c r="B313" s="3"/>
      <c r="C313" s="205">
        <v>42597</v>
      </c>
      <c r="D313" s="185">
        <v>0.61111111111111105</v>
      </c>
      <c r="E313">
        <v>4</v>
      </c>
      <c r="F313" s="24">
        <v>7.59</v>
      </c>
      <c r="G313" s="3">
        <v>86.3</v>
      </c>
      <c r="H313" s="7">
        <v>21.7</v>
      </c>
    </row>
    <row r="314" spans="2:11" ht="15.75" customHeight="1" x14ac:dyDescent="0.2">
      <c r="B314" s="3"/>
      <c r="C314" s="205">
        <v>42597</v>
      </c>
      <c r="D314" s="185">
        <v>0.61111111111111105</v>
      </c>
      <c r="E314">
        <v>5</v>
      </c>
      <c r="F314" s="24">
        <v>7.67</v>
      </c>
      <c r="G314" s="3">
        <v>86.2</v>
      </c>
      <c r="H314" s="7">
        <v>21.1</v>
      </c>
    </row>
    <row r="315" spans="2:11" ht="15.75" customHeight="1" x14ac:dyDescent="0.2">
      <c r="B315" s="3"/>
      <c r="C315" s="205">
        <v>42597</v>
      </c>
      <c r="D315" s="185">
        <v>0.61111111111111105</v>
      </c>
      <c r="E315">
        <v>6</v>
      </c>
      <c r="F315" s="24">
        <v>7.72</v>
      </c>
      <c r="G315" s="3">
        <v>86.1</v>
      </c>
      <c r="H315" s="7">
        <v>20.7</v>
      </c>
    </row>
    <row r="316" spans="2:11" ht="15.75" customHeight="1" x14ac:dyDescent="0.2">
      <c r="B316" s="3"/>
      <c r="C316" s="205">
        <v>42597</v>
      </c>
      <c r="D316" s="185">
        <v>0.61111111111111105</v>
      </c>
      <c r="E316">
        <v>7</v>
      </c>
      <c r="F316" s="24">
        <v>7.74</v>
      </c>
      <c r="G316" s="3">
        <v>86</v>
      </c>
      <c r="H316" s="7">
        <v>20.5</v>
      </c>
    </row>
    <row r="317" spans="2:11" ht="15.75" customHeight="1" x14ac:dyDescent="0.2">
      <c r="B317" s="3"/>
      <c r="C317" s="205">
        <v>42597</v>
      </c>
      <c r="D317" s="185">
        <v>0.61111111111111105</v>
      </c>
      <c r="E317">
        <v>8</v>
      </c>
      <c r="F317" s="24">
        <v>7.75</v>
      </c>
      <c r="G317" s="3">
        <v>85.8</v>
      </c>
      <c r="H317" s="7">
        <v>20.3</v>
      </c>
    </row>
    <row r="318" spans="2:11" ht="15.75" customHeight="1" x14ac:dyDescent="0.2">
      <c r="B318" s="3"/>
      <c r="C318" s="205">
        <v>42597</v>
      </c>
      <c r="D318" s="185">
        <v>0.61111111111111105</v>
      </c>
      <c r="E318">
        <v>9</v>
      </c>
      <c r="F318" s="24">
        <v>7.87</v>
      </c>
      <c r="G318" s="3">
        <v>86.4</v>
      </c>
      <c r="H318" s="7">
        <v>19.899999999999999</v>
      </c>
    </row>
    <row r="319" spans="2:11" ht="15.75" customHeight="1" x14ac:dyDescent="0.2">
      <c r="B319" s="3"/>
      <c r="C319" s="205">
        <v>42597</v>
      </c>
      <c r="D319" s="185">
        <v>0.61111111111111105</v>
      </c>
      <c r="E319">
        <v>10</v>
      </c>
      <c r="F319" s="24">
        <v>8.2100000000000009</v>
      </c>
      <c r="G319" s="3">
        <v>88</v>
      </c>
      <c r="H319" s="7">
        <v>18.7</v>
      </c>
    </row>
    <row r="320" spans="2:11" ht="15.75" customHeight="1" x14ac:dyDescent="0.2">
      <c r="B320" s="3"/>
      <c r="C320" s="205">
        <v>42597</v>
      </c>
      <c r="D320" s="185">
        <v>0.61111111111111105</v>
      </c>
      <c r="E320">
        <v>11</v>
      </c>
      <c r="F320" s="24">
        <v>8.49</v>
      </c>
      <c r="G320" s="3">
        <v>89</v>
      </c>
      <c r="H320" s="7">
        <v>17.8</v>
      </c>
    </row>
    <row r="321" spans="2:15" ht="15.75" customHeight="1" x14ac:dyDescent="0.2">
      <c r="B321" s="3"/>
      <c r="C321" s="205">
        <v>42597</v>
      </c>
      <c r="D321" s="185">
        <v>0.61111111111111105</v>
      </c>
      <c r="E321">
        <v>12</v>
      </c>
      <c r="F321" s="24">
        <v>8.86</v>
      </c>
      <c r="G321" s="3">
        <v>88.46</v>
      </c>
      <c r="H321" s="7">
        <v>15.4</v>
      </c>
    </row>
    <row r="322" spans="2:15" ht="15.75" customHeight="1" x14ac:dyDescent="0.2">
      <c r="B322" s="3"/>
      <c r="C322" s="205">
        <v>42597</v>
      </c>
      <c r="D322" s="185">
        <v>0.61111111111111105</v>
      </c>
      <c r="E322">
        <v>13</v>
      </c>
      <c r="F322" s="24">
        <v>8.85</v>
      </c>
      <c r="G322" s="3">
        <v>85.3</v>
      </c>
      <c r="H322" s="7">
        <v>13.7</v>
      </c>
    </row>
    <row r="323" spans="2:15" ht="15.75" customHeight="1" x14ac:dyDescent="0.2">
      <c r="B323" s="3"/>
      <c r="C323" s="205">
        <v>42597</v>
      </c>
      <c r="D323" s="185">
        <v>0.61111111111111105</v>
      </c>
      <c r="E323">
        <v>14</v>
      </c>
      <c r="F323" s="24">
        <v>8.7799999999999994</v>
      </c>
      <c r="G323" s="3">
        <v>82.7</v>
      </c>
      <c r="H323" s="7">
        <v>12.7</v>
      </c>
    </row>
    <row r="324" spans="2:15" ht="15.75" customHeight="1" x14ac:dyDescent="0.2">
      <c r="B324" s="3"/>
      <c r="C324" s="205">
        <v>42597</v>
      </c>
      <c r="D324" s="185">
        <v>0.61111111111111105</v>
      </c>
      <c r="E324">
        <v>15</v>
      </c>
      <c r="F324" s="24">
        <v>8.7100000000000009</v>
      </c>
      <c r="G324" s="3">
        <v>77.7</v>
      </c>
      <c r="H324" s="7">
        <v>10.4</v>
      </c>
    </row>
    <row r="325" spans="2:15" ht="15.75" customHeight="1" x14ac:dyDescent="0.2">
      <c r="B325" s="3"/>
      <c r="C325" s="205">
        <v>42597</v>
      </c>
      <c r="D325" s="185">
        <v>0.61111111111111105</v>
      </c>
      <c r="E325">
        <v>16</v>
      </c>
      <c r="F325" s="24">
        <v>8.73</v>
      </c>
      <c r="G325" s="3">
        <v>76.400000000000006</v>
      </c>
      <c r="H325" s="7">
        <v>9.5</v>
      </c>
    </row>
    <row r="326" spans="2:15" ht="15.75" customHeight="1" x14ac:dyDescent="0.2">
      <c r="B326" s="3"/>
      <c r="C326" s="205">
        <v>42597</v>
      </c>
      <c r="D326" s="185">
        <v>0.61111111111111105</v>
      </c>
      <c r="E326">
        <v>17</v>
      </c>
      <c r="F326" s="24">
        <v>8.7100000000000009</v>
      </c>
      <c r="G326" s="3">
        <v>75.5</v>
      </c>
      <c r="H326" s="7">
        <v>9.1</v>
      </c>
    </row>
    <row r="327" spans="2:15" ht="15.75" customHeight="1" x14ac:dyDescent="0.2">
      <c r="B327" s="3"/>
      <c r="C327" s="205">
        <v>42597</v>
      </c>
      <c r="D327" s="185">
        <v>0.61111111111111105</v>
      </c>
      <c r="E327">
        <v>18</v>
      </c>
      <c r="F327" s="24">
        <v>8.69</v>
      </c>
      <c r="G327" s="3">
        <v>74.8</v>
      </c>
      <c r="H327" s="7">
        <v>8.8000000000000007</v>
      </c>
    </row>
    <row r="328" spans="2:15" ht="15.75" customHeight="1" x14ac:dyDescent="0.2">
      <c r="B328" s="3"/>
      <c r="C328" s="205">
        <v>42597</v>
      </c>
      <c r="D328" s="185">
        <v>0.61111111111111105</v>
      </c>
      <c r="E328">
        <v>19</v>
      </c>
      <c r="F328" s="24">
        <v>8.64</v>
      </c>
      <c r="G328" s="3">
        <v>73.900000000000006</v>
      </c>
      <c r="H328" s="7">
        <v>8.5</v>
      </c>
    </row>
    <row r="329" spans="2:15" ht="15.75" customHeight="1" x14ac:dyDescent="0.2">
      <c r="B329" s="3"/>
      <c r="C329" s="205">
        <v>42597</v>
      </c>
      <c r="D329" s="185">
        <v>0.61111111111111105</v>
      </c>
      <c r="E329">
        <v>20</v>
      </c>
      <c r="F329" s="24">
        <v>8.5299999999999994</v>
      </c>
      <c r="G329" s="3">
        <v>72.2</v>
      </c>
      <c r="H329" s="7">
        <v>8.1999999999999993</v>
      </c>
    </row>
    <row r="330" spans="2:15" ht="15.75" customHeight="1" x14ac:dyDescent="0.2">
      <c r="B330" s="3"/>
      <c r="C330" s="205">
        <v>42597</v>
      </c>
      <c r="D330" s="185">
        <v>0.61111111111111105</v>
      </c>
      <c r="E330">
        <v>21</v>
      </c>
      <c r="F330" s="24">
        <v>8.14</v>
      </c>
      <c r="G330" s="3">
        <v>68.3</v>
      </c>
      <c r="H330" s="7">
        <v>8</v>
      </c>
    </row>
    <row r="331" spans="2:15" ht="16" x14ac:dyDescent="0.2">
      <c r="B331" s="190"/>
      <c r="H331" s="221"/>
      <c r="I331" s="190"/>
      <c r="J331" s="191"/>
      <c r="M331" s="228"/>
      <c r="N331" s="229"/>
      <c r="O331" s="230"/>
    </row>
    <row r="332" spans="2:15" ht="16" x14ac:dyDescent="0.2">
      <c r="B332" s="190">
        <v>16</v>
      </c>
      <c r="C332" s="231">
        <v>34964</v>
      </c>
      <c r="D332" s="185">
        <v>0.375</v>
      </c>
      <c r="F332" s="221"/>
      <c r="G332" s="190"/>
      <c r="H332" s="191"/>
      <c r="I332" s="232"/>
      <c r="J332" s="230">
        <v>12.3</v>
      </c>
      <c r="K332" s="230"/>
      <c r="N332" s="229"/>
      <c r="O332" s="230"/>
    </row>
    <row r="333" spans="2:15" ht="16" x14ac:dyDescent="0.2">
      <c r="B333" s="190"/>
      <c r="C333" s="231">
        <v>34964</v>
      </c>
      <c r="D333" s="185">
        <v>0.375</v>
      </c>
      <c r="E333" s="230">
        <v>1</v>
      </c>
      <c r="F333" s="195">
        <v>8.8000000000000007</v>
      </c>
      <c r="G333" s="230"/>
      <c r="H333" s="195">
        <v>17.5</v>
      </c>
      <c r="I333" s="232"/>
      <c r="J333" s="230"/>
      <c r="K333" s="230"/>
      <c r="N333" s="229"/>
      <c r="O333" s="230"/>
    </row>
    <row r="334" spans="2:15" ht="16" x14ac:dyDescent="0.2">
      <c r="B334" s="190"/>
      <c r="C334" s="231">
        <v>34964</v>
      </c>
      <c r="D334" s="185">
        <v>0.375</v>
      </c>
      <c r="E334" s="230">
        <v>15</v>
      </c>
      <c r="F334" s="195">
        <v>10.4</v>
      </c>
      <c r="G334" s="230"/>
      <c r="H334" s="195">
        <v>10</v>
      </c>
      <c r="I334" s="232"/>
      <c r="J334" s="230"/>
      <c r="K334" s="230"/>
      <c r="N334" s="229"/>
      <c r="O334" s="230"/>
    </row>
    <row r="335" spans="2:15" ht="16" x14ac:dyDescent="0.2">
      <c r="B335" s="190"/>
      <c r="C335" s="231"/>
      <c r="E335" s="230"/>
      <c r="F335" s="195"/>
      <c r="G335" s="230"/>
      <c r="H335" s="195"/>
      <c r="I335" s="232"/>
      <c r="J335" s="230"/>
      <c r="K335" s="230"/>
      <c r="N335" s="229"/>
      <c r="O335" s="230"/>
    </row>
    <row r="336" spans="2:15" ht="16" x14ac:dyDescent="0.2">
      <c r="B336" s="190">
        <v>11.8</v>
      </c>
      <c r="C336" s="231">
        <f>DATE(95,8,23)</f>
        <v>34934</v>
      </c>
      <c r="D336" s="185">
        <v>0.66666666666666663</v>
      </c>
      <c r="F336" s="221"/>
      <c r="G336" s="190"/>
      <c r="H336" s="191"/>
      <c r="I336" s="232"/>
      <c r="J336" s="230">
        <v>11.3</v>
      </c>
      <c r="K336" s="230"/>
      <c r="N336" s="229"/>
      <c r="O336" s="230"/>
    </row>
    <row r="337" spans="2:15" ht="16" x14ac:dyDescent="0.2">
      <c r="B337" s="190"/>
      <c r="C337" s="231">
        <f t="shared" ref="C337:C338" si="0">DATE(95,8,23)</f>
        <v>34934</v>
      </c>
      <c r="D337" s="185">
        <v>0.66666666666666663</v>
      </c>
      <c r="E337" s="230">
        <v>1</v>
      </c>
      <c r="F337" s="195">
        <v>8.74</v>
      </c>
      <c r="G337" s="230"/>
      <c r="H337" s="195">
        <v>18.7</v>
      </c>
      <c r="I337" s="232"/>
      <c r="J337" s="230"/>
      <c r="K337" s="230"/>
      <c r="N337" s="229"/>
      <c r="O337" s="230"/>
    </row>
    <row r="338" spans="2:15" ht="16" x14ac:dyDescent="0.2">
      <c r="B338" s="190"/>
      <c r="C338" s="231">
        <f t="shared" si="0"/>
        <v>34934</v>
      </c>
      <c r="D338" s="185">
        <v>0.66666666666666663</v>
      </c>
      <c r="E338" s="230">
        <v>11</v>
      </c>
      <c r="F338" s="195">
        <v>8.6</v>
      </c>
      <c r="G338" s="230"/>
      <c r="H338" s="195">
        <v>16.2</v>
      </c>
      <c r="I338" s="232"/>
      <c r="J338" s="230"/>
      <c r="K338" s="230"/>
      <c r="N338" s="229"/>
      <c r="O338" s="230"/>
    </row>
    <row r="339" spans="2:15" ht="16" x14ac:dyDescent="0.2">
      <c r="B339" s="190"/>
      <c r="C339" s="231"/>
      <c r="E339" s="230"/>
      <c r="F339" s="221"/>
      <c r="G339" s="190"/>
      <c r="H339" s="191"/>
      <c r="I339" s="232"/>
      <c r="J339" s="230"/>
      <c r="K339" s="230"/>
      <c r="N339" s="229"/>
      <c r="O339" s="230"/>
    </row>
    <row r="340" spans="2:15" ht="16" x14ac:dyDescent="0.2">
      <c r="B340" s="190">
        <v>10.9</v>
      </c>
      <c r="C340" s="231">
        <f>DATE(95,7,26)</f>
        <v>34906</v>
      </c>
      <c r="D340" s="185">
        <v>0.625</v>
      </c>
      <c r="E340" s="230"/>
      <c r="F340" s="195"/>
      <c r="G340" s="228"/>
      <c r="H340" s="195"/>
      <c r="I340" s="232"/>
      <c r="J340" s="228" t="s">
        <v>84</v>
      </c>
      <c r="K340" s="230"/>
      <c r="N340" s="229"/>
      <c r="O340" s="230"/>
    </row>
    <row r="341" spans="2:15" ht="16" x14ac:dyDescent="0.2">
      <c r="B341" s="190"/>
      <c r="C341" s="231">
        <f t="shared" ref="C341:C342" si="1">DATE(95,7,26)</f>
        <v>34906</v>
      </c>
      <c r="D341" s="185">
        <v>0.625</v>
      </c>
      <c r="E341" s="230">
        <v>1</v>
      </c>
      <c r="F341" s="195">
        <v>9.5</v>
      </c>
      <c r="G341" s="230"/>
      <c r="H341" s="195">
        <v>21.2</v>
      </c>
      <c r="I341" s="232"/>
      <c r="J341" s="230"/>
      <c r="K341" s="230"/>
      <c r="N341" s="229"/>
      <c r="O341" s="230"/>
    </row>
    <row r="342" spans="2:15" ht="16" x14ac:dyDescent="0.2">
      <c r="B342" s="190"/>
      <c r="C342" s="231">
        <f t="shared" si="1"/>
        <v>34906</v>
      </c>
      <c r="D342" s="185">
        <v>0.625</v>
      </c>
      <c r="E342" s="230">
        <v>10</v>
      </c>
      <c r="F342" s="195">
        <v>8.9</v>
      </c>
      <c r="G342" s="230"/>
      <c r="H342" s="195">
        <v>20.399999999999999</v>
      </c>
      <c r="I342" s="232"/>
      <c r="J342" s="230"/>
      <c r="K342" s="230"/>
      <c r="N342" s="229"/>
      <c r="O342" s="230"/>
    </row>
    <row r="343" spans="2:15" ht="16" x14ac:dyDescent="0.2">
      <c r="B343" s="190"/>
      <c r="C343" s="231"/>
      <c r="E343" s="230"/>
      <c r="F343" s="195"/>
      <c r="G343" s="230"/>
      <c r="H343" s="195"/>
      <c r="I343" s="232"/>
      <c r="J343" s="230"/>
      <c r="K343" s="230"/>
      <c r="N343" s="229"/>
      <c r="O343" s="230"/>
    </row>
    <row r="344" spans="2:15" ht="16" x14ac:dyDescent="0.2">
      <c r="B344" s="190">
        <v>10</v>
      </c>
      <c r="C344" s="231">
        <f>DATE(95,7,5)</f>
        <v>34885</v>
      </c>
      <c r="D344" s="185">
        <v>0.60416666666666663</v>
      </c>
      <c r="E344" s="230"/>
      <c r="F344" s="195"/>
      <c r="G344" s="230"/>
      <c r="H344" s="195"/>
      <c r="I344" s="232"/>
      <c r="J344" s="230">
        <v>7.5</v>
      </c>
      <c r="K344" s="230"/>
      <c r="N344" s="229"/>
      <c r="O344" s="230"/>
    </row>
    <row r="345" spans="2:15" ht="16" x14ac:dyDescent="0.2">
      <c r="B345" s="190"/>
      <c r="C345" s="231">
        <f t="shared" ref="C345:C346" si="2">DATE(95,7,5)</f>
        <v>34885</v>
      </c>
      <c r="D345" s="185">
        <v>0.60416666666666663</v>
      </c>
      <c r="E345" s="230">
        <v>1</v>
      </c>
      <c r="F345" s="195">
        <v>10</v>
      </c>
      <c r="G345" s="230"/>
      <c r="H345" s="195">
        <v>19.100000000000001</v>
      </c>
      <c r="I345" s="232"/>
      <c r="J345" s="230"/>
      <c r="K345" s="230"/>
      <c r="N345" s="229"/>
      <c r="O345" s="230"/>
    </row>
    <row r="346" spans="2:15" ht="16" x14ac:dyDescent="0.2">
      <c r="B346" s="190"/>
      <c r="C346" s="231">
        <f t="shared" si="2"/>
        <v>34885</v>
      </c>
      <c r="D346" s="185">
        <v>0.60416666666666663</v>
      </c>
      <c r="E346" s="230">
        <v>9</v>
      </c>
      <c r="F346" s="195">
        <v>10.199999999999999</v>
      </c>
      <c r="G346" s="230"/>
      <c r="H346" s="195">
        <v>16.5</v>
      </c>
      <c r="I346" s="232"/>
      <c r="J346" s="230"/>
      <c r="K346" s="230"/>
      <c r="N346" s="229"/>
      <c r="O346" s="230"/>
    </row>
    <row r="347" spans="2:15" ht="16" x14ac:dyDescent="0.2">
      <c r="B347" s="190"/>
      <c r="C347" s="231"/>
      <c r="E347" s="230"/>
      <c r="F347" s="195"/>
      <c r="G347" s="230"/>
      <c r="H347" s="195"/>
      <c r="I347" s="232"/>
      <c r="J347" s="230"/>
      <c r="K347" s="230"/>
      <c r="N347" s="229"/>
      <c r="O347" s="230"/>
    </row>
    <row r="348" spans="2:15" ht="16" x14ac:dyDescent="0.2">
      <c r="B348" s="190">
        <v>11.1</v>
      </c>
      <c r="C348" s="231">
        <f>DATE(95,6,13)</f>
        <v>34863</v>
      </c>
      <c r="D348" s="185">
        <v>0.47916666666666669</v>
      </c>
      <c r="E348" s="230"/>
      <c r="F348" s="195"/>
      <c r="G348" s="230"/>
      <c r="H348" s="195"/>
      <c r="I348" s="232"/>
      <c r="J348" s="230">
        <v>5.8</v>
      </c>
      <c r="K348" s="230"/>
      <c r="N348" s="229"/>
      <c r="O348" s="230"/>
    </row>
    <row r="349" spans="2:15" ht="16" x14ac:dyDescent="0.2">
      <c r="B349" s="190"/>
      <c r="C349" s="231">
        <f t="shared" ref="C349:C350" si="3">DATE(95,6,13)</f>
        <v>34863</v>
      </c>
      <c r="D349" s="185">
        <v>0.47916666666666669</v>
      </c>
      <c r="E349" s="230">
        <v>1</v>
      </c>
      <c r="F349" s="195">
        <v>10.9</v>
      </c>
      <c r="G349" s="195"/>
      <c r="H349" s="195">
        <v>15.4</v>
      </c>
      <c r="I349" s="232"/>
      <c r="J349" s="230"/>
      <c r="K349" s="230"/>
      <c r="N349" s="229"/>
      <c r="O349" s="230"/>
    </row>
    <row r="350" spans="2:15" ht="16" x14ac:dyDescent="0.2">
      <c r="B350" s="190"/>
      <c r="C350" s="231">
        <f t="shared" si="3"/>
        <v>34863</v>
      </c>
      <c r="D350" s="185">
        <v>0.47916666666666669</v>
      </c>
      <c r="E350" s="230">
        <v>10</v>
      </c>
      <c r="F350" s="221">
        <v>10.7</v>
      </c>
      <c r="G350" s="190"/>
      <c r="H350" s="191">
        <v>14.7</v>
      </c>
      <c r="N350" s="229"/>
      <c r="O350" s="230"/>
    </row>
    <row r="351" spans="2:15" ht="16" x14ac:dyDescent="0.2">
      <c r="B351" s="190"/>
      <c r="C351" s="231"/>
      <c r="E351" s="230"/>
      <c r="F351" s="195"/>
      <c r="G351" s="230"/>
      <c r="H351" s="195"/>
      <c r="I351" s="232"/>
      <c r="J351" s="230"/>
      <c r="K351" s="230"/>
      <c r="N351" s="229"/>
      <c r="O351" s="230"/>
    </row>
    <row r="352" spans="2:15" ht="16" x14ac:dyDescent="0.2">
      <c r="B352" s="190">
        <v>11.5</v>
      </c>
      <c r="C352" s="231">
        <f>DATE(95,5,24)</f>
        <v>34843</v>
      </c>
      <c r="D352" s="185">
        <v>0.58333333333333337</v>
      </c>
      <c r="E352" s="230"/>
      <c r="F352" s="195"/>
      <c r="G352" s="230"/>
      <c r="H352" s="195"/>
      <c r="I352" s="232"/>
      <c r="J352" s="230">
        <v>6.5</v>
      </c>
      <c r="K352" s="230"/>
      <c r="N352" s="229"/>
      <c r="O352" s="230"/>
    </row>
    <row r="353" spans="2:15" ht="16" x14ac:dyDescent="0.2">
      <c r="B353" s="190"/>
      <c r="C353" s="231">
        <f t="shared" ref="C353:C354" si="4">DATE(95,5,24)</f>
        <v>34843</v>
      </c>
      <c r="D353" s="185">
        <v>0.58333333333333337</v>
      </c>
      <c r="E353" s="230">
        <v>1</v>
      </c>
      <c r="F353" s="195">
        <v>11.8</v>
      </c>
      <c r="G353" s="195"/>
      <c r="H353" s="195">
        <v>12.6</v>
      </c>
      <c r="I353" s="232"/>
      <c r="J353" s="230"/>
      <c r="K353" s="230"/>
      <c r="N353" s="229"/>
      <c r="O353" s="230"/>
    </row>
    <row r="354" spans="2:15" ht="16" x14ac:dyDescent="0.2">
      <c r="B354" s="190"/>
      <c r="C354" s="231">
        <f t="shared" si="4"/>
        <v>34843</v>
      </c>
      <c r="D354" s="185">
        <v>0.58333333333333337</v>
      </c>
      <c r="E354" s="230">
        <v>10.5</v>
      </c>
      <c r="F354" s="195">
        <v>12.3</v>
      </c>
      <c r="G354" s="195"/>
      <c r="H354" s="195">
        <v>8.1999999999999993</v>
      </c>
      <c r="I354" s="232"/>
      <c r="J354" s="230"/>
      <c r="K354" s="230"/>
      <c r="N354" s="229"/>
      <c r="O354" s="230"/>
    </row>
    <row r="355" spans="2:15" ht="16" x14ac:dyDescent="0.2">
      <c r="B355" s="190"/>
      <c r="F355" s="221"/>
      <c r="G355" s="190"/>
      <c r="H355" s="191"/>
      <c r="K355" s="230"/>
      <c r="N355" s="229"/>
      <c r="O355" s="230"/>
    </row>
    <row r="356" spans="2:15" ht="16" x14ac:dyDescent="0.2">
      <c r="B356" s="190">
        <v>13.1</v>
      </c>
      <c r="C356" s="231">
        <f>DATE(95,5,4)</f>
        <v>34823</v>
      </c>
      <c r="D356" s="185">
        <v>0.5625</v>
      </c>
      <c r="E356" s="230"/>
      <c r="F356" s="195"/>
      <c r="G356" s="195"/>
      <c r="H356" s="195"/>
      <c r="I356" s="232"/>
      <c r="J356" s="230">
        <v>8.6999999999999993</v>
      </c>
      <c r="K356" s="230"/>
      <c r="N356" s="229"/>
      <c r="O356" s="230"/>
    </row>
    <row r="357" spans="2:15" ht="16" x14ac:dyDescent="0.2">
      <c r="B357" s="190"/>
      <c r="C357" s="231">
        <f t="shared" ref="C357:C358" si="5">DATE(95,5,4)</f>
        <v>34823</v>
      </c>
      <c r="D357" s="185">
        <v>0.5625</v>
      </c>
      <c r="E357" s="230">
        <v>1</v>
      </c>
      <c r="F357" s="195"/>
      <c r="G357" s="195"/>
      <c r="H357" s="195">
        <v>7.3</v>
      </c>
      <c r="I357" s="232"/>
      <c r="J357" s="230"/>
      <c r="K357" s="230"/>
      <c r="N357" s="229"/>
      <c r="O357" s="230"/>
    </row>
    <row r="358" spans="2:15" ht="16" x14ac:dyDescent="0.2">
      <c r="B358" s="190"/>
      <c r="C358" s="231">
        <f t="shared" si="5"/>
        <v>34823</v>
      </c>
      <c r="D358" s="185">
        <v>0.5625</v>
      </c>
      <c r="E358" s="230">
        <v>13</v>
      </c>
      <c r="F358" s="195"/>
      <c r="G358" s="195"/>
      <c r="H358" s="195">
        <v>5.6</v>
      </c>
      <c r="I358" s="232"/>
      <c r="J358" s="230"/>
      <c r="K358" s="230"/>
      <c r="N358" s="229"/>
      <c r="O358" s="230"/>
    </row>
    <row r="359" spans="2:15" ht="16" x14ac:dyDescent="0.2">
      <c r="B359" s="190"/>
      <c r="F359" s="221"/>
      <c r="G359" s="190"/>
      <c r="H359" s="191"/>
      <c r="K359" s="230"/>
      <c r="N359" s="229"/>
      <c r="O359" s="228"/>
    </row>
    <row r="360" spans="2:15" ht="16" x14ac:dyDescent="0.2">
      <c r="B360" s="190">
        <v>13.7</v>
      </c>
      <c r="C360" s="231">
        <f>DATE(95,4,12)</f>
        <v>34801</v>
      </c>
      <c r="D360" s="185">
        <v>0.625</v>
      </c>
      <c r="E360" s="230"/>
      <c r="G360" s="230"/>
      <c r="H360" s="195"/>
      <c r="I360" s="232"/>
      <c r="J360" s="230">
        <v>8.9</v>
      </c>
      <c r="K360" s="230"/>
      <c r="N360" s="229"/>
      <c r="O360" s="230"/>
    </row>
    <row r="361" spans="2:15" ht="16" x14ac:dyDescent="0.2">
      <c r="B361" s="190"/>
      <c r="C361" s="231">
        <f t="shared" ref="C361:C362" si="6">DATE(95,4,12)</f>
        <v>34801</v>
      </c>
      <c r="D361" s="185">
        <v>0.625</v>
      </c>
      <c r="E361" s="230">
        <v>1</v>
      </c>
      <c r="F361" s="195">
        <v>12.8</v>
      </c>
      <c r="G361" s="190"/>
      <c r="H361" s="191">
        <v>4.2</v>
      </c>
    </row>
    <row r="362" spans="2:15" ht="16" x14ac:dyDescent="0.2">
      <c r="B362" s="190"/>
      <c r="C362" s="231">
        <f t="shared" si="6"/>
        <v>34801</v>
      </c>
      <c r="D362" s="185">
        <v>0.625</v>
      </c>
      <c r="E362" s="230">
        <v>13</v>
      </c>
      <c r="F362" s="221">
        <v>12.3</v>
      </c>
      <c r="G362" s="190"/>
      <c r="H362" s="191">
        <v>4.0999999999999996</v>
      </c>
    </row>
    <row r="363" spans="2:15" ht="16" x14ac:dyDescent="0.2">
      <c r="B363" s="190"/>
      <c r="C363" s="231"/>
      <c r="D363" s="185"/>
      <c r="E363" s="230"/>
      <c r="F363" s="221"/>
      <c r="G363" s="190"/>
      <c r="H363" s="191"/>
    </row>
    <row r="364" spans="2:15" ht="16" x14ac:dyDescent="0.2">
      <c r="B364" s="190">
        <v>13</v>
      </c>
      <c r="C364" s="231">
        <f>DATE(95,3,23)</f>
        <v>34781</v>
      </c>
      <c r="E364" s="230"/>
      <c r="F364" s="195"/>
      <c r="G364" s="230"/>
      <c r="H364" s="195"/>
      <c r="I364" s="232"/>
      <c r="J364" s="230">
        <v>9</v>
      </c>
      <c r="O364" s="230"/>
    </row>
    <row r="365" spans="2:15" ht="16" x14ac:dyDescent="0.2">
      <c r="B365" s="190"/>
      <c r="E365" t="s">
        <v>603</v>
      </c>
      <c r="F365" s="221"/>
      <c r="G365" s="190"/>
      <c r="H365" s="191"/>
      <c r="O365" s="230"/>
    </row>
    <row r="366" spans="2:15" ht="16" x14ac:dyDescent="0.2">
      <c r="B366" s="190"/>
      <c r="F366" s="221"/>
      <c r="G366" s="190"/>
      <c r="H366" s="191"/>
      <c r="N366" s="229"/>
      <c r="O366" s="230"/>
    </row>
    <row r="367" spans="2:15" ht="16" x14ac:dyDescent="0.2">
      <c r="B367" s="190">
        <v>11.8</v>
      </c>
      <c r="C367" s="231">
        <f>DATE(95,2,27)</f>
        <v>34757</v>
      </c>
      <c r="D367" s="185">
        <v>0.58333333333333337</v>
      </c>
      <c r="E367" s="230"/>
      <c r="F367" s="195"/>
      <c r="G367" s="230"/>
      <c r="H367" s="195"/>
      <c r="I367" s="232"/>
      <c r="J367" s="230">
        <v>11.5</v>
      </c>
      <c r="K367" s="230"/>
      <c r="N367" s="229"/>
      <c r="O367" s="230"/>
    </row>
    <row r="368" spans="2:15" ht="16" x14ac:dyDescent="0.2">
      <c r="B368" s="190"/>
      <c r="C368" s="231">
        <f t="shared" ref="C368:C369" si="7">DATE(95,2,27)</f>
        <v>34757</v>
      </c>
      <c r="E368">
        <v>1</v>
      </c>
      <c r="F368" s="221">
        <v>12.1</v>
      </c>
      <c r="G368" s="190"/>
      <c r="H368" s="190">
        <v>2.9</v>
      </c>
      <c r="K368" s="230"/>
      <c r="N368" s="229"/>
      <c r="O368" s="230"/>
    </row>
    <row r="369" spans="2:15" ht="16" x14ac:dyDescent="0.2">
      <c r="B369" s="190"/>
      <c r="C369" s="231">
        <f t="shared" si="7"/>
        <v>34757</v>
      </c>
      <c r="E369">
        <v>10.8</v>
      </c>
      <c r="F369" s="221">
        <v>11.6</v>
      </c>
      <c r="G369" s="190"/>
      <c r="H369" s="190">
        <v>3</v>
      </c>
      <c r="N369" s="229"/>
      <c r="O369" s="230"/>
    </row>
    <row r="370" spans="2:15" ht="16" x14ac:dyDescent="0.2">
      <c r="B370" s="190"/>
      <c r="F370" s="221"/>
      <c r="G370" s="190"/>
      <c r="H370" s="191"/>
      <c r="N370" s="229"/>
      <c r="O370" s="230"/>
    </row>
    <row r="371" spans="2:15" ht="16" x14ac:dyDescent="0.2">
      <c r="B371" s="190">
        <v>13.7</v>
      </c>
      <c r="C371" s="231">
        <f>DATE(94,10,5)</f>
        <v>34612</v>
      </c>
      <c r="D371" s="185">
        <v>0.5</v>
      </c>
      <c r="E371" s="230"/>
      <c r="F371" s="195"/>
      <c r="G371" s="230"/>
      <c r="H371" s="195"/>
      <c r="I371" s="232"/>
      <c r="J371" s="230">
        <v>12.3</v>
      </c>
      <c r="K371" s="230"/>
      <c r="N371" s="229"/>
      <c r="O371" s="230"/>
    </row>
    <row r="372" spans="2:15" ht="16" x14ac:dyDescent="0.2">
      <c r="B372" s="190"/>
      <c r="C372" s="231">
        <f t="shared" ref="C372:C373" si="8">DATE(94,10,5)</f>
        <v>34612</v>
      </c>
      <c r="D372" s="185">
        <v>0.5</v>
      </c>
      <c r="E372" s="230">
        <v>1</v>
      </c>
      <c r="F372" s="195">
        <v>9.6</v>
      </c>
      <c r="G372" s="230"/>
      <c r="H372" s="195">
        <v>16.399999999999999</v>
      </c>
      <c r="I372" s="232"/>
      <c r="J372" s="230"/>
      <c r="K372" s="230"/>
      <c r="N372" s="229"/>
      <c r="O372" s="230"/>
    </row>
    <row r="373" spans="2:15" ht="16" x14ac:dyDescent="0.2">
      <c r="B373" s="190"/>
      <c r="C373" s="231">
        <f t="shared" si="8"/>
        <v>34612</v>
      </c>
      <c r="D373" s="185">
        <v>0.5</v>
      </c>
      <c r="E373" s="230">
        <v>13</v>
      </c>
      <c r="F373" s="195">
        <v>9.1999999999999993</v>
      </c>
      <c r="G373" s="230"/>
      <c r="H373" s="195">
        <v>16.2</v>
      </c>
      <c r="I373" s="232"/>
      <c r="J373" s="230"/>
      <c r="K373" s="230"/>
      <c r="N373" s="229"/>
      <c r="O373" s="230"/>
    </row>
    <row r="374" spans="2:15" ht="16" x14ac:dyDescent="0.2">
      <c r="B374" s="190"/>
      <c r="E374" s="230"/>
      <c r="F374" s="195"/>
      <c r="G374" s="230"/>
      <c r="H374" s="195"/>
      <c r="I374" s="232"/>
      <c r="J374" s="230"/>
      <c r="K374" s="230"/>
      <c r="N374" s="229"/>
      <c r="O374" s="230"/>
    </row>
    <row r="375" spans="2:15" ht="16" x14ac:dyDescent="0.2">
      <c r="B375" s="190">
        <v>15</v>
      </c>
      <c r="C375" s="231">
        <f>DATE(94,9,8)</f>
        <v>34585</v>
      </c>
      <c r="D375" s="185">
        <v>0.35416666666666669</v>
      </c>
      <c r="E375" s="230"/>
      <c r="F375" s="195"/>
      <c r="G375" s="230"/>
      <c r="H375" s="195"/>
      <c r="I375" s="232"/>
      <c r="J375" s="230">
        <v>12.5</v>
      </c>
      <c r="K375" s="230"/>
    </row>
    <row r="376" spans="2:15" ht="16" x14ac:dyDescent="0.2">
      <c r="B376" s="190"/>
      <c r="C376" s="231">
        <f t="shared" ref="C376:C377" si="9">DATE(94,9,8)</f>
        <v>34585</v>
      </c>
      <c r="D376" s="185">
        <v>0.35416666666666669</v>
      </c>
      <c r="E376" s="230">
        <v>1</v>
      </c>
      <c r="F376" s="195">
        <v>8.8000000000000007</v>
      </c>
      <c r="G376" s="230"/>
      <c r="H376" s="195">
        <v>19.2</v>
      </c>
      <c r="I376" s="232"/>
      <c r="J376" s="230"/>
      <c r="K376" s="230"/>
    </row>
    <row r="377" spans="2:15" ht="16" x14ac:dyDescent="0.2">
      <c r="B377" s="190"/>
      <c r="C377" s="231">
        <f t="shared" si="9"/>
        <v>34585</v>
      </c>
      <c r="D377" s="185">
        <v>0.35416666666666669</v>
      </c>
      <c r="E377" s="230">
        <v>14</v>
      </c>
      <c r="F377" s="195">
        <v>11.1</v>
      </c>
      <c r="G377" s="230"/>
      <c r="H377" s="195">
        <v>11.1</v>
      </c>
      <c r="I377" s="232"/>
      <c r="J377" s="230"/>
      <c r="K377" s="230"/>
    </row>
    <row r="378" spans="2:15" ht="16" x14ac:dyDescent="0.2">
      <c r="B378" s="190"/>
      <c r="F378" s="221"/>
      <c r="G378" s="190"/>
      <c r="H378" s="191"/>
      <c r="K378" s="230"/>
      <c r="N378" s="233"/>
      <c r="O378" s="230"/>
    </row>
    <row r="379" spans="2:15" ht="16" x14ac:dyDescent="0.2">
      <c r="B379" s="190">
        <v>16.8</v>
      </c>
      <c r="C379" s="231">
        <f>DATE(94,8,8)</f>
        <v>34554</v>
      </c>
      <c r="D379" s="185">
        <v>0.41666666666666669</v>
      </c>
      <c r="E379" s="230"/>
      <c r="F379" s="195"/>
      <c r="G379" s="230"/>
      <c r="H379" s="195"/>
      <c r="I379" s="232"/>
      <c r="J379" s="230">
        <v>10.1</v>
      </c>
      <c r="K379" s="230"/>
      <c r="N379" s="229"/>
      <c r="O379" s="230"/>
    </row>
    <row r="380" spans="2:15" ht="16" x14ac:dyDescent="0.2">
      <c r="B380" s="190"/>
      <c r="C380" s="231">
        <f t="shared" ref="C380:C381" si="10">DATE(94,8,8)</f>
        <v>34554</v>
      </c>
      <c r="D380" s="185">
        <v>0.41666666666666669</v>
      </c>
      <c r="E380" s="230">
        <v>1</v>
      </c>
      <c r="F380" s="195">
        <v>8.4</v>
      </c>
      <c r="G380" s="230"/>
      <c r="H380" s="195">
        <v>21.6</v>
      </c>
      <c r="I380" s="232"/>
      <c r="J380" s="230"/>
      <c r="K380" s="230"/>
      <c r="N380" s="229"/>
      <c r="O380" s="230"/>
    </row>
    <row r="381" spans="2:15" ht="16" x14ac:dyDescent="0.2">
      <c r="B381" s="190"/>
      <c r="C381" s="231">
        <f t="shared" si="10"/>
        <v>34554</v>
      </c>
      <c r="D381" s="185">
        <v>0.41666666666666669</v>
      </c>
      <c r="E381" s="230">
        <v>10</v>
      </c>
      <c r="F381" s="195">
        <v>9.6</v>
      </c>
      <c r="G381" s="230"/>
      <c r="H381" s="195">
        <v>17</v>
      </c>
      <c r="I381" s="232"/>
      <c r="J381" s="230"/>
      <c r="K381" s="230"/>
      <c r="N381" s="229"/>
      <c r="O381" s="230"/>
    </row>
    <row r="382" spans="2:15" ht="16" x14ac:dyDescent="0.2">
      <c r="B382" s="190"/>
      <c r="C382" s="231">
        <f>DATE(94,8,8)</f>
        <v>34554</v>
      </c>
      <c r="D382" s="185">
        <v>0.41666666666666669</v>
      </c>
      <c r="E382" s="230">
        <v>16</v>
      </c>
      <c r="F382" s="195">
        <v>11.4</v>
      </c>
      <c r="G382" s="230"/>
      <c r="H382" s="195">
        <v>9.6</v>
      </c>
      <c r="I382" s="232"/>
      <c r="J382" s="230"/>
      <c r="K382" s="230"/>
      <c r="N382" s="229"/>
      <c r="O382" s="230"/>
    </row>
    <row r="383" spans="2:15" ht="16" x14ac:dyDescent="0.2">
      <c r="B383" s="190"/>
      <c r="C383" s="231"/>
      <c r="E383" s="230"/>
      <c r="F383" s="195"/>
      <c r="G383" s="230"/>
      <c r="H383" s="195"/>
      <c r="I383" s="232"/>
      <c r="J383" s="230"/>
      <c r="K383" s="230"/>
      <c r="N383" s="229"/>
      <c r="O383" s="230"/>
    </row>
    <row r="384" spans="2:15" ht="16" x14ac:dyDescent="0.2">
      <c r="B384" s="190"/>
      <c r="C384" s="231">
        <v>34535</v>
      </c>
      <c r="D384" s="185">
        <v>0.60416666666666663</v>
      </c>
      <c r="E384" s="230"/>
      <c r="F384" s="195"/>
      <c r="G384" s="230"/>
      <c r="H384" s="195"/>
      <c r="I384" s="232"/>
      <c r="J384" s="230"/>
      <c r="K384" s="230"/>
      <c r="N384" s="229"/>
      <c r="O384" s="230"/>
    </row>
    <row r="385" spans="2:15" ht="16" x14ac:dyDescent="0.2">
      <c r="B385" s="190"/>
      <c r="C385" s="231">
        <v>34535</v>
      </c>
      <c r="D385" s="185">
        <v>0.60416666666666663</v>
      </c>
      <c r="E385" s="230">
        <v>1</v>
      </c>
      <c r="F385" s="195">
        <v>9.1999999999999993</v>
      </c>
      <c r="G385" s="230"/>
      <c r="H385" s="195">
        <v>24.1</v>
      </c>
      <c r="I385" s="232"/>
      <c r="J385" s="230"/>
      <c r="K385" s="230"/>
      <c r="N385" s="229"/>
      <c r="O385" s="230"/>
    </row>
    <row r="386" spans="2:15" ht="16" x14ac:dyDescent="0.2">
      <c r="B386" s="190"/>
      <c r="F386" s="221"/>
      <c r="G386" s="190"/>
      <c r="H386" s="191"/>
      <c r="K386" s="230"/>
      <c r="N386" s="229"/>
      <c r="O386" s="228"/>
    </row>
    <row r="387" spans="2:15" ht="16" x14ac:dyDescent="0.2">
      <c r="B387" s="190">
        <v>11</v>
      </c>
      <c r="C387" s="231">
        <f>DATE(94,7,12)</f>
        <v>34527</v>
      </c>
      <c r="D387" s="185">
        <v>0.66666666666666663</v>
      </c>
      <c r="E387" s="230"/>
      <c r="F387" s="195"/>
      <c r="G387" s="230"/>
      <c r="H387" s="195"/>
      <c r="I387" s="232"/>
      <c r="J387" s="230">
        <v>10.1</v>
      </c>
      <c r="K387" s="230"/>
      <c r="N387" s="229"/>
      <c r="O387" s="230"/>
    </row>
    <row r="388" spans="2:15" ht="16" x14ac:dyDescent="0.2">
      <c r="B388" s="190"/>
      <c r="C388" s="231">
        <f t="shared" ref="C388:C389" si="11">DATE(94,7,12)</f>
        <v>34527</v>
      </c>
      <c r="D388" s="185">
        <v>0.66666666666666663</v>
      </c>
      <c r="E388" s="230">
        <v>1</v>
      </c>
      <c r="F388" s="195">
        <v>9.3000000000000007</v>
      </c>
      <c r="G388" s="230"/>
      <c r="H388" s="195">
        <v>21.7</v>
      </c>
      <c r="I388" s="232"/>
      <c r="J388" s="230"/>
      <c r="K388" s="230"/>
      <c r="N388" s="229"/>
      <c r="O388" s="230"/>
    </row>
    <row r="389" spans="2:15" ht="16" x14ac:dyDescent="0.2">
      <c r="B389" s="190"/>
      <c r="C389" s="231">
        <f t="shared" si="11"/>
        <v>34527</v>
      </c>
      <c r="D389" s="185">
        <v>0.66666666666666663</v>
      </c>
      <c r="E389" s="230">
        <v>10</v>
      </c>
      <c r="F389" s="195">
        <v>10.4</v>
      </c>
      <c r="G389" s="230"/>
      <c r="H389" s="195">
        <v>13.8</v>
      </c>
      <c r="I389" s="232"/>
      <c r="J389" s="230"/>
      <c r="K389" s="230"/>
      <c r="N389" s="229"/>
      <c r="O389" s="230"/>
    </row>
    <row r="390" spans="2:15" ht="16" x14ac:dyDescent="0.2">
      <c r="B390" s="190"/>
      <c r="C390" s="231"/>
      <c r="E390" s="230"/>
      <c r="F390" s="195"/>
      <c r="G390" s="230"/>
      <c r="H390" s="195"/>
      <c r="I390" s="232"/>
      <c r="J390" s="230"/>
      <c r="K390" s="230"/>
      <c r="N390" s="233"/>
      <c r="O390" s="230"/>
    </row>
    <row r="391" spans="2:15" ht="16" x14ac:dyDescent="0.2">
      <c r="B391" s="190">
        <v>9.3000000000000007</v>
      </c>
      <c r="C391" s="231">
        <f>DATE(94,6,22)</f>
        <v>34507</v>
      </c>
      <c r="D391" s="185">
        <v>0.58333333333333337</v>
      </c>
      <c r="E391" s="230"/>
      <c r="F391" s="195"/>
      <c r="G391" s="230"/>
      <c r="H391" s="195"/>
      <c r="I391" s="232"/>
      <c r="J391" s="230">
        <v>8</v>
      </c>
      <c r="K391" s="230"/>
      <c r="N391" s="233"/>
      <c r="O391" s="230"/>
    </row>
    <row r="392" spans="2:15" ht="16" x14ac:dyDescent="0.2">
      <c r="B392" s="190"/>
      <c r="C392" s="231">
        <f t="shared" ref="C392:C393" si="12">DATE(94,6,22)</f>
        <v>34507</v>
      </c>
      <c r="D392" s="185">
        <v>0.58333333333333337</v>
      </c>
      <c r="E392" s="230">
        <v>1</v>
      </c>
      <c r="F392" s="195">
        <v>10</v>
      </c>
      <c r="G392" s="230"/>
      <c r="H392" s="196">
        <v>19.8</v>
      </c>
      <c r="J392" s="230"/>
      <c r="K392" s="230"/>
      <c r="N392" s="233"/>
      <c r="O392" s="230"/>
    </row>
    <row r="393" spans="2:15" ht="16" x14ac:dyDescent="0.2">
      <c r="B393" s="190"/>
      <c r="C393" s="231">
        <f t="shared" si="12"/>
        <v>34507</v>
      </c>
      <c r="D393" s="185">
        <v>0.58333333333333337</v>
      </c>
      <c r="E393" s="230">
        <v>8.3000000000000007</v>
      </c>
      <c r="F393" s="195">
        <v>10.4</v>
      </c>
      <c r="G393" s="230"/>
      <c r="H393" s="196">
        <v>13.7</v>
      </c>
      <c r="J393" s="230"/>
      <c r="K393" s="230"/>
      <c r="N393" s="233"/>
      <c r="O393" s="230"/>
    </row>
    <row r="394" spans="2:15" ht="16" x14ac:dyDescent="0.2">
      <c r="B394" s="190"/>
      <c r="C394" s="231"/>
      <c r="E394" s="230"/>
      <c r="F394" s="195"/>
      <c r="G394" s="230"/>
      <c r="H394" s="195"/>
      <c r="I394" s="232"/>
      <c r="J394" s="230"/>
      <c r="K394" s="230"/>
      <c r="N394" s="233"/>
      <c r="O394" s="230"/>
    </row>
    <row r="395" spans="2:15" ht="16" x14ac:dyDescent="0.2">
      <c r="B395" s="190">
        <v>11.7</v>
      </c>
      <c r="C395" s="231">
        <v>34487</v>
      </c>
      <c r="D395" s="185">
        <v>0.625</v>
      </c>
      <c r="E395" s="230"/>
      <c r="F395" s="195"/>
      <c r="G395" s="230"/>
      <c r="H395" s="195"/>
      <c r="I395" s="232"/>
      <c r="J395" s="230">
        <v>8.1999999999999993</v>
      </c>
      <c r="K395" s="230"/>
      <c r="N395" s="233"/>
      <c r="O395" s="230"/>
    </row>
    <row r="396" spans="2:15" ht="16" x14ac:dyDescent="0.2">
      <c r="B396" s="190"/>
      <c r="C396" s="231">
        <v>34487</v>
      </c>
      <c r="D396" s="185">
        <v>0.625</v>
      </c>
      <c r="E396" s="230">
        <v>1</v>
      </c>
      <c r="F396" s="195">
        <v>10.8</v>
      </c>
      <c r="G396" s="230"/>
      <c r="H396" s="195">
        <v>14.6</v>
      </c>
      <c r="I396" s="232"/>
      <c r="J396" s="230"/>
      <c r="K396" s="230"/>
      <c r="N396" s="233"/>
      <c r="O396" s="230"/>
    </row>
    <row r="397" spans="2:15" ht="16" x14ac:dyDescent="0.2">
      <c r="B397" s="190"/>
      <c r="C397" s="231">
        <v>34487</v>
      </c>
      <c r="D397" s="185">
        <v>0.625</v>
      </c>
      <c r="E397" s="230">
        <v>10.7</v>
      </c>
      <c r="F397" s="195">
        <v>10.8</v>
      </c>
      <c r="G397" s="230"/>
      <c r="H397" s="195">
        <v>11.7</v>
      </c>
      <c r="I397" s="232"/>
      <c r="J397" s="230"/>
      <c r="K397" s="230"/>
      <c r="N397" s="233"/>
      <c r="O397" s="230"/>
    </row>
    <row r="398" spans="2:15" ht="16" x14ac:dyDescent="0.2">
      <c r="B398" s="190"/>
      <c r="C398" s="231"/>
      <c r="E398" s="230"/>
      <c r="F398" s="195"/>
      <c r="G398" s="230"/>
      <c r="H398" s="195"/>
      <c r="I398" s="232"/>
      <c r="J398" s="230"/>
      <c r="K398" s="230"/>
      <c r="N398" s="233"/>
      <c r="O398" s="230"/>
    </row>
    <row r="399" spans="2:15" ht="16" x14ac:dyDescent="0.2">
      <c r="B399" s="190">
        <v>16.899999999999999</v>
      </c>
      <c r="C399" s="231">
        <f>DATE(94,5,19)</f>
        <v>34473</v>
      </c>
      <c r="D399" s="185">
        <v>0.375</v>
      </c>
      <c r="E399" s="230"/>
      <c r="F399" s="195"/>
      <c r="G399" s="230"/>
      <c r="H399" s="195"/>
      <c r="I399" s="232"/>
      <c r="J399" s="230">
        <v>7.9</v>
      </c>
      <c r="K399" s="230"/>
      <c r="N399" s="229"/>
      <c r="O399" s="230"/>
    </row>
    <row r="400" spans="2:15" ht="16" x14ac:dyDescent="0.2">
      <c r="B400" s="190"/>
      <c r="C400" s="231">
        <f t="shared" ref="C400:C401" si="13">DATE(94,5,19)</f>
        <v>34473</v>
      </c>
      <c r="D400" s="185">
        <v>0.375</v>
      </c>
      <c r="E400" s="230">
        <v>1</v>
      </c>
      <c r="F400" s="195">
        <v>11.9</v>
      </c>
      <c r="G400" s="230"/>
      <c r="H400" s="195">
        <v>9.6</v>
      </c>
      <c r="I400" s="232"/>
      <c r="J400" s="230"/>
      <c r="K400" s="230"/>
      <c r="N400" s="229"/>
      <c r="O400" s="230"/>
    </row>
    <row r="401" spans="2:15" ht="16" x14ac:dyDescent="0.2">
      <c r="B401" s="190"/>
      <c r="C401" s="231">
        <f t="shared" si="13"/>
        <v>34473</v>
      </c>
      <c r="D401" s="185">
        <v>0.375</v>
      </c>
      <c r="E401" s="230">
        <v>15.9</v>
      </c>
      <c r="F401" s="195">
        <v>11.5</v>
      </c>
      <c r="G401" s="230"/>
      <c r="H401" s="195">
        <v>5.4</v>
      </c>
      <c r="I401" s="232"/>
      <c r="J401" s="230"/>
      <c r="K401" s="230"/>
      <c r="N401" s="229"/>
      <c r="O401" s="230"/>
    </row>
    <row r="402" spans="2:15" ht="16" x14ac:dyDescent="0.2">
      <c r="B402" s="190"/>
      <c r="C402" s="231"/>
      <c r="E402" s="230"/>
      <c r="F402" s="195"/>
      <c r="G402" s="230"/>
      <c r="H402" s="195"/>
      <c r="I402" s="232"/>
      <c r="J402" s="230"/>
      <c r="K402" s="230"/>
      <c r="N402" s="233"/>
      <c r="O402" s="230"/>
    </row>
    <row r="403" spans="2:15" ht="16" x14ac:dyDescent="0.2">
      <c r="B403" s="190">
        <v>18.5</v>
      </c>
      <c r="C403" s="231">
        <f>DATE(94,4,27)</f>
        <v>34451</v>
      </c>
      <c r="D403" s="185">
        <v>0.45833333333333331</v>
      </c>
      <c r="E403" s="230"/>
      <c r="F403" s="195"/>
      <c r="G403" s="230"/>
      <c r="H403" s="191"/>
      <c r="I403" s="232"/>
      <c r="J403" s="230">
        <v>11.6</v>
      </c>
      <c r="K403" s="230"/>
      <c r="N403" s="229"/>
      <c r="O403" s="230"/>
    </row>
    <row r="404" spans="2:15" ht="16" x14ac:dyDescent="0.2">
      <c r="B404" s="190"/>
      <c r="C404" s="231">
        <f t="shared" ref="C404:C405" si="14">DATE(94,4,27)</f>
        <v>34451</v>
      </c>
      <c r="D404" s="185">
        <v>0.45833333333333331</v>
      </c>
      <c r="E404" s="230">
        <v>1</v>
      </c>
      <c r="F404" s="195">
        <v>12.1</v>
      </c>
      <c r="G404" s="230"/>
      <c r="H404" s="195">
        <v>5.0999999999999996</v>
      </c>
      <c r="I404" s="232"/>
      <c r="J404" s="230"/>
      <c r="K404" s="230"/>
      <c r="N404" s="229"/>
      <c r="O404" s="230"/>
    </row>
    <row r="405" spans="2:15" ht="16" x14ac:dyDescent="0.2">
      <c r="B405" s="190"/>
      <c r="C405" s="231">
        <f t="shared" si="14"/>
        <v>34451</v>
      </c>
      <c r="D405" s="185">
        <v>0.45833333333333331</v>
      </c>
      <c r="E405" s="230">
        <v>18</v>
      </c>
      <c r="F405" s="195">
        <v>11.8</v>
      </c>
      <c r="G405" s="230"/>
      <c r="H405" s="195">
        <v>4.7</v>
      </c>
      <c r="I405" s="232"/>
      <c r="J405" s="230"/>
      <c r="K405" s="230"/>
      <c r="N405" s="229"/>
      <c r="O405" s="230"/>
    </row>
    <row r="406" spans="2:15" ht="16" x14ac:dyDescent="0.2">
      <c r="B406" s="190"/>
      <c r="C406" s="231"/>
      <c r="E406" s="230"/>
      <c r="F406" s="195"/>
      <c r="G406" s="230"/>
      <c r="H406" s="195"/>
      <c r="I406" s="232"/>
      <c r="J406" s="230"/>
      <c r="K406" s="230"/>
      <c r="N406" s="229"/>
      <c r="O406" s="230"/>
    </row>
    <row r="407" spans="2:15" ht="16" x14ac:dyDescent="0.2">
      <c r="B407" s="190">
        <v>21</v>
      </c>
      <c r="C407" s="231">
        <f>DATE(94,3,30)</f>
        <v>34423</v>
      </c>
      <c r="D407" s="185">
        <v>0.41666666666666669</v>
      </c>
      <c r="E407" s="230"/>
      <c r="F407" s="195"/>
      <c r="G407" s="230"/>
      <c r="H407" s="195"/>
      <c r="I407" s="232"/>
      <c r="J407" s="230">
        <v>10.7</v>
      </c>
      <c r="K407" s="230"/>
      <c r="N407" s="229"/>
      <c r="O407" s="230"/>
    </row>
    <row r="408" spans="2:15" ht="16" x14ac:dyDescent="0.2">
      <c r="B408" s="190"/>
      <c r="C408" s="231">
        <f t="shared" ref="C408:C409" si="15">DATE(94,3,30)</f>
        <v>34423</v>
      </c>
      <c r="D408" s="185">
        <v>0.41666666666666669</v>
      </c>
      <c r="E408">
        <v>1</v>
      </c>
      <c r="F408" s="195">
        <v>12.2</v>
      </c>
      <c r="G408" s="230"/>
      <c r="H408" s="195">
        <v>3.9</v>
      </c>
      <c r="I408" s="232"/>
      <c r="J408" s="230"/>
      <c r="K408" s="230"/>
      <c r="N408" s="229"/>
      <c r="O408" s="230"/>
    </row>
    <row r="409" spans="2:15" ht="16" x14ac:dyDescent="0.2">
      <c r="B409" s="190"/>
      <c r="C409" s="231">
        <f t="shared" si="15"/>
        <v>34423</v>
      </c>
      <c r="D409" s="185">
        <v>0.41666666666666669</v>
      </c>
      <c r="E409">
        <v>19</v>
      </c>
      <c r="F409" s="195">
        <v>11.7</v>
      </c>
      <c r="G409" s="230"/>
      <c r="H409" s="195">
        <v>3.9</v>
      </c>
      <c r="I409" s="232"/>
      <c r="J409" s="230"/>
      <c r="K409" s="230"/>
      <c r="N409" s="229"/>
      <c r="O409" s="230"/>
    </row>
    <row r="410" spans="2:15" ht="16" x14ac:dyDescent="0.2">
      <c r="B410" s="190"/>
      <c r="F410" s="221"/>
      <c r="G410" s="190"/>
      <c r="H410" s="191"/>
    </row>
    <row r="411" spans="2:15" ht="16" x14ac:dyDescent="0.2">
      <c r="B411" s="190">
        <v>20</v>
      </c>
      <c r="C411" s="231">
        <f>DATE(93,10,12)</f>
        <v>34254</v>
      </c>
      <c r="D411" s="185">
        <v>0.55555555555555558</v>
      </c>
      <c r="E411" s="229"/>
      <c r="F411" s="195"/>
      <c r="G411" s="230"/>
      <c r="H411" s="195"/>
      <c r="I411" s="232"/>
      <c r="J411" s="230">
        <v>14</v>
      </c>
      <c r="K411" s="230"/>
      <c r="N411" s="229"/>
      <c r="O411" s="230"/>
    </row>
    <row r="412" spans="2:15" ht="16" x14ac:dyDescent="0.2">
      <c r="B412" s="190"/>
      <c r="C412" s="231">
        <f t="shared" ref="C412:C414" si="16">DATE(93,10,12)</f>
        <v>34254</v>
      </c>
      <c r="D412" s="185">
        <v>0.55555555555555558</v>
      </c>
      <c r="E412" s="229">
        <v>1</v>
      </c>
      <c r="F412" s="195">
        <v>9.18</v>
      </c>
      <c r="G412" s="230"/>
      <c r="H412" s="191">
        <v>14.94</v>
      </c>
      <c r="I412" s="232"/>
      <c r="J412" s="230"/>
      <c r="K412" s="230"/>
      <c r="N412" s="229"/>
      <c r="O412" s="230"/>
    </row>
    <row r="413" spans="2:15" ht="16" x14ac:dyDescent="0.2">
      <c r="B413" s="190"/>
      <c r="C413" s="231">
        <f t="shared" si="16"/>
        <v>34254</v>
      </c>
      <c r="D413" s="185">
        <v>0.55555555555555558</v>
      </c>
      <c r="E413" s="229">
        <v>14</v>
      </c>
      <c r="F413" s="195">
        <v>9.68</v>
      </c>
      <c r="G413" s="234"/>
      <c r="H413" s="191">
        <v>12.68</v>
      </c>
      <c r="I413" s="235"/>
      <c r="J413" s="234"/>
      <c r="K413" s="234"/>
      <c r="N413" s="236"/>
      <c r="O413" s="234"/>
    </row>
    <row r="414" spans="2:15" ht="16" x14ac:dyDescent="0.2">
      <c r="B414" s="190"/>
      <c r="C414" s="231">
        <f t="shared" si="16"/>
        <v>34254</v>
      </c>
      <c r="D414" s="185">
        <v>0.55555555555555558</v>
      </c>
      <c r="E414" s="229">
        <v>19</v>
      </c>
      <c r="F414" s="191">
        <v>10.28</v>
      </c>
      <c r="G414" s="190"/>
      <c r="H414" s="191">
        <v>7.63</v>
      </c>
    </row>
    <row r="415" spans="2:15" ht="16" x14ac:dyDescent="0.2">
      <c r="B415" s="190"/>
      <c r="F415" s="221"/>
      <c r="G415" s="190"/>
      <c r="H415" s="191"/>
    </row>
    <row r="416" spans="2:15" ht="16" x14ac:dyDescent="0.2">
      <c r="B416" s="190">
        <v>16</v>
      </c>
      <c r="C416" s="231">
        <f>DATE(93,9,14)</f>
        <v>34226</v>
      </c>
      <c r="D416" s="185">
        <v>0.65277777777777779</v>
      </c>
      <c r="E416" s="230"/>
      <c r="F416" s="195"/>
      <c r="G416" s="230"/>
      <c r="H416" s="195"/>
      <c r="I416" s="232"/>
      <c r="J416" s="230">
        <v>11.5</v>
      </c>
      <c r="K416" s="230"/>
      <c r="N416" s="229"/>
      <c r="O416" s="230"/>
    </row>
    <row r="417" spans="2:15" ht="16" x14ac:dyDescent="0.2">
      <c r="B417" s="190"/>
      <c r="C417" s="231">
        <f t="shared" ref="C417:C420" si="17">DATE(93,9,14)</f>
        <v>34226</v>
      </c>
      <c r="D417" s="185">
        <v>0.65277777777777779</v>
      </c>
      <c r="E417" s="229">
        <v>0</v>
      </c>
      <c r="F417" s="221">
        <v>8.4</v>
      </c>
      <c r="G417" s="190"/>
      <c r="H417" s="191">
        <v>18</v>
      </c>
    </row>
    <row r="418" spans="2:15" ht="16" x14ac:dyDescent="0.2">
      <c r="B418" s="190"/>
      <c r="C418" s="231">
        <f t="shared" si="17"/>
        <v>34226</v>
      </c>
      <c r="D418" s="185">
        <v>0.65277777777777779</v>
      </c>
      <c r="E418" s="229">
        <v>10</v>
      </c>
      <c r="F418" s="221">
        <v>8.6999999999999993</v>
      </c>
      <c r="G418" s="190"/>
      <c r="H418" s="191">
        <v>17.3</v>
      </c>
    </row>
    <row r="419" spans="2:15" ht="16" x14ac:dyDescent="0.2">
      <c r="B419" s="190"/>
      <c r="C419" s="231">
        <f t="shared" si="17"/>
        <v>34226</v>
      </c>
      <c r="D419" s="185">
        <v>0.65277777777777779</v>
      </c>
      <c r="E419" s="229">
        <v>12</v>
      </c>
      <c r="F419" s="221">
        <v>9.6</v>
      </c>
      <c r="G419" s="190"/>
      <c r="H419" s="191">
        <v>13.6</v>
      </c>
    </row>
    <row r="420" spans="2:15" ht="16" x14ac:dyDescent="0.2">
      <c r="B420" s="190"/>
      <c r="C420" s="231">
        <f t="shared" si="17"/>
        <v>34226</v>
      </c>
      <c r="D420" s="185">
        <v>0.65277777777777779</v>
      </c>
      <c r="E420" s="229">
        <v>15</v>
      </c>
      <c r="F420" s="221">
        <v>9.9</v>
      </c>
      <c r="G420" s="190"/>
      <c r="H420" s="191">
        <v>10.1</v>
      </c>
    </row>
    <row r="421" spans="2:15" ht="16" x14ac:dyDescent="0.2">
      <c r="B421" s="190"/>
      <c r="F421" s="221"/>
      <c r="G421" s="190"/>
      <c r="H421" s="191"/>
    </row>
    <row r="422" spans="2:15" ht="16" x14ac:dyDescent="0.2">
      <c r="B422" s="190">
        <v>13.3</v>
      </c>
      <c r="C422" s="231">
        <f>DATE(93,8,17)</f>
        <v>34198</v>
      </c>
      <c r="D422" s="185">
        <v>0.54166666666666663</v>
      </c>
      <c r="E422" s="230"/>
      <c r="F422" s="195"/>
      <c r="G422" s="230"/>
      <c r="H422" s="195"/>
      <c r="I422" s="232"/>
      <c r="J422" s="230">
        <v>10.3</v>
      </c>
    </row>
    <row r="423" spans="2:15" ht="16" x14ac:dyDescent="0.2">
      <c r="B423" s="190"/>
      <c r="C423" s="231">
        <f t="shared" ref="C423:C424" si="18">DATE(93,8,17)</f>
        <v>34198</v>
      </c>
      <c r="D423" s="185">
        <v>0.54166666666666663</v>
      </c>
      <c r="E423" s="229">
        <v>1</v>
      </c>
      <c r="F423" s="221">
        <v>8.8000000000000007</v>
      </c>
      <c r="G423" s="190"/>
      <c r="H423" s="221">
        <v>19.57</v>
      </c>
    </row>
    <row r="424" spans="2:15" ht="16" x14ac:dyDescent="0.2">
      <c r="B424" s="190"/>
      <c r="C424" s="231">
        <f t="shared" si="18"/>
        <v>34198</v>
      </c>
      <c r="D424" s="185">
        <v>0.54166666666666663</v>
      </c>
      <c r="E424" s="229">
        <v>12</v>
      </c>
      <c r="F424" s="221">
        <v>8.93</v>
      </c>
      <c r="G424" s="234"/>
      <c r="H424" s="237">
        <v>16.079999999999998</v>
      </c>
      <c r="I424" s="235"/>
      <c r="J424" s="234"/>
      <c r="K424" s="234"/>
      <c r="N424" s="236"/>
      <c r="O424" s="234"/>
    </row>
    <row r="425" spans="2:15" ht="16" x14ac:dyDescent="0.2">
      <c r="B425" s="190"/>
      <c r="F425" s="221"/>
      <c r="G425" s="190"/>
      <c r="H425" s="191"/>
    </row>
    <row r="426" spans="2:15" ht="16" x14ac:dyDescent="0.2">
      <c r="B426" s="190">
        <v>20.399999999999999</v>
      </c>
      <c r="C426" s="231">
        <f>DATE(93,7,27)</f>
        <v>34177</v>
      </c>
      <c r="D426" s="185">
        <v>0.56944444444444442</v>
      </c>
      <c r="E426" s="230"/>
      <c r="F426" s="195"/>
      <c r="G426" s="230"/>
      <c r="H426" s="195"/>
      <c r="I426" s="232"/>
      <c r="J426" s="230">
        <v>10.6</v>
      </c>
      <c r="K426" s="230"/>
    </row>
    <row r="427" spans="2:15" ht="16" x14ac:dyDescent="0.2">
      <c r="B427" s="190"/>
      <c r="C427" s="231">
        <f t="shared" ref="C427:C437" si="19">DATE(93,7,27)</f>
        <v>34177</v>
      </c>
      <c r="D427" s="185">
        <v>0.56944444444444442</v>
      </c>
      <c r="E427">
        <v>0</v>
      </c>
      <c r="F427" s="221">
        <v>9.8000000000000007</v>
      </c>
      <c r="G427" s="221"/>
      <c r="H427" s="221">
        <v>19.54</v>
      </c>
    </row>
    <row r="428" spans="2:15" ht="16" x14ac:dyDescent="0.2">
      <c r="B428" s="190"/>
      <c r="C428" s="231">
        <f t="shared" si="19"/>
        <v>34177</v>
      </c>
      <c r="D428" s="185">
        <v>0.56944444444444442</v>
      </c>
      <c r="E428">
        <v>2</v>
      </c>
      <c r="F428" s="221">
        <v>9.92</v>
      </c>
      <c r="G428" s="221"/>
      <c r="H428" s="221">
        <v>18.43</v>
      </c>
    </row>
    <row r="429" spans="2:15" ht="16" x14ac:dyDescent="0.2">
      <c r="B429" s="190"/>
      <c r="C429" s="231">
        <f t="shared" si="19"/>
        <v>34177</v>
      </c>
      <c r="D429" s="185">
        <v>0.56944444444444442</v>
      </c>
      <c r="E429">
        <v>4</v>
      </c>
      <c r="F429" s="221">
        <v>9.2200000000000006</v>
      </c>
      <c r="G429" s="221"/>
      <c r="H429" s="221">
        <v>17.98</v>
      </c>
    </row>
    <row r="430" spans="2:15" ht="16" x14ac:dyDescent="0.2">
      <c r="B430" s="190"/>
      <c r="C430" s="231">
        <f t="shared" si="19"/>
        <v>34177</v>
      </c>
      <c r="D430" s="185">
        <v>0.56944444444444442</v>
      </c>
      <c r="E430">
        <v>6</v>
      </c>
      <c r="F430" s="221">
        <v>9.1999999999999993</v>
      </c>
      <c r="G430" s="221"/>
      <c r="H430" s="221">
        <v>17.54</v>
      </c>
    </row>
    <row r="431" spans="2:15" ht="16" x14ac:dyDescent="0.2">
      <c r="B431" s="190"/>
      <c r="C431" s="231">
        <f t="shared" si="19"/>
        <v>34177</v>
      </c>
      <c r="D431" s="185">
        <v>0.56944444444444442</v>
      </c>
      <c r="E431">
        <v>8</v>
      </c>
      <c r="F431" s="221">
        <v>9.19</v>
      </c>
      <c r="G431" s="221"/>
      <c r="H431" s="221">
        <v>17.22</v>
      </c>
    </row>
    <row r="432" spans="2:15" ht="16" x14ac:dyDescent="0.2">
      <c r="B432" s="190"/>
      <c r="C432" s="231">
        <f t="shared" si="19"/>
        <v>34177</v>
      </c>
      <c r="D432" s="185">
        <v>0.56944444444444442</v>
      </c>
      <c r="E432">
        <v>10</v>
      </c>
      <c r="F432" s="221">
        <v>9.3800000000000008</v>
      </c>
      <c r="G432" s="221"/>
      <c r="H432" s="221">
        <v>16.309999999999999</v>
      </c>
    </row>
    <row r="433" spans="2:10" ht="16" x14ac:dyDescent="0.2">
      <c r="B433" s="190"/>
      <c r="C433" s="231">
        <f t="shared" si="19"/>
        <v>34177</v>
      </c>
      <c r="D433" s="185">
        <v>0.56944444444444442</v>
      </c>
      <c r="E433">
        <v>12</v>
      </c>
      <c r="F433" s="221">
        <v>9.99</v>
      </c>
      <c r="G433" s="221"/>
      <c r="H433" s="221">
        <v>13.7</v>
      </c>
    </row>
    <row r="434" spans="2:10" ht="16" x14ac:dyDescent="0.2">
      <c r="B434" s="190"/>
      <c r="C434" s="231">
        <f t="shared" si="19"/>
        <v>34177</v>
      </c>
      <c r="D434" s="185">
        <v>0.56944444444444442</v>
      </c>
      <c r="E434">
        <v>14</v>
      </c>
      <c r="F434" s="221">
        <v>10.8</v>
      </c>
      <c r="G434" s="221"/>
      <c r="H434" s="221">
        <v>12.81</v>
      </c>
    </row>
    <row r="435" spans="2:10" ht="16" x14ac:dyDescent="0.2">
      <c r="B435" s="190"/>
      <c r="C435" s="231">
        <f t="shared" si="19"/>
        <v>34177</v>
      </c>
      <c r="D435" s="185">
        <v>0.56944444444444442</v>
      </c>
      <c r="E435">
        <v>16</v>
      </c>
      <c r="F435" s="221">
        <v>11.9</v>
      </c>
      <c r="G435" s="221"/>
      <c r="H435" s="221">
        <v>6.79</v>
      </c>
    </row>
    <row r="436" spans="2:10" ht="16" x14ac:dyDescent="0.2">
      <c r="B436" s="190"/>
      <c r="C436" s="231">
        <f t="shared" si="19"/>
        <v>34177</v>
      </c>
      <c r="D436" s="185">
        <v>0.56944444444444442</v>
      </c>
      <c r="E436">
        <v>18</v>
      </c>
      <c r="F436" s="221">
        <v>10.94</v>
      </c>
      <c r="G436" s="221"/>
      <c r="H436" s="221">
        <v>6.38</v>
      </c>
    </row>
    <row r="437" spans="2:10" ht="16" x14ac:dyDescent="0.2">
      <c r="B437" s="190"/>
      <c r="C437" s="231">
        <f t="shared" si="19"/>
        <v>34177</v>
      </c>
      <c r="D437" s="185">
        <v>0.56944444444444442</v>
      </c>
      <c r="E437">
        <v>20</v>
      </c>
      <c r="F437" s="221">
        <v>10.78</v>
      </c>
      <c r="G437" s="221"/>
      <c r="H437" s="221">
        <v>6.48</v>
      </c>
    </row>
    <row r="438" spans="2:10" ht="16" x14ac:dyDescent="0.2">
      <c r="B438" s="190"/>
      <c r="F438" s="221"/>
      <c r="G438" s="221"/>
      <c r="H438" s="221"/>
    </row>
    <row r="439" spans="2:10" ht="16" x14ac:dyDescent="0.2">
      <c r="B439" s="190">
        <v>15.2</v>
      </c>
      <c r="C439" s="231">
        <f>DATE(93,7,7)</f>
        <v>34157</v>
      </c>
      <c r="D439" s="185">
        <v>0.54166666666666663</v>
      </c>
      <c r="E439" s="230"/>
      <c r="F439" s="195"/>
      <c r="G439" s="230"/>
      <c r="H439" s="195"/>
      <c r="I439" s="232"/>
      <c r="J439" s="230">
        <v>7.5</v>
      </c>
    </row>
    <row r="440" spans="2:10" ht="16" x14ac:dyDescent="0.2">
      <c r="B440" s="190"/>
      <c r="C440" s="231">
        <f t="shared" ref="C440:C447" si="20">DATE(93,7,7)</f>
        <v>34157</v>
      </c>
      <c r="D440" s="185">
        <v>0.54166666666666663</v>
      </c>
      <c r="E440">
        <v>0</v>
      </c>
      <c r="F440" s="221">
        <v>9.4</v>
      </c>
      <c r="G440" s="190"/>
      <c r="H440" s="191">
        <v>17.399999999999999</v>
      </c>
    </row>
    <row r="441" spans="2:10" ht="16" x14ac:dyDescent="0.2">
      <c r="B441" s="190"/>
      <c r="C441" s="231">
        <f t="shared" si="20"/>
        <v>34157</v>
      </c>
      <c r="D441" s="185">
        <v>0.54166666666666663</v>
      </c>
      <c r="E441">
        <v>2</v>
      </c>
      <c r="F441" s="221"/>
      <c r="G441" s="190"/>
      <c r="H441" s="191">
        <v>17.3</v>
      </c>
    </row>
    <row r="442" spans="2:10" ht="16" x14ac:dyDescent="0.2">
      <c r="B442" s="190"/>
      <c r="C442" s="231">
        <f t="shared" si="20"/>
        <v>34157</v>
      </c>
      <c r="D442" s="185">
        <v>0.54166666666666663</v>
      </c>
      <c r="E442">
        <v>4</v>
      </c>
      <c r="F442" s="221"/>
      <c r="G442" s="190"/>
      <c r="H442" s="191">
        <v>17.100000000000001</v>
      </c>
    </row>
    <row r="443" spans="2:10" ht="16" x14ac:dyDescent="0.2">
      <c r="B443" s="190"/>
      <c r="C443" s="231">
        <f t="shared" si="20"/>
        <v>34157</v>
      </c>
      <c r="D443" s="185">
        <v>0.54166666666666663</v>
      </c>
      <c r="E443">
        <v>6</v>
      </c>
      <c r="F443" s="221"/>
      <c r="G443" s="190"/>
      <c r="H443" s="191">
        <v>15.8</v>
      </c>
    </row>
    <row r="444" spans="2:10" ht="16" x14ac:dyDescent="0.2">
      <c r="B444" s="190"/>
      <c r="C444" s="231">
        <f t="shared" si="20"/>
        <v>34157</v>
      </c>
      <c r="D444" s="185">
        <v>0.54166666666666663</v>
      </c>
      <c r="E444">
        <v>8</v>
      </c>
      <c r="F444" s="221"/>
      <c r="G444" s="190"/>
      <c r="H444" s="191">
        <v>16.100000000000001</v>
      </c>
    </row>
    <row r="445" spans="2:10" ht="16" x14ac:dyDescent="0.2">
      <c r="B445" s="190"/>
      <c r="C445" s="231">
        <f t="shared" si="20"/>
        <v>34157</v>
      </c>
      <c r="D445" s="185">
        <v>0.54166666666666663</v>
      </c>
      <c r="E445">
        <v>10</v>
      </c>
      <c r="F445" s="221"/>
      <c r="G445" s="190"/>
      <c r="H445" s="191">
        <v>15.1</v>
      </c>
    </row>
    <row r="446" spans="2:10" ht="16" x14ac:dyDescent="0.2">
      <c r="B446" s="190"/>
      <c r="C446" s="231">
        <f t="shared" si="20"/>
        <v>34157</v>
      </c>
      <c r="D446" s="185">
        <v>0.54166666666666663</v>
      </c>
      <c r="E446">
        <v>12</v>
      </c>
      <c r="F446" s="221"/>
      <c r="G446" s="190"/>
      <c r="H446" s="191">
        <v>9.6</v>
      </c>
    </row>
    <row r="447" spans="2:10" ht="16" x14ac:dyDescent="0.2">
      <c r="B447" s="190"/>
      <c r="C447" s="231">
        <f t="shared" si="20"/>
        <v>34157</v>
      </c>
      <c r="D447" s="185">
        <v>0.54166666666666663</v>
      </c>
      <c r="E447">
        <v>14</v>
      </c>
      <c r="F447" s="221">
        <v>10.9</v>
      </c>
      <c r="G447" s="190"/>
      <c r="H447" s="191">
        <v>6.6</v>
      </c>
    </row>
    <row r="448" spans="2:10" ht="16" x14ac:dyDescent="0.2">
      <c r="B448" s="190"/>
      <c r="F448" s="221"/>
      <c r="G448" s="190"/>
      <c r="H448" s="191"/>
    </row>
    <row r="449" spans="2:13" ht="16" x14ac:dyDescent="0.2">
      <c r="B449" s="190">
        <v>21.5</v>
      </c>
      <c r="C449" s="231">
        <f>DATE(93,6,15)</f>
        <v>34135</v>
      </c>
      <c r="D449" s="185">
        <v>0.40625</v>
      </c>
      <c r="E449" s="230"/>
      <c r="F449" s="195"/>
      <c r="G449" s="230"/>
      <c r="H449" s="195"/>
      <c r="I449" s="232"/>
      <c r="J449" s="230">
        <v>6.4</v>
      </c>
    </row>
    <row r="450" spans="2:13" ht="16" x14ac:dyDescent="0.2">
      <c r="B450" s="190"/>
      <c r="C450" s="231">
        <f t="shared" ref="C450:C451" si="21">DATE(93,6,15)</f>
        <v>34135</v>
      </c>
      <c r="D450" s="185">
        <v>0.40625</v>
      </c>
      <c r="E450">
        <v>1</v>
      </c>
      <c r="F450" s="221">
        <v>9.4499999999999993</v>
      </c>
      <c r="G450" s="190"/>
      <c r="H450" s="191">
        <v>14.4</v>
      </c>
    </row>
    <row r="451" spans="2:13" ht="16" x14ac:dyDescent="0.2">
      <c r="B451" s="190"/>
      <c r="C451" s="231">
        <f t="shared" si="21"/>
        <v>34135</v>
      </c>
      <c r="D451" s="185">
        <v>0.40625</v>
      </c>
      <c r="E451">
        <v>14</v>
      </c>
      <c r="F451" s="221">
        <v>11</v>
      </c>
      <c r="G451" s="190"/>
      <c r="H451" s="191">
        <v>6.4</v>
      </c>
    </row>
    <row r="452" spans="2:13" ht="16" x14ac:dyDescent="0.2">
      <c r="B452" s="190"/>
      <c r="F452" s="221"/>
      <c r="G452" s="190"/>
      <c r="H452" s="191"/>
    </row>
    <row r="453" spans="2:13" ht="16" x14ac:dyDescent="0.2">
      <c r="B453" s="190">
        <v>21.6</v>
      </c>
      <c r="C453" s="231">
        <f>DATE(93,5,18)</f>
        <v>34107</v>
      </c>
      <c r="D453" s="185">
        <v>0.41666666666666669</v>
      </c>
      <c r="E453" s="230"/>
      <c r="F453" s="195"/>
      <c r="G453" s="230"/>
      <c r="H453" s="195"/>
      <c r="I453" s="232"/>
      <c r="J453" s="230">
        <v>6.9</v>
      </c>
    </row>
    <row r="454" spans="2:13" ht="16" x14ac:dyDescent="0.2">
      <c r="B454" s="190"/>
      <c r="C454" s="231">
        <f>DATE(93,5,18)</f>
        <v>34107</v>
      </c>
      <c r="D454" s="185">
        <v>0.41666666666666669</v>
      </c>
      <c r="E454">
        <v>1</v>
      </c>
      <c r="F454" s="221">
        <v>11.2</v>
      </c>
      <c r="G454" s="190"/>
      <c r="H454" s="191">
        <v>14.5</v>
      </c>
    </row>
    <row r="455" spans="2:13" ht="16" x14ac:dyDescent="0.2">
      <c r="B455" s="190"/>
      <c r="C455" s="231">
        <f>DATE(93,5,18)</f>
        <v>34107</v>
      </c>
      <c r="D455" s="185">
        <v>0.41666666666666669</v>
      </c>
      <c r="E455">
        <v>15</v>
      </c>
      <c r="F455" s="221">
        <v>12.1</v>
      </c>
      <c r="G455" s="190"/>
      <c r="H455" s="191">
        <v>7</v>
      </c>
    </row>
    <row r="456" spans="2:13" ht="16" x14ac:dyDescent="0.2">
      <c r="B456" s="190"/>
      <c r="F456" s="221"/>
      <c r="G456" s="190"/>
      <c r="H456" s="191"/>
    </row>
    <row r="457" spans="2:13" ht="16" x14ac:dyDescent="0.2">
      <c r="B457" s="190">
        <v>16.2</v>
      </c>
      <c r="C457" s="231">
        <f>DATE(93,4,22)</f>
        <v>34081</v>
      </c>
      <c r="D457" s="185">
        <v>0.39583333333333331</v>
      </c>
      <c r="E457" s="230"/>
      <c r="F457" s="195"/>
      <c r="G457" s="230"/>
      <c r="H457" s="195"/>
      <c r="I457" s="232"/>
      <c r="J457" s="230">
        <v>7</v>
      </c>
    </row>
    <row r="458" spans="2:13" ht="16" x14ac:dyDescent="0.2">
      <c r="B458" s="190"/>
      <c r="E458" t="s">
        <v>603</v>
      </c>
      <c r="H458" s="221"/>
      <c r="I458" s="190"/>
      <c r="J458" s="191"/>
    </row>
    <row r="459" spans="2:13" ht="15.75" customHeight="1" x14ac:dyDescent="0.2">
      <c r="B459" s="3"/>
      <c r="C459" s="21"/>
      <c r="F459" s="24"/>
      <c r="G459" s="3"/>
      <c r="H459" s="7"/>
    </row>
    <row r="460" spans="2:13" ht="15.75" customHeight="1" x14ac:dyDescent="0.2">
      <c r="B460" s="3"/>
      <c r="C460" s="31">
        <f>DATE(95,2,27)</f>
        <v>34757</v>
      </c>
      <c r="E460" s="13">
        <v>11.8</v>
      </c>
      <c r="F460" s="13"/>
      <c r="G460" s="13"/>
      <c r="H460" s="13"/>
      <c r="I460" s="32" t="s">
        <v>79</v>
      </c>
      <c r="J460" s="13">
        <v>11.5</v>
      </c>
      <c r="K460" s="13"/>
      <c r="L460" s="33"/>
      <c r="M460" s="13"/>
    </row>
    <row r="461" spans="2:13" ht="15.75" customHeight="1" x14ac:dyDescent="0.2">
      <c r="B461" s="3"/>
      <c r="C461" s="31">
        <f>DATE(95,3,23)</f>
        <v>34781</v>
      </c>
      <c r="E461" s="13">
        <v>13</v>
      </c>
      <c r="F461" s="13"/>
      <c r="G461" s="13"/>
      <c r="H461" s="13"/>
      <c r="I461" s="32" t="s">
        <v>80</v>
      </c>
      <c r="J461" s="13">
        <v>9</v>
      </c>
      <c r="K461" s="13"/>
      <c r="L461" s="33"/>
      <c r="M461" s="13"/>
    </row>
    <row r="462" spans="2:13" ht="15.75" customHeight="1" x14ac:dyDescent="0.2">
      <c r="B462" s="3"/>
      <c r="C462" s="31">
        <f>DATE(95,4,12)</f>
        <v>34801</v>
      </c>
      <c r="E462" s="13">
        <v>13.7</v>
      </c>
      <c r="F462" s="13"/>
      <c r="G462" s="13"/>
      <c r="H462" s="13"/>
      <c r="I462" s="32" t="s">
        <v>81</v>
      </c>
      <c r="J462" s="13">
        <v>8.9</v>
      </c>
      <c r="K462" s="13"/>
      <c r="L462" s="33"/>
      <c r="M462" s="13"/>
    </row>
    <row r="463" spans="2:13" ht="15.75" customHeight="1" x14ac:dyDescent="0.2">
      <c r="B463" s="3"/>
      <c r="C463" s="31">
        <f>DATE(95,5,4)</f>
        <v>34823</v>
      </c>
      <c r="E463" s="13">
        <v>13.2</v>
      </c>
      <c r="F463" s="13"/>
      <c r="G463" s="13"/>
      <c r="H463" s="13"/>
      <c r="I463" s="32" t="s">
        <v>81</v>
      </c>
      <c r="J463" s="13">
        <v>8.6999999999999993</v>
      </c>
      <c r="K463" s="13"/>
      <c r="L463" s="33"/>
      <c r="M463" s="13"/>
    </row>
    <row r="464" spans="2:13" ht="15.75" customHeight="1" x14ac:dyDescent="0.2">
      <c r="B464" s="3"/>
      <c r="C464" s="31">
        <f>DATE(95,5,24)</f>
        <v>34843</v>
      </c>
      <c r="E464" s="13">
        <v>11.5</v>
      </c>
      <c r="F464" s="13"/>
      <c r="G464" s="13"/>
      <c r="H464" s="13"/>
      <c r="I464" s="32" t="s">
        <v>82</v>
      </c>
      <c r="J464" s="13">
        <v>6.5</v>
      </c>
      <c r="K464" s="13"/>
      <c r="L464" s="33"/>
      <c r="M464" s="13"/>
    </row>
    <row r="465" spans="2:13" ht="15.75" customHeight="1" x14ac:dyDescent="0.2">
      <c r="B465" s="3"/>
      <c r="C465" s="31">
        <f>DATE(95,6,13)</f>
        <v>34863</v>
      </c>
      <c r="E465" s="13">
        <v>11.1</v>
      </c>
      <c r="F465" s="13"/>
      <c r="G465" s="13"/>
      <c r="H465" s="13"/>
      <c r="I465" s="32" t="s">
        <v>83</v>
      </c>
      <c r="J465" s="13">
        <v>5.8</v>
      </c>
      <c r="K465" s="13"/>
      <c r="L465" s="33"/>
      <c r="M465" s="13"/>
    </row>
    <row r="466" spans="2:13" ht="15.75" customHeight="1" x14ac:dyDescent="0.2">
      <c r="B466" s="3"/>
      <c r="C466" s="31">
        <f>DATE(95,7,5)</f>
        <v>34885</v>
      </c>
      <c r="E466" s="13">
        <v>10</v>
      </c>
      <c r="F466" s="13"/>
      <c r="G466" s="13"/>
      <c r="H466" s="13"/>
      <c r="I466" s="32" t="s">
        <v>83</v>
      </c>
      <c r="J466" s="13">
        <v>7.5</v>
      </c>
      <c r="K466" s="13"/>
      <c r="L466" s="33"/>
      <c r="M466" s="13"/>
    </row>
    <row r="467" spans="2:13" ht="15.75" customHeight="1" x14ac:dyDescent="0.2">
      <c r="B467" s="3"/>
      <c r="C467" s="31">
        <f>DATE(95,7,26)</f>
        <v>34906</v>
      </c>
      <c r="E467" s="13">
        <v>10.9</v>
      </c>
      <c r="F467" s="34"/>
      <c r="G467" s="34"/>
      <c r="H467" s="34"/>
      <c r="I467" s="32" t="s">
        <v>83</v>
      </c>
      <c r="J467" s="34" t="s">
        <v>84</v>
      </c>
      <c r="K467" s="34"/>
      <c r="L467" s="33"/>
      <c r="M467" s="13"/>
    </row>
    <row r="468" spans="2:13" ht="15.75" customHeight="1" x14ac:dyDescent="0.2">
      <c r="B468" s="3"/>
      <c r="C468" s="31">
        <f>DATE(95,8,23)</f>
        <v>34934</v>
      </c>
      <c r="E468" s="13">
        <v>11.8</v>
      </c>
      <c r="F468" s="13"/>
      <c r="G468" s="13"/>
      <c r="H468" s="13"/>
      <c r="I468" s="32" t="s">
        <v>85</v>
      </c>
      <c r="J468" s="13">
        <v>11.3</v>
      </c>
      <c r="K468" s="13"/>
      <c r="L468" s="33"/>
      <c r="M468" s="34"/>
    </row>
    <row r="469" spans="2:13" ht="15.75" customHeight="1" x14ac:dyDescent="0.2">
      <c r="B469" s="3"/>
      <c r="C469" s="31">
        <f>DATE(95,9,21)</f>
        <v>34963</v>
      </c>
      <c r="E469" s="13">
        <v>16</v>
      </c>
      <c r="F469" s="13"/>
      <c r="G469" s="13"/>
      <c r="H469" s="13"/>
      <c r="I469" s="32" t="s">
        <v>86</v>
      </c>
      <c r="J469" s="13">
        <v>12.3</v>
      </c>
      <c r="K469" s="13"/>
      <c r="L469" s="33"/>
      <c r="M469" s="13"/>
    </row>
    <row r="470" spans="2:13" ht="15.75" customHeight="1" x14ac:dyDescent="0.2">
      <c r="B470" s="3"/>
      <c r="C470" s="1" t="s">
        <v>78</v>
      </c>
      <c r="F470" s="24"/>
      <c r="G470" s="3"/>
      <c r="H470" s="7"/>
    </row>
    <row r="471" spans="2:13" ht="15.75" customHeight="1" x14ac:dyDescent="0.2">
      <c r="B471" s="3"/>
      <c r="F471" s="24"/>
      <c r="G471" s="3"/>
      <c r="H471" s="7"/>
    </row>
    <row r="472" spans="2:13" ht="15.75" customHeight="1" x14ac:dyDescent="0.2">
      <c r="B472" s="3"/>
      <c r="C472" s="31">
        <f>DATE(94,3,30)</f>
        <v>34423</v>
      </c>
      <c r="E472" s="13">
        <v>21</v>
      </c>
      <c r="F472" s="13"/>
      <c r="G472" s="13"/>
      <c r="H472" s="13"/>
      <c r="I472" s="32" t="s">
        <v>87</v>
      </c>
      <c r="J472" s="13">
        <v>10.7</v>
      </c>
      <c r="K472" s="13"/>
      <c r="L472" s="33"/>
      <c r="M472" s="13"/>
    </row>
    <row r="473" spans="2:13" ht="15.75" customHeight="1" x14ac:dyDescent="0.2">
      <c r="B473" s="3"/>
      <c r="C473" s="31">
        <f>DATE(94,4,27)</f>
        <v>34451</v>
      </c>
      <c r="E473" s="13">
        <v>18.399999999999999</v>
      </c>
      <c r="F473" s="13"/>
      <c r="G473" s="13"/>
      <c r="H473" s="13"/>
      <c r="I473" s="32" t="s">
        <v>88</v>
      </c>
      <c r="J473" s="13">
        <v>11.6</v>
      </c>
      <c r="K473" s="13"/>
      <c r="L473" s="33"/>
      <c r="M473" s="13"/>
    </row>
    <row r="474" spans="2:13" ht="15.75" customHeight="1" x14ac:dyDescent="0.2">
      <c r="B474" s="3"/>
      <c r="C474" s="31">
        <f>DATE(94,5,19)</f>
        <v>34473</v>
      </c>
      <c r="E474" s="13">
        <v>16.899999999999999</v>
      </c>
      <c r="F474" s="13"/>
      <c r="G474" s="13"/>
      <c r="H474" s="13"/>
      <c r="I474" s="32" t="s">
        <v>89</v>
      </c>
      <c r="J474" s="13">
        <v>7.9</v>
      </c>
      <c r="K474" s="13"/>
      <c r="L474" s="33"/>
      <c r="M474" s="13"/>
    </row>
    <row r="475" spans="2:13" ht="15.75" customHeight="1" x14ac:dyDescent="0.2">
      <c r="B475" s="3"/>
      <c r="C475" s="31">
        <f>DATE(94,6,3)</f>
        <v>34488</v>
      </c>
      <c r="E475" s="13">
        <v>13.5</v>
      </c>
      <c r="F475" s="13"/>
      <c r="G475" s="13"/>
      <c r="H475" s="13"/>
      <c r="I475" s="32" t="s">
        <v>90</v>
      </c>
      <c r="J475" s="13">
        <v>8.1999999999999993</v>
      </c>
      <c r="K475" s="13"/>
      <c r="L475" s="33"/>
      <c r="M475" s="13"/>
    </row>
    <row r="476" spans="2:13" ht="15.75" customHeight="1" x14ac:dyDescent="0.2">
      <c r="B476" s="3"/>
      <c r="C476" s="31">
        <f>DATE(94,6,22)</f>
        <v>34507</v>
      </c>
      <c r="E476" s="13">
        <v>9.3000000000000007</v>
      </c>
      <c r="F476" s="13"/>
      <c r="G476" s="13"/>
      <c r="H476" s="13"/>
      <c r="I476" s="32" t="s">
        <v>91</v>
      </c>
      <c r="J476" s="13">
        <v>8</v>
      </c>
      <c r="K476" s="13"/>
      <c r="L476" s="33"/>
      <c r="M476" s="13"/>
    </row>
    <row r="477" spans="2:13" ht="15.75" customHeight="1" x14ac:dyDescent="0.2">
      <c r="B477" s="3"/>
      <c r="C477" s="31">
        <f>DATE(94,7,12)</f>
        <v>34527</v>
      </c>
      <c r="E477" s="13">
        <v>11</v>
      </c>
      <c r="F477" s="13"/>
      <c r="G477" s="13"/>
      <c r="H477" s="13"/>
      <c r="I477" s="32" t="s">
        <v>92</v>
      </c>
      <c r="J477" s="13">
        <v>10.1</v>
      </c>
      <c r="K477" s="13"/>
      <c r="L477" s="33"/>
      <c r="M477" s="13"/>
    </row>
    <row r="478" spans="2:13" ht="15.75" customHeight="1" x14ac:dyDescent="0.2">
      <c r="B478" s="3"/>
      <c r="C478" s="31">
        <f>DATE(94,8,8)</f>
        <v>34554</v>
      </c>
      <c r="E478" s="13">
        <v>16.8</v>
      </c>
      <c r="F478" s="13"/>
      <c r="G478" s="13"/>
      <c r="H478" s="13"/>
      <c r="I478" s="32" t="s">
        <v>89</v>
      </c>
      <c r="J478" s="13">
        <v>10.1</v>
      </c>
      <c r="K478" s="13"/>
      <c r="L478" s="33"/>
      <c r="M478" s="13"/>
    </row>
    <row r="479" spans="2:13" ht="15.75" customHeight="1" x14ac:dyDescent="0.2">
      <c r="B479" s="3"/>
      <c r="C479" s="31">
        <f>DATE(94,9,8)</f>
        <v>34585</v>
      </c>
      <c r="E479" s="13">
        <v>15</v>
      </c>
      <c r="F479" s="13"/>
      <c r="G479" s="13"/>
      <c r="H479" s="13"/>
      <c r="I479" s="32" t="s">
        <v>93</v>
      </c>
      <c r="J479" s="13">
        <v>12.5</v>
      </c>
      <c r="K479" s="13"/>
      <c r="L479" s="33"/>
      <c r="M479" s="13"/>
    </row>
    <row r="480" spans="2:13" ht="15.75" customHeight="1" x14ac:dyDescent="0.2">
      <c r="B480" s="3"/>
      <c r="C480" s="31">
        <f>DATE(94,10,5)</f>
        <v>34612</v>
      </c>
      <c r="E480" s="13">
        <v>13.7</v>
      </c>
      <c r="F480" s="13"/>
      <c r="G480" s="13"/>
      <c r="H480" s="13"/>
      <c r="I480" s="32" t="s">
        <v>94</v>
      </c>
      <c r="J480" s="13">
        <v>12.3</v>
      </c>
      <c r="K480" s="13"/>
      <c r="L480" s="33"/>
      <c r="M480" s="13"/>
    </row>
    <row r="481" spans="2:13" ht="15.75" customHeight="1" x14ac:dyDescent="0.2">
      <c r="B481" s="3"/>
      <c r="C481" s="1" t="s">
        <v>78</v>
      </c>
      <c r="E481" s="13"/>
      <c r="F481" s="13"/>
      <c r="G481" s="13"/>
      <c r="H481" s="13"/>
      <c r="I481" s="32"/>
      <c r="J481" s="13"/>
      <c r="K481" s="13"/>
      <c r="L481" s="33"/>
      <c r="M481" s="13"/>
    </row>
    <row r="482" spans="2:13" ht="15.75" customHeight="1" x14ac:dyDescent="0.2">
      <c r="B482" s="3"/>
      <c r="F482" s="24"/>
      <c r="G482" s="3"/>
      <c r="H482" s="7"/>
    </row>
    <row r="483" spans="2:13" ht="15.75" customHeight="1" x14ac:dyDescent="0.2">
      <c r="B483" s="3"/>
      <c r="C483" s="31">
        <f>DATE(93,4,22)</f>
        <v>34081</v>
      </c>
      <c r="E483" s="13">
        <v>16.2</v>
      </c>
      <c r="F483" s="13"/>
      <c r="G483" s="13"/>
      <c r="H483" s="13"/>
      <c r="I483" s="32" t="s">
        <v>95</v>
      </c>
      <c r="J483" s="13">
        <v>7</v>
      </c>
      <c r="K483" s="13"/>
      <c r="L483" s="35"/>
      <c r="M483" s="13"/>
    </row>
    <row r="484" spans="2:13" ht="15.75" customHeight="1" x14ac:dyDescent="0.2">
      <c r="B484" s="3"/>
      <c r="C484" s="31">
        <f>DATE(93,5,18)</f>
        <v>34107</v>
      </c>
      <c r="E484" s="13">
        <v>21.6</v>
      </c>
      <c r="F484" s="13"/>
      <c r="G484" s="13"/>
      <c r="H484" s="13"/>
      <c r="I484" s="32" t="s">
        <v>96</v>
      </c>
      <c r="J484" s="13">
        <v>6.9</v>
      </c>
      <c r="K484" s="13"/>
      <c r="L484" s="33"/>
      <c r="M484" s="13"/>
    </row>
    <row r="485" spans="2:13" ht="15.75" customHeight="1" x14ac:dyDescent="0.2">
      <c r="B485" s="3"/>
      <c r="C485" s="31">
        <f>DATE(93,6,15)</f>
        <v>34135</v>
      </c>
      <c r="E485" s="13">
        <v>21.5</v>
      </c>
      <c r="F485" s="13"/>
      <c r="G485" s="13"/>
      <c r="H485" s="13"/>
      <c r="I485" s="32" t="s">
        <v>95</v>
      </c>
      <c r="J485" s="13">
        <v>6.4</v>
      </c>
      <c r="K485" s="13"/>
      <c r="L485" s="33"/>
      <c r="M485" s="34"/>
    </row>
    <row r="486" spans="2:13" ht="15.75" customHeight="1" x14ac:dyDescent="0.2">
      <c r="B486" s="3"/>
      <c r="C486" s="31">
        <f>DATE(93,7,7)</f>
        <v>34157</v>
      </c>
      <c r="E486" s="13">
        <v>15.2</v>
      </c>
      <c r="F486" s="13"/>
      <c r="G486" s="13"/>
      <c r="H486" s="13"/>
      <c r="I486" s="32" t="s">
        <v>97</v>
      </c>
      <c r="J486" s="13">
        <v>7.5</v>
      </c>
      <c r="K486" s="13"/>
      <c r="L486" s="33"/>
      <c r="M486" s="13"/>
    </row>
    <row r="487" spans="2:13" ht="15.75" customHeight="1" x14ac:dyDescent="0.2">
      <c r="B487" s="3"/>
      <c r="C487" s="31">
        <f>DATE(93,7,27)</f>
        <v>34177</v>
      </c>
      <c r="E487" s="13">
        <f>67*0.3048</f>
        <v>20.421600000000002</v>
      </c>
      <c r="F487" s="13"/>
      <c r="G487" s="13"/>
      <c r="H487" s="13"/>
      <c r="I487" s="32" t="s">
        <v>98</v>
      </c>
      <c r="J487" s="13">
        <v>10.6</v>
      </c>
      <c r="K487" s="13"/>
      <c r="L487" s="35"/>
      <c r="M487" s="13"/>
    </row>
    <row r="488" spans="2:13" ht="15.75" customHeight="1" x14ac:dyDescent="0.2">
      <c r="B488" s="3"/>
      <c r="C488" s="31">
        <f>DATE(93,8,17)</f>
        <v>34198</v>
      </c>
      <c r="E488" s="13">
        <v>13.3</v>
      </c>
      <c r="F488" s="13"/>
      <c r="G488" s="13"/>
      <c r="H488" s="13"/>
      <c r="I488" s="32" t="s">
        <v>98</v>
      </c>
      <c r="J488" s="13">
        <v>10.3</v>
      </c>
      <c r="K488" s="13"/>
      <c r="L488" s="33"/>
      <c r="M488" s="13"/>
    </row>
    <row r="489" spans="2:13" ht="15.75" customHeight="1" x14ac:dyDescent="0.2">
      <c r="B489" s="3"/>
      <c r="C489" s="31">
        <f>DATE(93,9,14)</f>
        <v>34226</v>
      </c>
      <c r="E489" s="13">
        <v>16</v>
      </c>
      <c r="F489" s="13"/>
      <c r="G489" s="13"/>
      <c r="H489" s="13"/>
      <c r="I489" s="32" t="s">
        <v>98</v>
      </c>
      <c r="J489" s="13">
        <v>11.5</v>
      </c>
      <c r="K489" s="13"/>
      <c r="L489" s="33"/>
      <c r="M489" s="13"/>
    </row>
    <row r="490" spans="2:13" ht="15.75" customHeight="1" x14ac:dyDescent="0.2">
      <c r="B490" s="3"/>
      <c r="C490" s="31">
        <f>DATE(93,10,12)</f>
        <v>34254</v>
      </c>
      <c r="E490" s="13">
        <v>20</v>
      </c>
      <c r="F490" s="13"/>
      <c r="G490" s="13"/>
      <c r="H490" s="13"/>
      <c r="I490" s="32" t="s">
        <v>97</v>
      </c>
      <c r="J490" s="13">
        <v>14</v>
      </c>
      <c r="K490" s="13"/>
      <c r="L490" s="33"/>
      <c r="M490" s="13"/>
    </row>
    <row r="491" spans="2:13" ht="15.75" customHeight="1" x14ac:dyDescent="0.2">
      <c r="B491" s="3"/>
      <c r="C491" s="1" t="s">
        <v>78</v>
      </c>
      <c r="E491" s="13"/>
      <c r="F491" s="13"/>
      <c r="G491" s="13"/>
      <c r="H491" s="13"/>
      <c r="I491" s="32"/>
      <c r="J491" s="13"/>
      <c r="K491" s="13"/>
      <c r="L491" s="33"/>
      <c r="M491" s="13"/>
    </row>
    <row r="492" spans="2:13" ht="15.75" customHeight="1" x14ac:dyDescent="0.2">
      <c r="B492" s="3"/>
      <c r="C492" s="36"/>
      <c r="E492" s="37"/>
      <c r="F492" s="37"/>
      <c r="G492" s="37"/>
      <c r="H492" s="37"/>
      <c r="I492" s="38"/>
      <c r="J492" s="37"/>
      <c r="K492" s="37"/>
      <c r="L492" s="39"/>
      <c r="M492" s="37"/>
    </row>
    <row r="493" spans="2:13" ht="15.75" customHeight="1" x14ac:dyDescent="0.2">
      <c r="B493" s="3"/>
      <c r="F493" s="24"/>
      <c r="G493" s="3"/>
      <c r="H493" s="7"/>
    </row>
    <row r="494" spans="2:13" ht="15.75" customHeight="1" x14ac:dyDescent="0.2">
      <c r="B494" s="3"/>
      <c r="F494" s="24"/>
      <c r="G494" s="3"/>
      <c r="H494" s="7"/>
    </row>
    <row r="495" spans="2:13" ht="15.75" customHeight="1" x14ac:dyDescent="0.2">
      <c r="B495" s="3"/>
      <c r="F495" s="24"/>
      <c r="G495" s="3"/>
      <c r="H495" s="7"/>
    </row>
    <row r="496" spans="2:13" ht="15.75" customHeight="1" x14ac:dyDescent="0.2">
      <c r="B496" s="3"/>
      <c r="F496" s="24"/>
      <c r="G496" s="3"/>
      <c r="H496" s="7"/>
    </row>
    <row r="497" spans="2:13" ht="15.75" customHeight="1" x14ac:dyDescent="0.2">
      <c r="B497" s="3"/>
      <c r="F497" s="24"/>
      <c r="G497" s="3"/>
      <c r="H497" s="7"/>
    </row>
    <row r="498" spans="2:13" ht="15.75" customHeight="1" x14ac:dyDescent="0.2">
      <c r="B498" s="3"/>
      <c r="F498" s="24"/>
      <c r="G498" s="3"/>
      <c r="H498" s="7"/>
    </row>
    <row r="499" spans="2:13" ht="15.75" customHeight="1" x14ac:dyDescent="0.2">
      <c r="B499" s="3"/>
      <c r="F499" s="24"/>
      <c r="G499" s="3"/>
      <c r="H499" s="7"/>
    </row>
    <row r="500" spans="2:13" ht="15.75" customHeight="1" x14ac:dyDescent="0.2">
      <c r="B500" s="3"/>
      <c r="F500" s="24"/>
      <c r="G500" s="3"/>
      <c r="H500" s="7"/>
    </row>
    <row r="501" spans="2:13" ht="15.75" customHeight="1" x14ac:dyDescent="0.2">
      <c r="B501" s="3"/>
      <c r="F501" s="24"/>
      <c r="G501" s="3"/>
      <c r="H501" s="7"/>
    </row>
    <row r="502" spans="2:13" ht="15.75" customHeight="1" x14ac:dyDescent="0.2">
      <c r="B502" s="3"/>
      <c r="F502" s="24"/>
      <c r="G502" s="3"/>
      <c r="H502" s="7"/>
    </row>
    <row r="503" spans="2:13" ht="15.75" customHeight="1" x14ac:dyDescent="0.2">
      <c r="B503" s="3"/>
      <c r="C503" s="36"/>
      <c r="E503" s="37"/>
      <c r="F503" s="37"/>
      <c r="G503" s="37"/>
      <c r="H503" s="37"/>
      <c r="I503" s="38"/>
      <c r="J503" s="37"/>
      <c r="K503" s="37"/>
      <c r="L503" s="39"/>
      <c r="M503" s="37"/>
    </row>
    <row r="504" spans="2:13" ht="15.75" customHeight="1" x14ac:dyDescent="0.2">
      <c r="B504" s="3"/>
      <c r="F504" s="24"/>
      <c r="G504" s="3"/>
      <c r="H504" s="7"/>
    </row>
    <row r="505" spans="2:13" ht="15.75" customHeight="1" x14ac:dyDescent="0.2">
      <c r="B505" s="3"/>
      <c r="F505" s="24"/>
      <c r="G505" s="3"/>
      <c r="H505" s="7"/>
    </row>
    <row r="506" spans="2:13" ht="15.75" customHeight="1" x14ac:dyDescent="0.2">
      <c r="B506" s="3"/>
      <c r="F506" s="24"/>
      <c r="G506" s="3"/>
      <c r="H506" s="7"/>
    </row>
    <row r="507" spans="2:13" ht="15.75" customHeight="1" x14ac:dyDescent="0.2">
      <c r="B507" s="3"/>
      <c r="F507" s="24"/>
      <c r="G507" s="3"/>
      <c r="H507" s="7"/>
    </row>
    <row r="508" spans="2:13" ht="15.75" customHeight="1" x14ac:dyDescent="0.2">
      <c r="B508" s="3"/>
      <c r="F508" s="24"/>
      <c r="G508" s="3"/>
      <c r="H508" s="7"/>
    </row>
    <row r="509" spans="2:13" ht="15.75" customHeight="1" x14ac:dyDescent="0.2">
      <c r="B509" s="3"/>
      <c r="F509" s="24"/>
      <c r="G509" s="3"/>
      <c r="H509" s="7"/>
    </row>
    <row r="510" spans="2:13" ht="15.75" customHeight="1" x14ac:dyDescent="0.2">
      <c r="B510" s="3"/>
      <c r="F510" s="24"/>
      <c r="G510" s="3"/>
      <c r="H510" s="7"/>
    </row>
    <row r="511" spans="2:13" ht="15.75" customHeight="1" x14ac:dyDescent="0.2">
      <c r="B511" s="3"/>
      <c r="F511" s="24"/>
      <c r="G511" s="3"/>
      <c r="H511" s="7"/>
    </row>
    <row r="512" spans="2:13" ht="15.75" customHeight="1" x14ac:dyDescent="0.2">
      <c r="B512" s="3"/>
      <c r="F512" s="24"/>
      <c r="G512" s="3"/>
      <c r="H512" s="7"/>
    </row>
    <row r="513" spans="2:8" ht="15.75" customHeight="1" x14ac:dyDescent="0.2">
      <c r="B513" s="3"/>
      <c r="F513" s="24"/>
      <c r="G513" s="3"/>
      <c r="H513" s="7"/>
    </row>
    <row r="514" spans="2:8" ht="15.75" customHeight="1" x14ac:dyDescent="0.2">
      <c r="B514" s="3"/>
      <c r="F514" s="24"/>
      <c r="G514" s="3"/>
      <c r="H514" s="7"/>
    </row>
    <row r="515" spans="2:8" ht="15.75" customHeight="1" x14ac:dyDescent="0.2">
      <c r="B515" s="3"/>
      <c r="F515" s="24"/>
      <c r="G515" s="3"/>
      <c r="H515" s="7"/>
    </row>
    <row r="516" spans="2:8" ht="15.75" customHeight="1" x14ac:dyDescent="0.2">
      <c r="B516" s="3"/>
      <c r="F516" s="24"/>
      <c r="G516" s="3"/>
      <c r="H516" s="7"/>
    </row>
    <row r="517" spans="2:8" ht="15.75" customHeight="1" x14ac:dyDescent="0.2">
      <c r="B517" s="3"/>
      <c r="F517" s="24"/>
      <c r="G517" s="3"/>
      <c r="H517" s="7"/>
    </row>
    <row r="518" spans="2:8" ht="15.75" customHeight="1" x14ac:dyDescent="0.2">
      <c r="B518" s="3"/>
      <c r="F518" s="24"/>
      <c r="G518" s="3"/>
      <c r="H518" s="7"/>
    </row>
    <row r="519" spans="2:8" ht="15.75" customHeight="1" x14ac:dyDescent="0.2">
      <c r="B519" s="3"/>
      <c r="F519" s="24"/>
      <c r="G519" s="3"/>
      <c r="H519" s="7"/>
    </row>
    <row r="520" spans="2:8" ht="15.75" customHeight="1" x14ac:dyDescent="0.2">
      <c r="B520" s="3"/>
      <c r="F520" s="24"/>
      <c r="G520" s="3"/>
      <c r="H520" s="7"/>
    </row>
    <row r="521" spans="2:8" ht="15.75" customHeight="1" x14ac:dyDescent="0.2">
      <c r="B521" s="3"/>
      <c r="F521" s="24"/>
      <c r="G521" s="3"/>
      <c r="H521" s="7"/>
    </row>
    <row r="522" spans="2:8" ht="15.75" customHeight="1" x14ac:dyDescent="0.2">
      <c r="B522" s="3"/>
      <c r="F522" s="24"/>
      <c r="G522" s="3"/>
      <c r="H522" s="7"/>
    </row>
    <row r="523" spans="2:8" ht="15.75" customHeight="1" x14ac:dyDescent="0.2">
      <c r="B523" s="3"/>
      <c r="F523" s="24"/>
      <c r="G523" s="3"/>
      <c r="H523" s="7"/>
    </row>
    <row r="524" spans="2:8" ht="15.75" customHeight="1" x14ac:dyDescent="0.2">
      <c r="B524" s="3"/>
      <c r="F524" s="24"/>
      <c r="G524" s="3"/>
      <c r="H524" s="7"/>
    </row>
    <row r="525" spans="2:8" ht="15.75" customHeight="1" x14ac:dyDescent="0.2">
      <c r="B525" s="3"/>
      <c r="F525" s="24"/>
      <c r="G525" s="3"/>
      <c r="H525" s="7"/>
    </row>
    <row r="526" spans="2:8" ht="15.75" customHeight="1" x14ac:dyDescent="0.2">
      <c r="B526" s="3"/>
      <c r="F526" s="24"/>
      <c r="G526" s="3"/>
      <c r="H526" s="7"/>
    </row>
    <row r="527" spans="2:8" ht="15.75" customHeight="1" x14ac:dyDescent="0.2">
      <c r="B527" s="3"/>
      <c r="F527" s="24"/>
      <c r="G527" s="3"/>
      <c r="H527" s="7"/>
    </row>
    <row r="528" spans="2:8" ht="15.75" customHeight="1" x14ac:dyDescent="0.2">
      <c r="B528" s="3"/>
      <c r="F528" s="24"/>
      <c r="G528" s="3"/>
      <c r="H528" s="7"/>
    </row>
    <row r="529" spans="2:8" ht="15.75" customHeight="1" x14ac:dyDescent="0.2">
      <c r="B529" s="3"/>
      <c r="F529" s="24"/>
      <c r="G529" s="3"/>
      <c r="H529" s="7"/>
    </row>
    <row r="530" spans="2:8" ht="15.75" customHeight="1" x14ac:dyDescent="0.2">
      <c r="B530" s="3"/>
      <c r="F530" s="24"/>
      <c r="G530" s="3"/>
      <c r="H530" s="7"/>
    </row>
    <row r="531" spans="2:8" ht="15.75" customHeight="1" x14ac:dyDescent="0.2">
      <c r="B531" s="3"/>
      <c r="F531" s="24"/>
      <c r="G531" s="3"/>
      <c r="H531" s="7"/>
    </row>
    <row r="532" spans="2:8" ht="15.75" customHeight="1" x14ac:dyDescent="0.2">
      <c r="B532" s="3"/>
      <c r="F532" s="24"/>
      <c r="G532" s="3"/>
      <c r="H532" s="7"/>
    </row>
    <row r="533" spans="2:8" ht="15.75" customHeight="1" x14ac:dyDescent="0.2">
      <c r="B533" s="3"/>
      <c r="F533" s="24"/>
      <c r="G533" s="3"/>
      <c r="H533" s="7"/>
    </row>
    <row r="534" spans="2:8" ht="15.75" customHeight="1" x14ac:dyDescent="0.2">
      <c r="B534" s="3"/>
      <c r="F534" s="24"/>
      <c r="G534" s="3"/>
      <c r="H534" s="7"/>
    </row>
    <row r="535" spans="2:8" ht="15.75" customHeight="1" x14ac:dyDescent="0.2">
      <c r="B535" s="3"/>
      <c r="F535" s="24"/>
      <c r="G535" s="3"/>
      <c r="H535" s="7"/>
    </row>
    <row r="536" spans="2:8" ht="15.75" customHeight="1" x14ac:dyDescent="0.2">
      <c r="B536" s="3"/>
      <c r="F536" s="24"/>
      <c r="G536" s="3"/>
      <c r="H536" s="7"/>
    </row>
    <row r="537" spans="2:8" ht="15.75" customHeight="1" x14ac:dyDescent="0.2">
      <c r="B537" s="3"/>
      <c r="F537" s="24"/>
      <c r="G537" s="3"/>
      <c r="H537" s="7"/>
    </row>
    <row r="538" spans="2:8" ht="15.75" customHeight="1" x14ac:dyDescent="0.2">
      <c r="B538" s="3"/>
      <c r="F538" s="24"/>
      <c r="G538" s="3"/>
      <c r="H538" s="7"/>
    </row>
    <row r="539" spans="2:8" ht="15.75" customHeight="1" x14ac:dyDescent="0.2">
      <c r="B539" s="3"/>
      <c r="F539" s="24"/>
      <c r="G539" s="3"/>
      <c r="H539" s="7"/>
    </row>
    <row r="540" spans="2:8" ht="15.75" customHeight="1" x14ac:dyDescent="0.2">
      <c r="B540" s="3"/>
      <c r="F540" s="24"/>
      <c r="G540" s="3"/>
      <c r="H540" s="7"/>
    </row>
    <row r="541" spans="2:8" ht="15.75" customHeight="1" x14ac:dyDescent="0.2">
      <c r="B541" s="3"/>
      <c r="F541" s="24"/>
      <c r="G541" s="3"/>
      <c r="H541" s="7"/>
    </row>
    <row r="542" spans="2:8" ht="15.75" customHeight="1" x14ac:dyDescent="0.2">
      <c r="B542" s="3"/>
      <c r="F542" s="24"/>
      <c r="G542" s="3"/>
      <c r="H542" s="7"/>
    </row>
    <row r="543" spans="2:8" ht="15.75" customHeight="1" x14ac:dyDescent="0.2">
      <c r="B543" s="3"/>
      <c r="F543" s="24"/>
      <c r="G543" s="3"/>
      <c r="H543" s="7"/>
    </row>
    <row r="544" spans="2:8" ht="15.75" customHeight="1" x14ac:dyDescent="0.2">
      <c r="B544" s="3"/>
      <c r="F544" s="24"/>
      <c r="G544" s="3"/>
      <c r="H544" s="7"/>
    </row>
    <row r="545" spans="2:8" ht="15.75" customHeight="1" x14ac:dyDescent="0.2">
      <c r="B545" s="3"/>
      <c r="F545" s="24"/>
      <c r="G545" s="3"/>
      <c r="H545" s="7"/>
    </row>
    <row r="546" spans="2:8" ht="15.75" customHeight="1" x14ac:dyDescent="0.2">
      <c r="B546" s="3"/>
      <c r="F546" s="24"/>
      <c r="G546" s="3"/>
      <c r="H546" s="7"/>
    </row>
    <row r="547" spans="2:8" ht="15.75" customHeight="1" x14ac:dyDescent="0.2">
      <c r="B547" s="3"/>
      <c r="F547" s="24"/>
      <c r="G547" s="3"/>
      <c r="H547" s="7"/>
    </row>
    <row r="548" spans="2:8" ht="15.75" customHeight="1" x14ac:dyDescent="0.2">
      <c r="B548" s="3"/>
      <c r="F548" s="24"/>
      <c r="G548" s="3"/>
      <c r="H548" s="7"/>
    </row>
    <row r="549" spans="2:8" ht="15.75" customHeight="1" x14ac:dyDescent="0.2">
      <c r="B549" s="3"/>
      <c r="F549" s="24"/>
      <c r="G549" s="3"/>
      <c r="H549" s="7"/>
    </row>
    <row r="550" spans="2:8" ht="15.75" customHeight="1" x14ac:dyDescent="0.2">
      <c r="B550" s="3"/>
      <c r="F550" s="24"/>
      <c r="G550" s="3"/>
      <c r="H550" s="7"/>
    </row>
    <row r="551" spans="2:8" ht="15.75" customHeight="1" x14ac:dyDescent="0.2">
      <c r="B551" s="3"/>
      <c r="F551" s="24"/>
      <c r="G551" s="3"/>
      <c r="H551" s="7"/>
    </row>
    <row r="552" spans="2:8" ht="15.75" customHeight="1" x14ac:dyDescent="0.2">
      <c r="B552" s="3"/>
      <c r="F552" s="24"/>
      <c r="G552" s="3"/>
      <c r="H552" s="7"/>
    </row>
    <row r="553" spans="2:8" ht="15.75" customHeight="1" x14ac:dyDescent="0.2">
      <c r="B553" s="3"/>
      <c r="F553" s="24"/>
      <c r="G553" s="3"/>
      <c r="H553" s="7"/>
    </row>
    <row r="554" spans="2:8" ht="15.75" customHeight="1" x14ac:dyDescent="0.2">
      <c r="B554" s="3"/>
      <c r="F554" s="24"/>
      <c r="G554" s="3"/>
      <c r="H554" s="7"/>
    </row>
    <row r="555" spans="2:8" ht="15.75" customHeight="1" x14ac:dyDescent="0.2">
      <c r="B555" s="3"/>
      <c r="F555" s="24"/>
      <c r="G555" s="3"/>
      <c r="H555" s="7"/>
    </row>
    <row r="556" spans="2:8" ht="15.75" customHeight="1" x14ac:dyDescent="0.2">
      <c r="B556" s="3"/>
      <c r="F556" s="24"/>
      <c r="G556" s="3"/>
      <c r="H556" s="7"/>
    </row>
    <row r="557" spans="2:8" ht="15.75" customHeight="1" x14ac:dyDescent="0.2">
      <c r="B557" s="3"/>
      <c r="F557" s="24"/>
      <c r="G557" s="3"/>
      <c r="H557" s="7"/>
    </row>
    <row r="558" spans="2:8" ht="15.75" customHeight="1" x14ac:dyDescent="0.2">
      <c r="B558" s="3"/>
      <c r="F558" s="24"/>
      <c r="G558" s="3"/>
      <c r="H558" s="7"/>
    </row>
    <row r="559" spans="2:8" ht="15.75" customHeight="1" x14ac:dyDescent="0.2">
      <c r="B559" s="3"/>
      <c r="F559" s="24"/>
      <c r="G559" s="3"/>
      <c r="H559" s="7"/>
    </row>
    <row r="560" spans="2:8" ht="15.75" customHeight="1" x14ac:dyDescent="0.2">
      <c r="B560" s="3"/>
      <c r="F560" s="24"/>
      <c r="G560" s="3"/>
      <c r="H560" s="7"/>
    </row>
    <row r="561" spans="2:8" ht="15.75" customHeight="1" x14ac:dyDescent="0.2">
      <c r="B561" s="3"/>
      <c r="F561" s="24"/>
      <c r="G561" s="3"/>
      <c r="H561" s="7"/>
    </row>
    <row r="562" spans="2:8" ht="15.75" customHeight="1" x14ac:dyDescent="0.2">
      <c r="B562" s="3"/>
      <c r="F562" s="24"/>
      <c r="G562" s="3"/>
      <c r="H562" s="7"/>
    </row>
    <row r="563" spans="2:8" ht="15.75" customHeight="1" x14ac:dyDescent="0.2">
      <c r="B563" s="3"/>
      <c r="F563" s="24"/>
      <c r="G563" s="3"/>
      <c r="H563" s="7"/>
    </row>
    <row r="564" spans="2:8" ht="15.75" customHeight="1" x14ac:dyDescent="0.2">
      <c r="B564" s="3"/>
      <c r="F564" s="24"/>
      <c r="G564" s="3"/>
      <c r="H564" s="7"/>
    </row>
    <row r="565" spans="2:8" ht="15.75" customHeight="1" x14ac:dyDescent="0.2">
      <c r="B565" s="3"/>
      <c r="F565" s="24"/>
      <c r="G565" s="3"/>
      <c r="H565" s="7"/>
    </row>
    <row r="566" spans="2:8" ht="15.75" customHeight="1" x14ac:dyDescent="0.2">
      <c r="B566" s="3"/>
      <c r="F566" s="24"/>
      <c r="G566" s="3"/>
      <c r="H566" s="7"/>
    </row>
    <row r="567" spans="2:8" ht="15.75" customHeight="1" x14ac:dyDescent="0.2">
      <c r="B567" s="3"/>
      <c r="F567" s="24"/>
      <c r="G567" s="3"/>
      <c r="H567" s="7"/>
    </row>
    <row r="568" spans="2:8" ht="15.75" customHeight="1" x14ac:dyDescent="0.2">
      <c r="B568" s="3"/>
      <c r="F568" s="24"/>
      <c r="G568" s="3"/>
      <c r="H568" s="7"/>
    </row>
    <row r="569" spans="2:8" ht="15.75" customHeight="1" x14ac:dyDescent="0.2">
      <c r="B569" s="3"/>
      <c r="F569" s="24"/>
      <c r="G569" s="3"/>
      <c r="H569" s="7"/>
    </row>
    <row r="570" spans="2:8" ht="15.75" customHeight="1" x14ac:dyDescent="0.2">
      <c r="B570" s="3"/>
      <c r="F570" s="24"/>
      <c r="G570" s="3"/>
      <c r="H570" s="7"/>
    </row>
    <row r="571" spans="2:8" ht="15.75" customHeight="1" x14ac:dyDescent="0.2">
      <c r="B571" s="3"/>
      <c r="F571" s="24"/>
      <c r="G571" s="3"/>
      <c r="H571" s="7"/>
    </row>
    <row r="572" spans="2:8" ht="15.75" customHeight="1" x14ac:dyDescent="0.2">
      <c r="B572" s="3"/>
      <c r="F572" s="24"/>
      <c r="G572" s="3"/>
      <c r="H572" s="7"/>
    </row>
    <row r="573" spans="2:8" ht="15.75" customHeight="1" x14ac:dyDescent="0.2">
      <c r="B573" s="3"/>
      <c r="F573" s="24"/>
      <c r="G573" s="3"/>
      <c r="H573" s="7"/>
    </row>
    <row r="574" spans="2:8" ht="15.75" customHeight="1" x14ac:dyDescent="0.2">
      <c r="B574" s="3"/>
      <c r="F574" s="24"/>
      <c r="G574" s="3"/>
      <c r="H574" s="7"/>
    </row>
    <row r="575" spans="2:8" ht="15.75" customHeight="1" x14ac:dyDescent="0.2">
      <c r="B575" s="3"/>
      <c r="F575" s="24"/>
      <c r="G575" s="3"/>
      <c r="H575" s="7"/>
    </row>
    <row r="576" spans="2:8" ht="15.75" customHeight="1" x14ac:dyDescent="0.2">
      <c r="B576" s="3"/>
      <c r="F576" s="24"/>
      <c r="G576" s="3"/>
      <c r="H576" s="7"/>
    </row>
    <row r="577" spans="2:8" ht="15.75" customHeight="1" x14ac:dyDescent="0.2">
      <c r="B577" s="3"/>
      <c r="F577" s="24"/>
      <c r="G577" s="3"/>
      <c r="H577" s="7"/>
    </row>
    <row r="578" spans="2:8" ht="15.75" customHeight="1" x14ac:dyDescent="0.2">
      <c r="B578" s="3"/>
      <c r="F578" s="24"/>
      <c r="G578" s="3"/>
      <c r="H578" s="7"/>
    </row>
    <row r="579" spans="2:8" ht="15.75" customHeight="1" x14ac:dyDescent="0.2">
      <c r="B579" s="3"/>
      <c r="F579" s="24"/>
      <c r="G579" s="3"/>
      <c r="H579" s="7"/>
    </row>
    <row r="580" spans="2:8" ht="15.75" customHeight="1" x14ac:dyDescent="0.2">
      <c r="B580" s="3"/>
      <c r="F580" s="24"/>
      <c r="G580" s="3"/>
      <c r="H580" s="7"/>
    </row>
    <row r="581" spans="2:8" ht="15.75" customHeight="1" x14ac:dyDescent="0.2">
      <c r="B581" s="3"/>
      <c r="F581" s="24"/>
      <c r="G581" s="3"/>
      <c r="H581" s="7"/>
    </row>
    <row r="582" spans="2:8" ht="15.75" customHeight="1" x14ac:dyDescent="0.2">
      <c r="B582" s="3"/>
      <c r="F582" s="24"/>
      <c r="G582" s="3"/>
      <c r="H582" s="7"/>
    </row>
    <row r="583" spans="2:8" ht="15.75" customHeight="1" x14ac:dyDescent="0.2">
      <c r="B583" s="3"/>
      <c r="F583" s="24"/>
      <c r="G583" s="3"/>
      <c r="H583" s="7"/>
    </row>
    <row r="584" spans="2:8" ht="15.75" customHeight="1" x14ac:dyDescent="0.2">
      <c r="B584" s="3"/>
      <c r="F584" s="24"/>
      <c r="G584" s="3"/>
      <c r="H584" s="7"/>
    </row>
    <row r="585" spans="2:8" ht="15.75" customHeight="1" x14ac:dyDescent="0.2">
      <c r="B585" s="3"/>
      <c r="F585" s="24"/>
      <c r="G585" s="3"/>
      <c r="H585" s="7"/>
    </row>
    <row r="586" spans="2:8" ht="15.75" customHeight="1" x14ac:dyDescent="0.2">
      <c r="B586" s="3"/>
      <c r="F586" s="24"/>
      <c r="G586" s="3"/>
      <c r="H586" s="7"/>
    </row>
    <row r="587" spans="2:8" ht="15.75" customHeight="1" x14ac:dyDescent="0.2">
      <c r="B587" s="3"/>
      <c r="F587" s="24"/>
      <c r="G587" s="3"/>
      <c r="H587" s="7"/>
    </row>
    <row r="588" spans="2:8" ht="15.75" customHeight="1" x14ac:dyDescent="0.2">
      <c r="B588" s="3"/>
      <c r="F588" s="24"/>
      <c r="G588" s="3"/>
      <c r="H588" s="7"/>
    </row>
    <row r="589" spans="2:8" ht="15.75" customHeight="1" x14ac:dyDescent="0.2">
      <c r="B589" s="3"/>
      <c r="F589" s="24"/>
      <c r="G589" s="3"/>
      <c r="H589" s="7"/>
    </row>
    <row r="590" spans="2:8" ht="15.75" customHeight="1" x14ac:dyDescent="0.2">
      <c r="B590" s="3"/>
      <c r="F590" s="24"/>
      <c r="G590" s="3"/>
      <c r="H590" s="7"/>
    </row>
    <row r="591" spans="2:8" ht="15.75" customHeight="1" x14ac:dyDescent="0.2">
      <c r="B591" s="3"/>
      <c r="F591" s="24"/>
      <c r="G591" s="3"/>
      <c r="H591" s="7"/>
    </row>
    <row r="592" spans="2:8" ht="15.75" customHeight="1" x14ac:dyDescent="0.2">
      <c r="B592" s="3"/>
      <c r="F592" s="24"/>
      <c r="G592" s="3"/>
      <c r="H592" s="7"/>
    </row>
    <row r="593" spans="2:8" ht="15.75" customHeight="1" x14ac:dyDescent="0.2">
      <c r="B593" s="3"/>
      <c r="F593" s="24"/>
      <c r="G593" s="3"/>
      <c r="H593" s="7"/>
    </row>
    <row r="594" spans="2:8" ht="15.75" customHeight="1" x14ac:dyDescent="0.2">
      <c r="B594" s="3"/>
      <c r="F594" s="24"/>
      <c r="G594" s="3"/>
      <c r="H594" s="7"/>
    </row>
    <row r="595" spans="2:8" ht="15.75" customHeight="1" x14ac:dyDescent="0.2">
      <c r="B595" s="3"/>
      <c r="F595" s="24"/>
      <c r="G595" s="3"/>
      <c r="H595" s="7"/>
    </row>
    <row r="596" spans="2:8" ht="15.75" customHeight="1" x14ac:dyDescent="0.2">
      <c r="B596" s="3"/>
      <c r="F596" s="24"/>
      <c r="G596" s="3"/>
      <c r="H596" s="7"/>
    </row>
    <row r="597" spans="2:8" ht="15.75" customHeight="1" x14ac:dyDescent="0.2">
      <c r="B597" s="3"/>
      <c r="F597" s="24"/>
      <c r="G597" s="3"/>
      <c r="H597" s="7"/>
    </row>
    <row r="598" spans="2:8" ht="15.75" customHeight="1" x14ac:dyDescent="0.2">
      <c r="B598" s="3"/>
      <c r="F598" s="24"/>
      <c r="G598" s="3"/>
      <c r="H598" s="7"/>
    </row>
    <row r="599" spans="2:8" ht="15.75" customHeight="1" x14ac:dyDescent="0.2">
      <c r="B599" s="3"/>
      <c r="F599" s="24"/>
      <c r="G599" s="3"/>
      <c r="H599" s="7"/>
    </row>
    <row r="600" spans="2:8" ht="15.75" customHeight="1" x14ac:dyDescent="0.2">
      <c r="B600" s="3"/>
      <c r="F600" s="24"/>
      <c r="G600" s="3"/>
      <c r="H600" s="7"/>
    </row>
    <row r="601" spans="2:8" ht="15.75" customHeight="1" x14ac:dyDescent="0.2">
      <c r="B601" s="3"/>
      <c r="F601" s="24"/>
      <c r="G601" s="3"/>
      <c r="H601" s="7"/>
    </row>
    <row r="602" spans="2:8" ht="15.75" customHeight="1" x14ac:dyDescent="0.2">
      <c r="B602" s="3"/>
      <c r="F602" s="24"/>
      <c r="G602" s="3"/>
      <c r="H602" s="7"/>
    </row>
    <row r="603" spans="2:8" ht="15.75" customHeight="1" x14ac:dyDescent="0.2">
      <c r="B603" s="3"/>
      <c r="F603" s="24"/>
      <c r="G603" s="3"/>
      <c r="H603" s="7"/>
    </row>
    <row r="604" spans="2:8" ht="15.75" customHeight="1" x14ac:dyDescent="0.2">
      <c r="B604" s="3"/>
      <c r="F604" s="24"/>
      <c r="G604" s="3"/>
      <c r="H604" s="7"/>
    </row>
    <row r="605" spans="2:8" ht="15.75" customHeight="1" x14ac:dyDescent="0.2">
      <c r="B605" s="3"/>
      <c r="F605" s="24"/>
      <c r="G605" s="3"/>
      <c r="H605" s="7"/>
    </row>
    <row r="606" spans="2:8" ht="15.75" customHeight="1" x14ac:dyDescent="0.2">
      <c r="B606" s="3"/>
      <c r="F606" s="24"/>
      <c r="G606" s="3"/>
      <c r="H606" s="7"/>
    </row>
    <row r="607" spans="2:8" ht="15.75" customHeight="1" x14ac:dyDescent="0.2">
      <c r="B607" s="3"/>
      <c r="F607" s="24"/>
      <c r="G607" s="3"/>
      <c r="H607" s="7"/>
    </row>
    <row r="608" spans="2:8" ht="15.75" customHeight="1" x14ac:dyDescent="0.2">
      <c r="B608" s="3"/>
      <c r="F608" s="24"/>
      <c r="G608" s="3"/>
      <c r="H608" s="7"/>
    </row>
    <row r="609" spans="2:8" ht="15.75" customHeight="1" x14ac:dyDescent="0.2">
      <c r="B609" s="3"/>
      <c r="F609" s="24"/>
      <c r="G609" s="3"/>
      <c r="H609" s="7"/>
    </row>
    <row r="610" spans="2:8" ht="15.75" customHeight="1" x14ac:dyDescent="0.2">
      <c r="B610" s="3"/>
      <c r="F610" s="24"/>
      <c r="G610" s="3"/>
      <c r="H610" s="7"/>
    </row>
    <row r="611" spans="2:8" ht="15.75" customHeight="1" x14ac:dyDescent="0.2">
      <c r="B611" s="3"/>
      <c r="F611" s="24"/>
      <c r="G611" s="3"/>
      <c r="H611" s="7"/>
    </row>
    <row r="612" spans="2:8" ht="15.75" customHeight="1" x14ac:dyDescent="0.2">
      <c r="B612" s="3"/>
      <c r="F612" s="24"/>
      <c r="G612" s="3"/>
      <c r="H612" s="7"/>
    </row>
    <row r="613" spans="2:8" ht="15.75" customHeight="1" x14ac:dyDescent="0.2">
      <c r="B613" s="3"/>
      <c r="F613" s="24"/>
      <c r="G613" s="3"/>
      <c r="H613" s="7"/>
    </row>
    <row r="614" spans="2:8" ht="15.75" customHeight="1" x14ac:dyDescent="0.2">
      <c r="B614" s="3"/>
      <c r="F614" s="24"/>
      <c r="G614" s="3"/>
      <c r="H614" s="7"/>
    </row>
    <row r="615" spans="2:8" ht="15.75" customHeight="1" x14ac:dyDescent="0.2">
      <c r="B615" s="3"/>
      <c r="F615" s="24"/>
      <c r="G615" s="3"/>
      <c r="H615" s="7"/>
    </row>
    <row r="616" spans="2:8" ht="15.75" customHeight="1" x14ac:dyDescent="0.2">
      <c r="B616" s="3"/>
      <c r="F616" s="24"/>
      <c r="G616" s="3"/>
      <c r="H616" s="7"/>
    </row>
    <row r="617" spans="2:8" ht="15.75" customHeight="1" x14ac:dyDescent="0.2">
      <c r="B617" s="3"/>
      <c r="F617" s="24"/>
      <c r="G617" s="3"/>
      <c r="H617" s="7"/>
    </row>
    <row r="618" spans="2:8" ht="15.75" customHeight="1" x14ac:dyDescent="0.2">
      <c r="B618" s="3"/>
      <c r="F618" s="24"/>
      <c r="G618" s="3"/>
      <c r="H618" s="7"/>
    </row>
    <row r="619" spans="2:8" ht="15.75" customHeight="1" x14ac:dyDescent="0.2">
      <c r="B619" s="3"/>
      <c r="F619" s="24"/>
      <c r="G619" s="3"/>
      <c r="H619" s="7"/>
    </row>
    <row r="620" spans="2:8" ht="15.75" customHeight="1" x14ac:dyDescent="0.2">
      <c r="B620" s="3"/>
      <c r="F620" s="24"/>
      <c r="G620" s="3"/>
      <c r="H620" s="7"/>
    </row>
    <row r="621" spans="2:8" ht="15.75" customHeight="1" x14ac:dyDescent="0.2">
      <c r="B621" s="3"/>
      <c r="F621" s="24"/>
      <c r="G621" s="3"/>
      <c r="H621" s="7"/>
    </row>
    <row r="622" spans="2:8" ht="15.75" customHeight="1" x14ac:dyDescent="0.2">
      <c r="B622" s="3"/>
      <c r="F622" s="24"/>
      <c r="G622" s="3"/>
      <c r="H622" s="7"/>
    </row>
    <row r="623" spans="2:8" ht="15.75" customHeight="1" x14ac:dyDescent="0.2">
      <c r="B623" s="3"/>
      <c r="F623" s="24"/>
      <c r="G623" s="3"/>
      <c r="H623" s="7"/>
    </row>
    <row r="624" spans="2:8" ht="15.75" customHeight="1" x14ac:dyDescent="0.2">
      <c r="B624" s="3"/>
      <c r="F624" s="24"/>
      <c r="G624" s="3"/>
      <c r="H624" s="7"/>
    </row>
    <row r="625" spans="2:8" ht="15.75" customHeight="1" x14ac:dyDescent="0.2">
      <c r="B625" s="3"/>
      <c r="F625" s="24"/>
      <c r="G625" s="3"/>
      <c r="H625" s="7"/>
    </row>
    <row r="626" spans="2:8" ht="15.75" customHeight="1" x14ac:dyDescent="0.2">
      <c r="B626" s="3"/>
      <c r="F626" s="24"/>
      <c r="G626" s="3"/>
      <c r="H626" s="7"/>
    </row>
    <row r="627" spans="2:8" ht="15.75" customHeight="1" x14ac:dyDescent="0.2">
      <c r="B627" s="3"/>
      <c r="F627" s="24"/>
      <c r="G627" s="3"/>
      <c r="H627" s="7"/>
    </row>
    <row r="628" spans="2:8" ht="15.75" customHeight="1" x14ac:dyDescent="0.2">
      <c r="B628" s="3"/>
      <c r="F628" s="24"/>
      <c r="G628" s="3"/>
      <c r="H628" s="7"/>
    </row>
    <row r="629" spans="2:8" ht="15.75" customHeight="1" x14ac:dyDescent="0.2">
      <c r="B629" s="3"/>
      <c r="F629" s="24"/>
      <c r="G629" s="3"/>
      <c r="H629" s="7"/>
    </row>
    <row r="630" spans="2:8" ht="15.75" customHeight="1" x14ac:dyDescent="0.2">
      <c r="B630" s="3"/>
      <c r="F630" s="24"/>
      <c r="G630" s="3"/>
      <c r="H630" s="7"/>
    </row>
    <row r="631" spans="2:8" ht="15.75" customHeight="1" x14ac:dyDescent="0.2">
      <c r="B631" s="3"/>
      <c r="F631" s="24"/>
      <c r="G631" s="3"/>
      <c r="H631" s="7"/>
    </row>
    <row r="632" spans="2:8" ht="15.75" customHeight="1" x14ac:dyDescent="0.2">
      <c r="B632" s="3"/>
      <c r="F632" s="24"/>
      <c r="G632" s="3"/>
      <c r="H632" s="7"/>
    </row>
    <row r="633" spans="2:8" ht="15.75" customHeight="1" x14ac:dyDescent="0.2">
      <c r="B633" s="3"/>
      <c r="F633" s="24"/>
      <c r="G633" s="3"/>
      <c r="H633" s="7"/>
    </row>
    <row r="634" spans="2:8" ht="15.75" customHeight="1" x14ac:dyDescent="0.2">
      <c r="B634" s="3"/>
      <c r="F634" s="24"/>
      <c r="G634" s="3"/>
      <c r="H634" s="7"/>
    </row>
    <row r="635" spans="2:8" ht="15.75" customHeight="1" x14ac:dyDescent="0.2">
      <c r="B635" s="3"/>
      <c r="F635" s="24"/>
      <c r="G635" s="3"/>
      <c r="H635" s="7"/>
    </row>
    <row r="636" spans="2:8" ht="15.75" customHeight="1" x14ac:dyDescent="0.2">
      <c r="B636" s="3"/>
      <c r="F636" s="24"/>
      <c r="G636" s="3"/>
      <c r="H636" s="7"/>
    </row>
    <row r="637" spans="2:8" ht="15.75" customHeight="1" x14ac:dyDescent="0.2">
      <c r="B637" s="3"/>
      <c r="F637" s="24"/>
      <c r="G637" s="3"/>
      <c r="H637" s="7"/>
    </row>
    <row r="638" spans="2:8" ht="15.75" customHeight="1" x14ac:dyDescent="0.2">
      <c r="B638" s="3"/>
      <c r="F638" s="24"/>
      <c r="G638" s="3"/>
      <c r="H638" s="7"/>
    </row>
    <row r="639" spans="2:8" ht="15.75" customHeight="1" x14ac:dyDescent="0.2">
      <c r="B639" s="3"/>
      <c r="F639" s="24"/>
      <c r="G639" s="3"/>
      <c r="H639" s="7"/>
    </row>
    <row r="640" spans="2:8" ht="15.75" customHeight="1" x14ac:dyDescent="0.2">
      <c r="B640" s="3"/>
      <c r="F640" s="24"/>
      <c r="G640" s="3"/>
      <c r="H640" s="7"/>
    </row>
    <row r="641" spans="2:8" ht="15.75" customHeight="1" x14ac:dyDescent="0.2">
      <c r="B641" s="3"/>
      <c r="F641" s="24"/>
      <c r="G641" s="3"/>
      <c r="H641" s="7"/>
    </row>
    <row r="642" spans="2:8" ht="15.75" customHeight="1" x14ac:dyDescent="0.2">
      <c r="B642" s="3"/>
      <c r="F642" s="24"/>
      <c r="G642" s="3"/>
      <c r="H642" s="7"/>
    </row>
    <row r="643" spans="2:8" ht="15.75" customHeight="1" x14ac:dyDescent="0.2">
      <c r="B643" s="3"/>
      <c r="F643" s="24"/>
      <c r="G643" s="3"/>
      <c r="H643" s="7"/>
    </row>
    <row r="644" spans="2:8" ht="15.75" customHeight="1" x14ac:dyDescent="0.2">
      <c r="B644" s="3"/>
      <c r="F644" s="24"/>
      <c r="G644" s="3"/>
      <c r="H644" s="7"/>
    </row>
    <row r="645" spans="2:8" ht="15.75" customHeight="1" x14ac:dyDescent="0.2">
      <c r="B645" s="3"/>
      <c r="F645" s="24"/>
      <c r="G645" s="3"/>
      <c r="H645" s="7"/>
    </row>
    <row r="646" spans="2:8" ht="15.75" customHeight="1" x14ac:dyDescent="0.2">
      <c r="B646" s="3"/>
      <c r="F646" s="24"/>
      <c r="G646" s="3"/>
      <c r="H646" s="7"/>
    </row>
    <row r="647" spans="2:8" ht="15.75" customHeight="1" x14ac:dyDescent="0.2">
      <c r="B647" s="3"/>
      <c r="F647" s="24"/>
      <c r="G647" s="3"/>
      <c r="H647" s="7"/>
    </row>
    <row r="648" spans="2:8" ht="15.75" customHeight="1" x14ac:dyDescent="0.2">
      <c r="B648" s="3"/>
      <c r="F648" s="24"/>
      <c r="G648" s="3"/>
      <c r="H648" s="7"/>
    </row>
    <row r="649" spans="2:8" ht="15.75" customHeight="1" x14ac:dyDescent="0.2">
      <c r="B649" s="3"/>
      <c r="F649" s="24"/>
      <c r="G649" s="3"/>
      <c r="H649" s="7"/>
    </row>
    <row r="650" spans="2:8" ht="15.75" customHeight="1" x14ac:dyDescent="0.2">
      <c r="B650" s="3"/>
      <c r="F650" s="24"/>
      <c r="G650" s="3"/>
      <c r="H650" s="7"/>
    </row>
    <row r="651" spans="2:8" ht="15.75" customHeight="1" x14ac:dyDescent="0.2">
      <c r="B651" s="3"/>
      <c r="F651" s="24"/>
      <c r="G651" s="3"/>
      <c r="H651" s="7"/>
    </row>
    <row r="652" spans="2:8" ht="15.75" customHeight="1" x14ac:dyDescent="0.2">
      <c r="B652" s="3"/>
      <c r="F652" s="24"/>
      <c r="G652" s="3"/>
      <c r="H652" s="7"/>
    </row>
    <row r="653" spans="2:8" ht="15.75" customHeight="1" x14ac:dyDescent="0.2">
      <c r="B653" s="3"/>
      <c r="F653" s="24"/>
      <c r="G653" s="3"/>
      <c r="H653" s="7"/>
    </row>
    <row r="654" spans="2:8" ht="15.75" customHeight="1" x14ac:dyDescent="0.2">
      <c r="B654" s="3"/>
      <c r="F654" s="24"/>
      <c r="G654" s="3"/>
      <c r="H654" s="7"/>
    </row>
    <row r="655" spans="2:8" ht="15.75" customHeight="1" x14ac:dyDescent="0.2">
      <c r="B655" s="3"/>
      <c r="F655" s="24"/>
      <c r="G655" s="3"/>
      <c r="H655" s="7"/>
    </row>
    <row r="656" spans="2:8" ht="15.75" customHeight="1" x14ac:dyDescent="0.2">
      <c r="B656" s="3"/>
      <c r="F656" s="24"/>
      <c r="G656" s="3"/>
      <c r="H656" s="7"/>
    </row>
    <row r="657" spans="2:8" ht="15.75" customHeight="1" x14ac:dyDescent="0.2">
      <c r="B657" s="3"/>
      <c r="F657" s="24"/>
      <c r="G657" s="3"/>
      <c r="H657" s="7"/>
    </row>
    <row r="658" spans="2:8" ht="15.75" customHeight="1" x14ac:dyDescent="0.2">
      <c r="B658" s="3"/>
      <c r="F658" s="24"/>
      <c r="G658" s="3"/>
      <c r="H658" s="7"/>
    </row>
    <row r="659" spans="2:8" ht="15.75" customHeight="1" x14ac:dyDescent="0.2">
      <c r="B659" s="3"/>
      <c r="F659" s="24"/>
      <c r="G659" s="3"/>
      <c r="H659" s="7"/>
    </row>
    <row r="660" spans="2:8" ht="15.75" customHeight="1" x14ac:dyDescent="0.2">
      <c r="B660" s="3"/>
      <c r="F660" s="24"/>
      <c r="G660" s="3"/>
      <c r="H660" s="7"/>
    </row>
    <row r="661" spans="2:8" ht="15.75" customHeight="1" x14ac:dyDescent="0.2">
      <c r="B661" s="3"/>
      <c r="F661" s="24"/>
      <c r="G661" s="3"/>
      <c r="H661" s="7"/>
    </row>
    <row r="662" spans="2:8" ht="15.75" customHeight="1" x14ac:dyDescent="0.2">
      <c r="B662" s="3"/>
      <c r="F662" s="24"/>
      <c r="G662" s="3"/>
      <c r="H662" s="7"/>
    </row>
    <row r="663" spans="2:8" ht="15.75" customHeight="1" x14ac:dyDescent="0.2">
      <c r="B663" s="3"/>
      <c r="F663" s="24"/>
      <c r="G663" s="3"/>
      <c r="H663" s="7"/>
    </row>
    <row r="664" spans="2:8" ht="15.75" customHeight="1" x14ac:dyDescent="0.2">
      <c r="B664" s="3"/>
      <c r="F664" s="24"/>
      <c r="G664" s="3"/>
      <c r="H664" s="7"/>
    </row>
    <row r="665" spans="2:8" ht="15.75" customHeight="1" x14ac:dyDescent="0.2">
      <c r="B665" s="3"/>
      <c r="F665" s="24"/>
      <c r="G665" s="3"/>
      <c r="H665" s="7"/>
    </row>
    <row r="666" spans="2:8" ht="15.75" customHeight="1" x14ac:dyDescent="0.2">
      <c r="B666" s="3"/>
      <c r="F666" s="24"/>
      <c r="G666" s="3"/>
      <c r="H666" s="7"/>
    </row>
    <row r="667" spans="2:8" ht="15.75" customHeight="1" x14ac:dyDescent="0.2">
      <c r="B667" s="3"/>
      <c r="F667" s="24"/>
      <c r="G667" s="3"/>
      <c r="H667" s="7"/>
    </row>
    <row r="668" spans="2:8" ht="15.75" customHeight="1" x14ac:dyDescent="0.2">
      <c r="B668" s="3"/>
      <c r="F668" s="24"/>
      <c r="G668" s="3"/>
      <c r="H668" s="7"/>
    </row>
    <row r="669" spans="2:8" ht="15.75" customHeight="1" x14ac:dyDescent="0.2">
      <c r="B669" s="3"/>
      <c r="F669" s="24"/>
      <c r="G669" s="3"/>
      <c r="H669" s="7"/>
    </row>
    <row r="670" spans="2:8" ht="15.75" customHeight="1" x14ac:dyDescent="0.2">
      <c r="B670" s="3"/>
      <c r="F670" s="24"/>
      <c r="G670" s="3"/>
      <c r="H670" s="7"/>
    </row>
    <row r="671" spans="2:8" ht="15.75" customHeight="1" x14ac:dyDescent="0.2">
      <c r="B671" s="3"/>
      <c r="F671" s="24"/>
      <c r="G671" s="3"/>
      <c r="H671" s="7"/>
    </row>
    <row r="672" spans="2:8" ht="15.75" customHeight="1" x14ac:dyDescent="0.2">
      <c r="B672" s="3"/>
      <c r="F672" s="24"/>
      <c r="G672" s="3"/>
      <c r="H672" s="7"/>
    </row>
    <row r="673" spans="2:8" ht="15.75" customHeight="1" x14ac:dyDescent="0.2">
      <c r="B673" s="3"/>
      <c r="F673" s="24"/>
      <c r="G673" s="3"/>
      <c r="H673" s="7"/>
    </row>
    <row r="674" spans="2:8" ht="15.75" customHeight="1" x14ac:dyDescent="0.2">
      <c r="B674" s="3"/>
      <c r="F674" s="24"/>
      <c r="G674" s="3"/>
      <c r="H674" s="7"/>
    </row>
    <row r="675" spans="2:8" ht="15.75" customHeight="1" x14ac:dyDescent="0.2">
      <c r="B675" s="3"/>
      <c r="F675" s="24"/>
      <c r="G675" s="3"/>
      <c r="H675" s="7"/>
    </row>
    <row r="676" spans="2:8" ht="15.75" customHeight="1" x14ac:dyDescent="0.2">
      <c r="B676" s="3"/>
      <c r="F676" s="24"/>
      <c r="G676" s="3"/>
      <c r="H676" s="7"/>
    </row>
    <row r="677" spans="2:8" ht="15.75" customHeight="1" x14ac:dyDescent="0.2">
      <c r="B677" s="3"/>
      <c r="F677" s="24"/>
      <c r="G677" s="3"/>
      <c r="H677" s="7"/>
    </row>
    <row r="678" spans="2:8" ht="15.75" customHeight="1" x14ac:dyDescent="0.2">
      <c r="B678" s="3"/>
      <c r="F678" s="24"/>
      <c r="G678" s="3"/>
      <c r="H678" s="7"/>
    </row>
    <row r="679" spans="2:8" ht="15.75" customHeight="1" x14ac:dyDescent="0.2">
      <c r="B679" s="3"/>
      <c r="F679" s="24"/>
      <c r="G679" s="3"/>
      <c r="H679" s="7"/>
    </row>
    <row r="680" spans="2:8" ht="15.75" customHeight="1" x14ac:dyDescent="0.2">
      <c r="B680" s="3"/>
      <c r="F680" s="24"/>
      <c r="G680" s="3"/>
      <c r="H680" s="7"/>
    </row>
    <row r="681" spans="2:8" ht="15.75" customHeight="1" x14ac:dyDescent="0.2">
      <c r="B681" s="3"/>
      <c r="F681" s="24"/>
      <c r="G681" s="3"/>
      <c r="H681" s="7"/>
    </row>
    <row r="682" spans="2:8" ht="15.75" customHeight="1" x14ac:dyDescent="0.2">
      <c r="B682" s="3"/>
      <c r="F682" s="24"/>
      <c r="G682" s="3"/>
      <c r="H682" s="7"/>
    </row>
    <row r="683" spans="2:8" ht="15.75" customHeight="1" x14ac:dyDescent="0.2">
      <c r="B683" s="3"/>
      <c r="F683" s="24"/>
      <c r="G683" s="3"/>
      <c r="H683" s="7"/>
    </row>
    <row r="684" spans="2:8" ht="15.75" customHeight="1" x14ac:dyDescent="0.2">
      <c r="B684" s="3"/>
      <c r="F684" s="24"/>
      <c r="G684" s="3"/>
      <c r="H684" s="7"/>
    </row>
    <row r="685" spans="2:8" ht="15.75" customHeight="1" x14ac:dyDescent="0.2">
      <c r="B685" s="3"/>
      <c r="F685" s="24"/>
      <c r="G685" s="3"/>
      <c r="H685" s="7"/>
    </row>
    <row r="686" spans="2:8" ht="15.75" customHeight="1" x14ac:dyDescent="0.2">
      <c r="B686" s="3"/>
      <c r="F686" s="24"/>
      <c r="G686" s="3"/>
      <c r="H686" s="7"/>
    </row>
    <row r="687" spans="2:8" ht="15.75" customHeight="1" x14ac:dyDescent="0.2">
      <c r="B687" s="3"/>
      <c r="F687" s="24"/>
      <c r="G687" s="3"/>
      <c r="H687" s="7"/>
    </row>
    <row r="688" spans="2:8" ht="15.75" customHeight="1" x14ac:dyDescent="0.2">
      <c r="B688" s="3"/>
      <c r="F688" s="24"/>
      <c r="G688" s="3"/>
      <c r="H688" s="7"/>
    </row>
    <row r="689" spans="2:8" ht="15.75" customHeight="1" x14ac:dyDescent="0.2">
      <c r="B689" s="3"/>
      <c r="F689" s="24"/>
      <c r="G689" s="3"/>
      <c r="H689" s="7"/>
    </row>
    <row r="690" spans="2:8" ht="15.75" customHeight="1" x14ac:dyDescent="0.2">
      <c r="B690" s="3"/>
      <c r="F690" s="24"/>
      <c r="G690" s="3"/>
      <c r="H690" s="7"/>
    </row>
    <row r="691" spans="2:8" ht="15.75" customHeight="1" x14ac:dyDescent="0.2">
      <c r="B691" s="3"/>
      <c r="F691" s="24"/>
      <c r="G691" s="3"/>
      <c r="H691" s="7"/>
    </row>
    <row r="692" spans="2:8" ht="15.75" customHeight="1" x14ac:dyDescent="0.2">
      <c r="B692" s="3"/>
      <c r="F692" s="24"/>
      <c r="G692" s="3"/>
      <c r="H692" s="7"/>
    </row>
    <row r="693" spans="2:8" ht="15.75" customHeight="1" x14ac:dyDescent="0.2">
      <c r="B693" s="3"/>
      <c r="F693" s="24"/>
      <c r="G693" s="3"/>
      <c r="H693" s="7"/>
    </row>
    <row r="694" spans="2:8" ht="15.75" customHeight="1" x14ac:dyDescent="0.2">
      <c r="B694" s="3"/>
      <c r="F694" s="24"/>
      <c r="G694" s="3"/>
      <c r="H694" s="7"/>
    </row>
    <row r="695" spans="2:8" ht="15.75" customHeight="1" x14ac:dyDescent="0.2">
      <c r="B695" s="3"/>
      <c r="F695" s="24"/>
      <c r="G695" s="3"/>
      <c r="H695" s="7"/>
    </row>
    <row r="696" spans="2:8" ht="15.75" customHeight="1" x14ac:dyDescent="0.2">
      <c r="B696" s="3"/>
      <c r="F696" s="24"/>
      <c r="G696" s="3"/>
      <c r="H696" s="7"/>
    </row>
    <row r="697" spans="2:8" ht="15.75" customHeight="1" x14ac:dyDescent="0.2">
      <c r="B697" s="3"/>
      <c r="F697" s="24"/>
      <c r="G697" s="3"/>
      <c r="H697" s="7"/>
    </row>
    <row r="698" spans="2:8" ht="15.75" customHeight="1" x14ac:dyDescent="0.2">
      <c r="B698" s="3"/>
      <c r="F698" s="24"/>
      <c r="G698" s="3"/>
      <c r="H698" s="7"/>
    </row>
    <row r="699" spans="2:8" ht="15.75" customHeight="1" x14ac:dyDescent="0.2">
      <c r="B699" s="3"/>
      <c r="F699" s="24"/>
      <c r="G699" s="3"/>
      <c r="H699" s="7"/>
    </row>
    <row r="700" spans="2:8" ht="15.75" customHeight="1" x14ac:dyDescent="0.2">
      <c r="B700" s="3"/>
      <c r="F700" s="24"/>
      <c r="G700" s="3"/>
      <c r="H700" s="7"/>
    </row>
    <row r="701" spans="2:8" ht="15.75" customHeight="1" x14ac:dyDescent="0.2">
      <c r="B701" s="3"/>
      <c r="F701" s="24"/>
      <c r="G701" s="3"/>
      <c r="H701" s="7"/>
    </row>
    <row r="702" spans="2:8" ht="15.75" customHeight="1" x14ac:dyDescent="0.2">
      <c r="B702" s="3"/>
      <c r="F702" s="24"/>
      <c r="G702" s="3"/>
      <c r="H702" s="7"/>
    </row>
    <row r="703" spans="2:8" ht="15.75" customHeight="1" x14ac:dyDescent="0.2">
      <c r="B703" s="3"/>
      <c r="F703" s="24"/>
      <c r="G703" s="3"/>
      <c r="H703" s="7"/>
    </row>
    <row r="704" spans="2:8" ht="15.75" customHeight="1" x14ac:dyDescent="0.2">
      <c r="B704" s="3"/>
      <c r="F704" s="24"/>
      <c r="G704" s="3"/>
      <c r="H704" s="7"/>
    </row>
    <row r="705" spans="2:8" ht="15.75" customHeight="1" x14ac:dyDescent="0.2">
      <c r="B705" s="3"/>
      <c r="F705" s="24"/>
      <c r="G705" s="3"/>
      <c r="H705" s="7"/>
    </row>
    <row r="706" spans="2:8" ht="15.75" customHeight="1" x14ac:dyDescent="0.2">
      <c r="B706" s="3"/>
      <c r="F706" s="24"/>
      <c r="G706" s="3"/>
      <c r="H706" s="7"/>
    </row>
    <row r="707" spans="2:8" ht="15.75" customHeight="1" x14ac:dyDescent="0.2">
      <c r="B707" s="3"/>
      <c r="F707" s="24"/>
      <c r="G707" s="3"/>
      <c r="H707" s="7"/>
    </row>
    <row r="708" spans="2:8" ht="15.75" customHeight="1" x14ac:dyDescent="0.2">
      <c r="B708" s="3"/>
      <c r="F708" s="24"/>
      <c r="G708" s="3"/>
      <c r="H708" s="7"/>
    </row>
    <row r="709" spans="2:8" ht="15.75" customHeight="1" x14ac:dyDescent="0.2">
      <c r="B709" s="3"/>
      <c r="F709" s="24"/>
      <c r="G709" s="3"/>
      <c r="H709" s="7"/>
    </row>
    <row r="710" spans="2:8" ht="15.75" customHeight="1" x14ac:dyDescent="0.2">
      <c r="B710" s="3"/>
      <c r="F710" s="24"/>
      <c r="G710" s="3"/>
      <c r="H710" s="7"/>
    </row>
    <row r="711" spans="2:8" ht="15.75" customHeight="1" x14ac:dyDescent="0.2">
      <c r="B711" s="3"/>
      <c r="F711" s="24"/>
      <c r="G711" s="3"/>
      <c r="H711" s="7"/>
    </row>
    <row r="712" spans="2:8" ht="15.75" customHeight="1" x14ac:dyDescent="0.2">
      <c r="B712" s="3"/>
      <c r="F712" s="24"/>
      <c r="G712" s="3"/>
      <c r="H712" s="7"/>
    </row>
    <row r="713" spans="2:8" ht="15.75" customHeight="1" x14ac:dyDescent="0.2">
      <c r="B713" s="3"/>
      <c r="F713" s="24"/>
      <c r="G713" s="3"/>
      <c r="H713" s="7"/>
    </row>
    <row r="714" spans="2:8" ht="15.75" customHeight="1" x14ac:dyDescent="0.2">
      <c r="B714" s="3"/>
      <c r="F714" s="24"/>
      <c r="G714" s="3"/>
      <c r="H714" s="7"/>
    </row>
    <row r="715" spans="2:8" ht="15.75" customHeight="1" x14ac:dyDescent="0.2">
      <c r="B715" s="3"/>
      <c r="F715" s="24"/>
      <c r="G715" s="3"/>
      <c r="H715" s="7"/>
    </row>
    <row r="716" spans="2:8" ht="15.75" customHeight="1" x14ac:dyDescent="0.2">
      <c r="B716" s="3"/>
      <c r="F716" s="24"/>
      <c r="G716" s="3"/>
      <c r="H716" s="7"/>
    </row>
    <row r="717" spans="2:8" ht="15.75" customHeight="1" x14ac:dyDescent="0.2">
      <c r="B717" s="3"/>
      <c r="F717" s="24"/>
      <c r="G717" s="3"/>
      <c r="H717" s="7"/>
    </row>
    <row r="718" spans="2:8" ht="15.75" customHeight="1" x14ac:dyDescent="0.2">
      <c r="B718" s="3"/>
      <c r="F718" s="24"/>
      <c r="G718" s="3"/>
      <c r="H718" s="7"/>
    </row>
    <row r="719" spans="2:8" ht="15.75" customHeight="1" x14ac:dyDescent="0.2">
      <c r="B719" s="3"/>
      <c r="F719" s="24"/>
      <c r="G719" s="3"/>
      <c r="H719" s="7"/>
    </row>
    <row r="720" spans="2:8" ht="15.75" customHeight="1" x14ac:dyDescent="0.2">
      <c r="B720" s="3"/>
      <c r="F720" s="24"/>
      <c r="G720" s="3"/>
      <c r="H720" s="7"/>
    </row>
    <row r="721" spans="2:8" ht="15.75" customHeight="1" x14ac:dyDescent="0.2">
      <c r="B721" s="3"/>
      <c r="F721" s="24"/>
      <c r="G721" s="3"/>
      <c r="H721" s="7"/>
    </row>
    <row r="722" spans="2:8" ht="15.75" customHeight="1" x14ac:dyDescent="0.2">
      <c r="B722" s="3"/>
      <c r="F722" s="24"/>
      <c r="G722" s="3"/>
      <c r="H722" s="7"/>
    </row>
    <row r="723" spans="2:8" ht="15.75" customHeight="1" x14ac:dyDescent="0.2">
      <c r="B723" s="3"/>
      <c r="F723" s="24"/>
      <c r="G723" s="3"/>
      <c r="H723" s="7"/>
    </row>
    <row r="724" spans="2:8" ht="15.75" customHeight="1" x14ac:dyDescent="0.2">
      <c r="B724" s="3"/>
      <c r="F724" s="24"/>
      <c r="G724" s="3"/>
      <c r="H724" s="7"/>
    </row>
    <row r="725" spans="2:8" ht="15.75" customHeight="1" x14ac:dyDescent="0.2">
      <c r="B725" s="3"/>
      <c r="F725" s="24"/>
      <c r="G725" s="3"/>
      <c r="H725" s="7"/>
    </row>
    <row r="726" spans="2:8" ht="15.75" customHeight="1" x14ac:dyDescent="0.2">
      <c r="B726" s="3"/>
      <c r="F726" s="24"/>
      <c r="G726" s="3"/>
      <c r="H726" s="7"/>
    </row>
    <row r="727" spans="2:8" ht="15.75" customHeight="1" x14ac:dyDescent="0.2">
      <c r="B727" s="3"/>
      <c r="F727" s="24"/>
      <c r="G727" s="3"/>
      <c r="H727" s="7"/>
    </row>
    <row r="728" spans="2:8" ht="15.75" customHeight="1" x14ac:dyDescent="0.2">
      <c r="B728" s="3"/>
      <c r="F728" s="24"/>
      <c r="G728" s="3"/>
      <c r="H728" s="7"/>
    </row>
    <row r="729" spans="2:8" ht="15.75" customHeight="1" x14ac:dyDescent="0.2">
      <c r="B729" s="3"/>
      <c r="F729" s="24"/>
      <c r="G729" s="3"/>
      <c r="H729" s="7"/>
    </row>
    <row r="730" spans="2:8" ht="15.75" customHeight="1" x14ac:dyDescent="0.2">
      <c r="B730" s="3"/>
      <c r="F730" s="24"/>
      <c r="G730" s="3"/>
      <c r="H730" s="7"/>
    </row>
    <row r="731" spans="2:8" ht="15.75" customHeight="1" x14ac:dyDescent="0.2">
      <c r="B731" s="3"/>
      <c r="F731" s="24"/>
      <c r="G731" s="3"/>
      <c r="H731" s="7"/>
    </row>
    <row r="732" spans="2:8" ht="15.75" customHeight="1" x14ac:dyDescent="0.2">
      <c r="B732" s="3"/>
      <c r="F732" s="24"/>
      <c r="G732" s="3"/>
      <c r="H732" s="7"/>
    </row>
    <row r="733" spans="2:8" ht="15.75" customHeight="1" x14ac:dyDescent="0.2">
      <c r="B733" s="3"/>
      <c r="F733" s="24"/>
      <c r="G733" s="3"/>
      <c r="H733" s="7"/>
    </row>
    <row r="734" spans="2:8" ht="15.75" customHeight="1" x14ac:dyDescent="0.2">
      <c r="B734" s="3"/>
      <c r="F734" s="24"/>
      <c r="G734" s="3"/>
      <c r="H734" s="7"/>
    </row>
    <row r="735" spans="2:8" ht="15.75" customHeight="1" x14ac:dyDescent="0.2">
      <c r="B735" s="3"/>
      <c r="F735" s="24"/>
      <c r="G735" s="3"/>
      <c r="H735" s="7"/>
    </row>
    <row r="736" spans="2:8" ht="15.75" customHeight="1" x14ac:dyDescent="0.2">
      <c r="B736" s="3"/>
      <c r="F736" s="24"/>
      <c r="G736" s="3"/>
      <c r="H736" s="7"/>
    </row>
    <row r="737" spans="2:8" ht="15.75" customHeight="1" x14ac:dyDescent="0.2">
      <c r="B737" s="3"/>
      <c r="F737" s="24"/>
      <c r="G737" s="3"/>
      <c r="H737" s="7"/>
    </row>
    <row r="738" spans="2:8" ht="15.75" customHeight="1" x14ac:dyDescent="0.2">
      <c r="B738" s="3"/>
      <c r="F738" s="24"/>
      <c r="G738" s="3"/>
      <c r="H738" s="7"/>
    </row>
    <row r="739" spans="2:8" ht="15.75" customHeight="1" x14ac:dyDescent="0.2">
      <c r="B739" s="3"/>
      <c r="F739" s="24"/>
      <c r="G739" s="3"/>
      <c r="H739" s="7"/>
    </row>
    <row r="740" spans="2:8" ht="15.75" customHeight="1" x14ac:dyDescent="0.2">
      <c r="B740" s="3"/>
      <c r="F740" s="24"/>
      <c r="G740" s="3"/>
      <c r="H740" s="7"/>
    </row>
    <row r="741" spans="2:8" ht="15.75" customHeight="1" x14ac:dyDescent="0.2">
      <c r="B741" s="3"/>
      <c r="F741" s="24"/>
      <c r="G741" s="3"/>
      <c r="H741" s="7"/>
    </row>
    <row r="742" spans="2:8" ht="15.75" customHeight="1" x14ac:dyDescent="0.2">
      <c r="B742" s="3"/>
      <c r="F742" s="24"/>
      <c r="G742" s="3"/>
      <c r="H742" s="7"/>
    </row>
    <row r="743" spans="2:8" ht="15.75" customHeight="1" x14ac:dyDescent="0.2">
      <c r="B743" s="3"/>
      <c r="F743" s="24"/>
      <c r="G743" s="3"/>
      <c r="H743" s="7"/>
    </row>
    <row r="744" spans="2:8" ht="15.75" customHeight="1" x14ac:dyDescent="0.2">
      <c r="B744" s="3"/>
      <c r="F744" s="24"/>
      <c r="G744" s="3"/>
      <c r="H744" s="7"/>
    </row>
    <row r="745" spans="2:8" ht="15.75" customHeight="1" x14ac:dyDescent="0.2">
      <c r="B745" s="3"/>
      <c r="F745" s="24"/>
      <c r="G745" s="3"/>
      <c r="H745" s="7"/>
    </row>
    <row r="746" spans="2:8" ht="15.75" customHeight="1" x14ac:dyDescent="0.2">
      <c r="B746" s="3"/>
      <c r="F746" s="24"/>
      <c r="G746" s="3"/>
      <c r="H746" s="7"/>
    </row>
    <row r="747" spans="2:8" ht="15.75" customHeight="1" x14ac:dyDescent="0.2">
      <c r="B747" s="3"/>
      <c r="F747" s="24"/>
      <c r="G747" s="3"/>
      <c r="H747" s="7"/>
    </row>
    <row r="748" spans="2:8" ht="15.75" customHeight="1" x14ac:dyDescent="0.2">
      <c r="B748" s="3"/>
      <c r="F748" s="24"/>
      <c r="G748" s="3"/>
      <c r="H748" s="7"/>
    </row>
    <row r="749" spans="2:8" ht="15.75" customHeight="1" x14ac:dyDescent="0.2">
      <c r="B749" s="3"/>
      <c r="F749" s="24"/>
      <c r="G749" s="3"/>
      <c r="H749" s="7"/>
    </row>
    <row r="750" spans="2:8" ht="15.75" customHeight="1" x14ac:dyDescent="0.2">
      <c r="B750" s="3"/>
      <c r="F750" s="24"/>
      <c r="G750" s="3"/>
      <c r="H750" s="7"/>
    </row>
    <row r="751" spans="2:8" ht="15.75" customHeight="1" x14ac:dyDescent="0.2">
      <c r="B751" s="3"/>
      <c r="F751" s="24"/>
      <c r="G751" s="3"/>
      <c r="H751" s="7"/>
    </row>
    <row r="752" spans="2:8" ht="15.75" customHeight="1" x14ac:dyDescent="0.2">
      <c r="B752" s="3"/>
      <c r="F752" s="24"/>
      <c r="G752" s="3"/>
      <c r="H752" s="7"/>
    </row>
    <row r="753" spans="2:8" ht="15.75" customHeight="1" x14ac:dyDescent="0.2">
      <c r="B753" s="3"/>
      <c r="F753" s="24"/>
      <c r="G753" s="3"/>
      <c r="H753" s="7"/>
    </row>
    <row r="754" spans="2:8" ht="15.75" customHeight="1" x14ac:dyDescent="0.2">
      <c r="B754" s="3"/>
      <c r="F754" s="24"/>
      <c r="G754" s="3"/>
      <c r="H754" s="7"/>
    </row>
    <row r="755" spans="2:8" ht="15.75" customHeight="1" x14ac:dyDescent="0.2">
      <c r="B755" s="3"/>
      <c r="F755" s="24"/>
      <c r="G755" s="3"/>
      <c r="H755" s="7"/>
    </row>
    <row r="756" spans="2:8" ht="15.75" customHeight="1" x14ac:dyDescent="0.2">
      <c r="B756" s="3"/>
      <c r="F756" s="24"/>
      <c r="G756" s="3"/>
      <c r="H756" s="7"/>
    </row>
    <row r="757" spans="2:8" ht="15.75" customHeight="1" x14ac:dyDescent="0.2">
      <c r="B757" s="3"/>
      <c r="F757" s="24"/>
      <c r="G757" s="3"/>
      <c r="H757" s="7"/>
    </row>
    <row r="758" spans="2:8" ht="15.75" customHeight="1" x14ac:dyDescent="0.2">
      <c r="B758" s="3"/>
      <c r="F758" s="24"/>
      <c r="G758" s="3"/>
      <c r="H758" s="7"/>
    </row>
    <row r="759" spans="2:8" ht="15.75" customHeight="1" x14ac:dyDescent="0.2">
      <c r="B759" s="3"/>
      <c r="F759" s="24"/>
      <c r="G759" s="3"/>
      <c r="H759" s="7"/>
    </row>
    <row r="760" spans="2:8" ht="15.75" customHeight="1" x14ac:dyDescent="0.2">
      <c r="B760" s="3"/>
      <c r="F760" s="24"/>
      <c r="G760" s="3"/>
      <c r="H760" s="7"/>
    </row>
    <row r="761" spans="2:8" ht="15.75" customHeight="1" x14ac:dyDescent="0.2">
      <c r="B761" s="3"/>
      <c r="F761" s="24"/>
      <c r="G761" s="3"/>
      <c r="H761" s="7"/>
    </row>
    <row r="762" spans="2:8" ht="15.75" customHeight="1" x14ac:dyDescent="0.2">
      <c r="B762" s="3"/>
      <c r="F762" s="24"/>
      <c r="G762" s="3"/>
      <c r="H762" s="7"/>
    </row>
    <row r="763" spans="2:8" ht="15.75" customHeight="1" x14ac:dyDescent="0.2">
      <c r="B763" s="3"/>
      <c r="F763" s="24"/>
      <c r="G763" s="3"/>
      <c r="H763" s="7"/>
    </row>
    <row r="764" spans="2:8" ht="15.75" customHeight="1" x14ac:dyDescent="0.2">
      <c r="B764" s="3"/>
      <c r="F764" s="24"/>
      <c r="G764" s="3"/>
      <c r="H764" s="7"/>
    </row>
    <row r="765" spans="2:8" ht="15.75" customHeight="1" x14ac:dyDescent="0.2">
      <c r="B765" s="3"/>
      <c r="F765" s="24"/>
      <c r="G765" s="3"/>
      <c r="H765" s="7"/>
    </row>
    <row r="766" spans="2:8" ht="15.75" customHeight="1" x14ac:dyDescent="0.2">
      <c r="B766" s="3"/>
      <c r="F766" s="24"/>
      <c r="G766" s="3"/>
      <c r="H766" s="7"/>
    </row>
    <row r="767" spans="2:8" ht="15.75" customHeight="1" x14ac:dyDescent="0.2">
      <c r="B767" s="3"/>
      <c r="F767" s="24"/>
      <c r="G767" s="3"/>
      <c r="H767" s="7"/>
    </row>
    <row r="768" spans="2:8" ht="15.75" customHeight="1" x14ac:dyDescent="0.2">
      <c r="B768" s="3"/>
      <c r="F768" s="24"/>
      <c r="G768" s="3"/>
      <c r="H768" s="7"/>
    </row>
    <row r="769" spans="2:8" ht="15.75" customHeight="1" x14ac:dyDescent="0.2">
      <c r="B769" s="3"/>
      <c r="F769" s="24"/>
      <c r="G769" s="3"/>
      <c r="H769" s="7"/>
    </row>
    <row r="770" spans="2:8" ht="15.75" customHeight="1" x14ac:dyDescent="0.2">
      <c r="B770" s="3"/>
      <c r="F770" s="24"/>
      <c r="G770" s="3"/>
      <c r="H770" s="7"/>
    </row>
    <row r="771" spans="2:8" ht="15.75" customHeight="1" x14ac:dyDescent="0.2">
      <c r="B771" s="3"/>
      <c r="F771" s="24"/>
      <c r="G771" s="3"/>
      <c r="H771" s="7"/>
    </row>
    <row r="772" spans="2:8" ht="15.75" customHeight="1" x14ac:dyDescent="0.2">
      <c r="B772" s="3"/>
      <c r="F772" s="24"/>
      <c r="G772" s="3"/>
      <c r="H772" s="7"/>
    </row>
    <row r="773" spans="2:8" ht="15.75" customHeight="1" x14ac:dyDescent="0.2">
      <c r="B773" s="3"/>
      <c r="F773" s="24"/>
      <c r="G773" s="3"/>
      <c r="H773" s="7"/>
    </row>
    <row r="774" spans="2:8" ht="15.75" customHeight="1" x14ac:dyDescent="0.2">
      <c r="B774" s="3"/>
      <c r="F774" s="24"/>
      <c r="G774" s="3"/>
      <c r="H774" s="7"/>
    </row>
    <row r="775" spans="2:8" ht="15.75" customHeight="1" x14ac:dyDescent="0.2">
      <c r="B775" s="3"/>
      <c r="F775" s="24"/>
      <c r="G775" s="3"/>
      <c r="H775" s="7"/>
    </row>
    <row r="776" spans="2:8" ht="15.75" customHeight="1" x14ac:dyDescent="0.2">
      <c r="B776" s="3"/>
      <c r="F776" s="24"/>
      <c r="G776" s="3"/>
      <c r="H776" s="7"/>
    </row>
    <row r="777" spans="2:8" ht="15.75" customHeight="1" x14ac:dyDescent="0.2">
      <c r="B777" s="3"/>
      <c r="F777" s="24"/>
      <c r="G777" s="3"/>
      <c r="H777" s="7"/>
    </row>
    <row r="778" spans="2:8" ht="15.75" customHeight="1" x14ac:dyDescent="0.2">
      <c r="B778" s="3"/>
      <c r="F778" s="24"/>
      <c r="G778" s="3"/>
      <c r="H778" s="7"/>
    </row>
    <row r="779" spans="2:8" ht="15.75" customHeight="1" x14ac:dyDescent="0.2">
      <c r="B779" s="3"/>
      <c r="F779" s="24"/>
      <c r="G779" s="3"/>
      <c r="H779" s="7"/>
    </row>
    <row r="780" spans="2:8" ht="15.75" customHeight="1" x14ac:dyDescent="0.2">
      <c r="B780" s="3"/>
      <c r="F780" s="24"/>
      <c r="G780" s="3"/>
      <c r="H780" s="7"/>
    </row>
    <row r="781" spans="2:8" ht="15.75" customHeight="1" x14ac:dyDescent="0.2">
      <c r="B781" s="3"/>
      <c r="F781" s="24"/>
      <c r="G781" s="3"/>
      <c r="H781" s="7"/>
    </row>
    <row r="782" spans="2:8" ht="15.75" customHeight="1" x14ac:dyDescent="0.2">
      <c r="B782" s="3"/>
      <c r="F782" s="24"/>
      <c r="G782" s="3"/>
      <c r="H782" s="7"/>
    </row>
    <row r="783" spans="2:8" ht="15.75" customHeight="1" x14ac:dyDescent="0.2">
      <c r="B783" s="3"/>
      <c r="F783" s="24"/>
      <c r="G783" s="3"/>
      <c r="H783" s="7"/>
    </row>
    <row r="784" spans="2:8" ht="15.75" customHeight="1" x14ac:dyDescent="0.2">
      <c r="B784" s="3"/>
      <c r="F784" s="24"/>
      <c r="G784" s="3"/>
      <c r="H784" s="7"/>
    </row>
    <row r="785" spans="2:8" ht="15.75" customHeight="1" x14ac:dyDescent="0.2">
      <c r="B785" s="3"/>
      <c r="F785" s="24"/>
      <c r="G785" s="3"/>
      <c r="H785" s="7"/>
    </row>
    <row r="786" spans="2:8" ht="15.75" customHeight="1" x14ac:dyDescent="0.2">
      <c r="B786" s="3"/>
      <c r="F786" s="24"/>
      <c r="G786" s="3"/>
      <c r="H786" s="7"/>
    </row>
    <row r="787" spans="2:8" ht="15.75" customHeight="1" x14ac:dyDescent="0.2">
      <c r="B787" s="3"/>
      <c r="F787" s="24"/>
      <c r="G787" s="3"/>
      <c r="H787" s="7"/>
    </row>
    <row r="788" spans="2:8" ht="15.75" customHeight="1" x14ac:dyDescent="0.2">
      <c r="B788" s="3"/>
      <c r="F788" s="24"/>
      <c r="G788" s="3"/>
      <c r="H788" s="7"/>
    </row>
    <row r="789" spans="2:8" ht="15.75" customHeight="1" x14ac:dyDescent="0.2">
      <c r="B789" s="3"/>
      <c r="F789" s="24"/>
      <c r="G789" s="3"/>
      <c r="H789" s="7"/>
    </row>
    <row r="790" spans="2:8" ht="15.75" customHeight="1" x14ac:dyDescent="0.2">
      <c r="B790" s="3"/>
      <c r="F790" s="24"/>
      <c r="G790" s="3"/>
      <c r="H790" s="7"/>
    </row>
    <row r="791" spans="2:8" ht="15.75" customHeight="1" x14ac:dyDescent="0.2">
      <c r="B791" s="3"/>
      <c r="F791" s="24"/>
      <c r="G791" s="3"/>
      <c r="H791" s="7"/>
    </row>
    <row r="792" spans="2:8" ht="15.75" customHeight="1" x14ac:dyDescent="0.2">
      <c r="B792" s="3"/>
      <c r="F792" s="24"/>
      <c r="G792" s="3"/>
      <c r="H792" s="7"/>
    </row>
    <row r="793" spans="2:8" ht="15.75" customHeight="1" x14ac:dyDescent="0.2">
      <c r="B793" s="3"/>
      <c r="F793" s="24"/>
      <c r="G793" s="3"/>
      <c r="H793" s="7"/>
    </row>
    <row r="794" spans="2:8" ht="15.75" customHeight="1" x14ac:dyDescent="0.2">
      <c r="B794" s="3"/>
      <c r="F794" s="24"/>
      <c r="G794" s="3"/>
      <c r="H794" s="7"/>
    </row>
    <row r="795" spans="2:8" ht="15.75" customHeight="1" x14ac:dyDescent="0.2">
      <c r="B795" s="3"/>
      <c r="F795" s="24"/>
      <c r="G795" s="3"/>
      <c r="H795" s="7"/>
    </row>
    <row r="796" spans="2:8" ht="15.75" customHeight="1" x14ac:dyDescent="0.2">
      <c r="B796" s="3"/>
      <c r="F796" s="24"/>
      <c r="G796" s="3"/>
      <c r="H796" s="7"/>
    </row>
    <row r="797" spans="2:8" ht="15.75" customHeight="1" x14ac:dyDescent="0.2">
      <c r="B797" s="3"/>
      <c r="F797" s="24"/>
      <c r="G797" s="3"/>
      <c r="H797" s="7"/>
    </row>
    <row r="798" spans="2:8" ht="15.75" customHeight="1" x14ac:dyDescent="0.2">
      <c r="B798" s="3"/>
      <c r="F798" s="24"/>
      <c r="G798" s="3"/>
      <c r="H798" s="7"/>
    </row>
    <row r="799" spans="2:8" ht="15.75" customHeight="1" x14ac:dyDescent="0.2">
      <c r="B799" s="3"/>
      <c r="F799" s="24"/>
      <c r="G799" s="3"/>
      <c r="H799" s="7"/>
    </row>
    <row r="800" spans="2:8" ht="15.75" customHeight="1" x14ac:dyDescent="0.2">
      <c r="B800" s="3"/>
      <c r="F800" s="24"/>
      <c r="G800" s="3"/>
      <c r="H800" s="7"/>
    </row>
    <row r="801" spans="2:8" ht="15.75" customHeight="1" x14ac:dyDescent="0.2">
      <c r="B801" s="3"/>
      <c r="F801" s="24"/>
      <c r="G801" s="3"/>
      <c r="H801" s="7"/>
    </row>
    <row r="802" spans="2:8" ht="15.75" customHeight="1" x14ac:dyDescent="0.2">
      <c r="B802" s="3"/>
      <c r="F802" s="24"/>
      <c r="G802" s="3"/>
      <c r="H802" s="7"/>
    </row>
    <row r="803" spans="2:8" ht="15.75" customHeight="1" x14ac:dyDescent="0.2">
      <c r="B803" s="3"/>
      <c r="F803" s="24"/>
      <c r="G803" s="3"/>
      <c r="H803" s="7"/>
    </row>
    <row r="804" spans="2:8" ht="15.75" customHeight="1" x14ac:dyDescent="0.2">
      <c r="B804" s="3"/>
      <c r="F804" s="24"/>
      <c r="G804" s="3"/>
      <c r="H804" s="7"/>
    </row>
    <row r="805" spans="2:8" ht="15.75" customHeight="1" x14ac:dyDescent="0.2">
      <c r="B805" s="3"/>
      <c r="F805" s="24"/>
      <c r="G805" s="3"/>
      <c r="H805" s="7"/>
    </row>
    <row r="806" spans="2:8" ht="15.75" customHeight="1" x14ac:dyDescent="0.2">
      <c r="B806" s="3"/>
      <c r="F806" s="24"/>
      <c r="G806" s="3"/>
      <c r="H806" s="7"/>
    </row>
    <row r="807" spans="2:8" ht="15.75" customHeight="1" x14ac:dyDescent="0.2">
      <c r="B807" s="3"/>
      <c r="F807" s="24"/>
      <c r="G807" s="3"/>
      <c r="H807" s="7"/>
    </row>
    <row r="808" spans="2:8" ht="15.75" customHeight="1" x14ac:dyDescent="0.2">
      <c r="B808" s="3"/>
      <c r="F808" s="24"/>
      <c r="G808" s="3"/>
      <c r="H808" s="7"/>
    </row>
    <row r="809" spans="2:8" ht="15.75" customHeight="1" x14ac:dyDescent="0.2">
      <c r="B809" s="3"/>
      <c r="F809" s="24"/>
      <c r="G809" s="3"/>
      <c r="H809" s="7"/>
    </row>
    <row r="810" spans="2:8" ht="15.75" customHeight="1" x14ac:dyDescent="0.2">
      <c r="B810" s="3"/>
      <c r="F810" s="24"/>
      <c r="G810" s="3"/>
      <c r="H810" s="7"/>
    </row>
    <row r="811" spans="2:8" ht="15.75" customHeight="1" x14ac:dyDescent="0.2">
      <c r="B811" s="3"/>
      <c r="F811" s="24"/>
      <c r="G811" s="3"/>
      <c r="H811" s="7"/>
    </row>
    <row r="812" spans="2:8" ht="15.75" customHeight="1" x14ac:dyDescent="0.2">
      <c r="B812" s="3"/>
      <c r="F812" s="24"/>
      <c r="G812" s="3"/>
      <c r="H812" s="7"/>
    </row>
    <row r="813" spans="2:8" ht="15.75" customHeight="1" x14ac:dyDescent="0.2">
      <c r="B813" s="3"/>
      <c r="F813" s="24"/>
      <c r="G813" s="3"/>
      <c r="H813" s="7"/>
    </row>
    <row r="814" spans="2:8" ht="15.75" customHeight="1" x14ac:dyDescent="0.2">
      <c r="B814" s="3"/>
      <c r="F814" s="24"/>
      <c r="G814" s="3"/>
      <c r="H814" s="7"/>
    </row>
    <row r="815" spans="2:8" ht="15.75" customHeight="1" x14ac:dyDescent="0.2">
      <c r="B815" s="3"/>
      <c r="F815" s="24"/>
      <c r="G815" s="3"/>
      <c r="H815" s="7"/>
    </row>
    <row r="816" spans="2:8" ht="15.75" customHeight="1" x14ac:dyDescent="0.2">
      <c r="B816" s="3"/>
      <c r="F816" s="24"/>
      <c r="G816" s="3"/>
      <c r="H816" s="7"/>
    </row>
    <row r="817" spans="2:8" ht="15.75" customHeight="1" x14ac:dyDescent="0.2">
      <c r="B817" s="3"/>
      <c r="F817" s="24"/>
      <c r="G817" s="3"/>
      <c r="H817" s="7"/>
    </row>
    <row r="818" spans="2:8" ht="15.75" customHeight="1" x14ac:dyDescent="0.2">
      <c r="B818" s="3"/>
      <c r="F818" s="24"/>
      <c r="G818" s="3"/>
      <c r="H818" s="7"/>
    </row>
    <row r="819" spans="2:8" ht="15.75" customHeight="1" x14ac:dyDescent="0.2">
      <c r="B819" s="3"/>
      <c r="F819" s="24"/>
      <c r="G819" s="3"/>
      <c r="H819" s="7"/>
    </row>
    <row r="820" spans="2:8" ht="15.75" customHeight="1" x14ac:dyDescent="0.2">
      <c r="B820" s="3"/>
      <c r="F820" s="24"/>
      <c r="G820" s="3"/>
      <c r="H820" s="7"/>
    </row>
    <row r="821" spans="2:8" ht="15.75" customHeight="1" x14ac:dyDescent="0.2">
      <c r="B821" s="3"/>
      <c r="F821" s="24"/>
      <c r="G821" s="3"/>
      <c r="H821" s="7"/>
    </row>
    <row r="822" spans="2:8" ht="15.75" customHeight="1" x14ac:dyDescent="0.2">
      <c r="B822" s="3"/>
      <c r="F822" s="24"/>
      <c r="G822" s="3"/>
      <c r="H822" s="7"/>
    </row>
    <row r="823" spans="2:8" ht="15.75" customHeight="1" x14ac:dyDescent="0.2">
      <c r="B823" s="3"/>
      <c r="F823" s="24"/>
      <c r="G823" s="3"/>
      <c r="H823" s="7"/>
    </row>
    <row r="824" spans="2:8" ht="15.75" customHeight="1" x14ac:dyDescent="0.2">
      <c r="B824" s="3"/>
      <c r="F824" s="24"/>
      <c r="G824" s="3"/>
      <c r="H824" s="7"/>
    </row>
    <row r="825" spans="2:8" ht="15.75" customHeight="1" x14ac:dyDescent="0.2">
      <c r="B825" s="3"/>
      <c r="F825" s="24"/>
      <c r="G825" s="3"/>
      <c r="H825" s="7"/>
    </row>
    <row r="826" spans="2:8" ht="15.75" customHeight="1" x14ac:dyDescent="0.2">
      <c r="B826" s="3"/>
      <c r="F826" s="24"/>
      <c r="G826" s="3"/>
      <c r="H826" s="7"/>
    </row>
    <row r="827" spans="2:8" ht="15.75" customHeight="1" x14ac:dyDescent="0.2">
      <c r="B827" s="3"/>
      <c r="F827" s="24"/>
      <c r="G827" s="3"/>
      <c r="H827" s="7"/>
    </row>
    <row r="828" spans="2:8" ht="15.75" customHeight="1" x14ac:dyDescent="0.2">
      <c r="B828" s="3"/>
      <c r="F828" s="24"/>
      <c r="G828" s="3"/>
      <c r="H828" s="7"/>
    </row>
    <row r="829" spans="2:8" ht="15.75" customHeight="1" x14ac:dyDescent="0.2">
      <c r="B829" s="3"/>
      <c r="F829" s="24"/>
      <c r="G829" s="3"/>
      <c r="H829" s="7"/>
    </row>
    <row r="830" spans="2:8" ht="15.75" customHeight="1" x14ac:dyDescent="0.2">
      <c r="B830" s="3"/>
      <c r="F830" s="24"/>
      <c r="G830" s="3"/>
      <c r="H830" s="7"/>
    </row>
    <row r="831" spans="2:8" ht="15.75" customHeight="1" x14ac:dyDescent="0.2">
      <c r="B831" s="3"/>
      <c r="F831" s="24"/>
      <c r="G831" s="3"/>
      <c r="H831" s="7"/>
    </row>
    <row r="832" spans="2:8" ht="15.75" customHeight="1" x14ac:dyDescent="0.2">
      <c r="B832" s="3"/>
      <c r="F832" s="24"/>
      <c r="G832" s="3"/>
      <c r="H832" s="7"/>
    </row>
    <row r="833" spans="2:8" ht="15.75" customHeight="1" x14ac:dyDescent="0.2">
      <c r="B833" s="3"/>
      <c r="F833" s="24"/>
      <c r="G833" s="3"/>
      <c r="H833" s="7"/>
    </row>
    <row r="834" spans="2:8" ht="15.75" customHeight="1" x14ac:dyDescent="0.2">
      <c r="B834" s="3"/>
      <c r="F834" s="24"/>
      <c r="G834" s="3"/>
      <c r="H834" s="7"/>
    </row>
    <row r="835" spans="2:8" ht="15.75" customHeight="1" x14ac:dyDescent="0.2">
      <c r="B835" s="3"/>
      <c r="F835" s="24"/>
      <c r="G835" s="3"/>
      <c r="H835" s="7"/>
    </row>
    <row r="836" spans="2:8" ht="15.75" customHeight="1" x14ac:dyDescent="0.2">
      <c r="B836" s="3"/>
      <c r="F836" s="24"/>
      <c r="G836" s="3"/>
      <c r="H836" s="7"/>
    </row>
    <row r="837" spans="2:8" ht="15.75" customHeight="1" x14ac:dyDescent="0.2">
      <c r="B837" s="3"/>
      <c r="F837" s="24"/>
      <c r="G837" s="3"/>
      <c r="H837" s="7"/>
    </row>
    <row r="838" spans="2:8" ht="15.75" customHeight="1" x14ac:dyDescent="0.2">
      <c r="B838" s="3"/>
      <c r="F838" s="24"/>
      <c r="G838" s="3"/>
      <c r="H838" s="7"/>
    </row>
    <row r="839" spans="2:8" ht="15.75" customHeight="1" x14ac:dyDescent="0.2">
      <c r="B839" s="3"/>
      <c r="F839" s="24"/>
      <c r="G839" s="3"/>
      <c r="H839" s="7"/>
    </row>
    <row r="840" spans="2:8" ht="15.75" customHeight="1" x14ac:dyDescent="0.2">
      <c r="B840" s="3"/>
      <c r="F840" s="24"/>
      <c r="G840" s="3"/>
      <c r="H840" s="7"/>
    </row>
    <row r="841" spans="2:8" ht="15.75" customHeight="1" x14ac:dyDescent="0.2">
      <c r="B841" s="3"/>
      <c r="F841" s="24"/>
      <c r="G841" s="3"/>
      <c r="H841" s="7"/>
    </row>
    <row r="842" spans="2:8" ht="15.75" customHeight="1" x14ac:dyDescent="0.2">
      <c r="B842" s="3"/>
      <c r="F842" s="24"/>
      <c r="G842" s="3"/>
      <c r="H842" s="7"/>
    </row>
    <row r="843" spans="2:8" ht="15.75" customHeight="1" x14ac:dyDescent="0.2">
      <c r="B843" s="3"/>
      <c r="F843" s="24"/>
      <c r="G843" s="3"/>
      <c r="H843" s="7"/>
    </row>
    <row r="844" spans="2:8" ht="15.75" customHeight="1" x14ac:dyDescent="0.2">
      <c r="B844" s="3"/>
      <c r="F844" s="24"/>
      <c r="G844" s="3"/>
      <c r="H844" s="7"/>
    </row>
    <row r="845" spans="2:8" ht="15.75" customHeight="1" x14ac:dyDescent="0.2">
      <c r="B845" s="3"/>
      <c r="F845" s="24"/>
      <c r="G845" s="3"/>
      <c r="H845" s="7"/>
    </row>
    <row r="846" spans="2:8" ht="15.75" customHeight="1" x14ac:dyDescent="0.2">
      <c r="B846" s="3"/>
      <c r="F846" s="24"/>
      <c r="G846" s="3"/>
      <c r="H846" s="7"/>
    </row>
    <row r="847" spans="2:8" ht="15.75" customHeight="1" x14ac:dyDescent="0.2">
      <c r="B847" s="3"/>
      <c r="F847" s="24"/>
      <c r="G847" s="3"/>
      <c r="H847" s="7"/>
    </row>
    <row r="848" spans="2:8" ht="15.75" customHeight="1" x14ac:dyDescent="0.2">
      <c r="B848" s="3"/>
      <c r="F848" s="24"/>
      <c r="G848" s="3"/>
      <c r="H848" s="7"/>
    </row>
    <row r="849" spans="2:8" ht="15.75" customHeight="1" x14ac:dyDescent="0.2">
      <c r="B849" s="3"/>
      <c r="F849" s="24"/>
      <c r="G849" s="3"/>
      <c r="H849" s="7"/>
    </row>
    <row r="850" spans="2:8" ht="15.75" customHeight="1" x14ac:dyDescent="0.2">
      <c r="B850" s="3"/>
      <c r="F850" s="24"/>
      <c r="G850" s="3"/>
      <c r="H850" s="7"/>
    </row>
    <row r="851" spans="2:8" ht="15.75" customHeight="1" x14ac:dyDescent="0.2">
      <c r="B851" s="3"/>
      <c r="F851" s="24"/>
      <c r="G851" s="3"/>
      <c r="H851" s="7"/>
    </row>
    <row r="852" spans="2:8" ht="15.75" customHeight="1" x14ac:dyDescent="0.2">
      <c r="B852" s="3"/>
      <c r="F852" s="24"/>
      <c r="G852" s="3"/>
      <c r="H852" s="7"/>
    </row>
    <row r="853" spans="2:8" ht="15.75" customHeight="1" x14ac:dyDescent="0.2">
      <c r="B853" s="3"/>
      <c r="F853" s="24"/>
      <c r="G853" s="3"/>
      <c r="H853" s="7"/>
    </row>
    <row r="854" spans="2:8" ht="15.75" customHeight="1" x14ac:dyDescent="0.2">
      <c r="B854" s="3"/>
      <c r="F854" s="24"/>
      <c r="G854" s="3"/>
      <c r="H854" s="7"/>
    </row>
    <row r="855" spans="2:8" ht="15.75" customHeight="1" x14ac:dyDescent="0.2">
      <c r="B855" s="3"/>
      <c r="F855" s="24"/>
      <c r="G855" s="3"/>
      <c r="H855" s="7"/>
    </row>
    <row r="856" spans="2:8" ht="15.75" customHeight="1" x14ac:dyDescent="0.2">
      <c r="B856" s="3"/>
      <c r="F856" s="24"/>
      <c r="G856" s="3"/>
      <c r="H856" s="7"/>
    </row>
    <row r="857" spans="2:8" ht="15.75" customHeight="1" x14ac:dyDescent="0.2">
      <c r="B857" s="3"/>
      <c r="F857" s="24"/>
      <c r="G857" s="3"/>
      <c r="H857" s="7"/>
    </row>
    <row r="858" spans="2:8" ht="15.75" customHeight="1" x14ac:dyDescent="0.2">
      <c r="B858" s="3"/>
      <c r="F858" s="24"/>
      <c r="G858" s="3"/>
      <c r="H858" s="7"/>
    </row>
    <row r="859" spans="2:8" ht="15.75" customHeight="1" x14ac:dyDescent="0.2">
      <c r="B859" s="3"/>
      <c r="F859" s="24"/>
      <c r="G859" s="3"/>
      <c r="H859" s="7"/>
    </row>
    <row r="860" spans="2:8" ht="15.75" customHeight="1" x14ac:dyDescent="0.2">
      <c r="B860" s="3"/>
      <c r="F860" s="24"/>
      <c r="G860" s="3"/>
      <c r="H860" s="7"/>
    </row>
    <row r="861" spans="2:8" ht="15.75" customHeight="1" x14ac:dyDescent="0.2">
      <c r="B861" s="3"/>
      <c r="F861" s="24"/>
      <c r="G861" s="3"/>
      <c r="H861" s="7"/>
    </row>
    <row r="862" spans="2:8" ht="15.75" customHeight="1" x14ac:dyDescent="0.2">
      <c r="B862" s="3"/>
      <c r="F862" s="24"/>
      <c r="G862" s="3"/>
      <c r="H862" s="7"/>
    </row>
    <row r="863" spans="2:8" ht="15.75" customHeight="1" x14ac:dyDescent="0.2">
      <c r="B863" s="3"/>
      <c r="F863" s="24"/>
      <c r="G863" s="3"/>
      <c r="H863" s="7"/>
    </row>
    <row r="864" spans="2:8" ht="15.75" customHeight="1" x14ac:dyDescent="0.2">
      <c r="B864" s="3"/>
      <c r="F864" s="24"/>
      <c r="G864" s="3"/>
      <c r="H864" s="7"/>
    </row>
    <row r="865" spans="2:8" ht="15.75" customHeight="1" x14ac:dyDescent="0.2">
      <c r="B865" s="3"/>
      <c r="F865" s="24"/>
      <c r="G865" s="3"/>
      <c r="H865" s="7"/>
    </row>
    <row r="866" spans="2:8" ht="15.75" customHeight="1" x14ac:dyDescent="0.2">
      <c r="B866" s="3"/>
      <c r="F866" s="24"/>
      <c r="G866" s="3"/>
      <c r="H866" s="7"/>
    </row>
    <row r="867" spans="2:8" ht="15.75" customHeight="1" x14ac:dyDescent="0.2">
      <c r="B867" s="3"/>
      <c r="F867" s="24"/>
      <c r="G867" s="3"/>
      <c r="H867" s="7"/>
    </row>
    <row r="868" spans="2:8" ht="15.75" customHeight="1" x14ac:dyDescent="0.2">
      <c r="B868" s="3"/>
      <c r="F868" s="24"/>
      <c r="G868" s="3"/>
      <c r="H868" s="7"/>
    </row>
    <row r="869" spans="2:8" ht="15.75" customHeight="1" x14ac:dyDescent="0.2">
      <c r="B869" s="3"/>
      <c r="F869" s="24"/>
      <c r="G869" s="3"/>
      <c r="H869" s="7"/>
    </row>
    <row r="870" spans="2:8" ht="15.75" customHeight="1" x14ac:dyDescent="0.2">
      <c r="B870" s="3"/>
      <c r="F870" s="24"/>
      <c r="G870" s="3"/>
      <c r="H870" s="7"/>
    </row>
    <row r="871" spans="2:8" ht="15.75" customHeight="1" x14ac:dyDescent="0.2">
      <c r="B871" s="3"/>
      <c r="F871" s="24"/>
      <c r="G871" s="3"/>
      <c r="H871" s="7"/>
    </row>
    <row r="872" spans="2:8" ht="15.75" customHeight="1" x14ac:dyDescent="0.2">
      <c r="B872" s="3"/>
      <c r="F872" s="24"/>
      <c r="G872" s="3"/>
      <c r="H872" s="7"/>
    </row>
    <row r="873" spans="2:8" ht="15.75" customHeight="1" x14ac:dyDescent="0.2">
      <c r="B873" s="3"/>
      <c r="F873" s="24"/>
      <c r="G873" s="3"/>
      <c r="H873" s="7"/>
    </row>
    <row r="874" spans="2:8" ht="15.75" customHeight="1" x14ac:dyDescent="0.2">
      <c r="B874" s="3"/>
      <c r="F874" s="24"/>
      <c r="G874" s="3"/>
      <c r="H874" s="7"/>
    </row>
    <row r="875" spans="2:8" ht="15.75" customHeight="1" x14ac:dyDescent="0.2">
      <c r="B875" s="3"/>
      <c r="F875" s="24"/>
      <c r="G875" s="3"/>
      <c r="H875" s="7"/>
    </row>
    <row r="876" spans="2:8" ht="15.75" customHeight="1" x14ac:dyDescent="0.2">
      <c r="B876" s="3"/>
      <c r="F876" s="24"/>
      <c r="G876" s="3"/>
      <c r="H876" s="7"/>
    </row>
    <row r="877" spans="2:8" ht="15.75" customHeight="1" x14ac:dyDescent="0.2">
      <c r="B877" s="3"/>
      <c r="F877" s="24"/>
      <c r="G877" s="3"/>
      <c r="H877" s="7"/>
    </row>
    <row r="878" spans="2:8" ht="15.75" customHeight="1" x14ac:dyDescent="0.2">
      <c r="B878" s="3"/>
      <c r="F878" s="24"/>
      <c r="G878" s="3"/>
      <c r="H878" s="7"/>
    </row>
    <row r="879" spans="2:8" ht="15.75" customHeight="1" x14ac:dyDescent="0.2">
      <c r="B879" s="3"/>
      <c r="F879" s="24"/>
      <c r="G879" s="3"/>
      <c r="H879" s="7"/>
    </row>
    <row r="880" spans="2:8" ht="15.75" customHeight="1" x14ac:dyDescent="0.2">
      <c r="B880" s="3"/>
      <c r="F880" s="24"/>
      <c r="G880" s="3"/>
      <c r="H880" s="7"/>
    </row>
    <row r="881" spans="2:8" ht="15.75" customHeight="1" x14ac:dyDescent="0.2">
      <c r="B881" s="3"/>
      <c r="F881" s="24"/>
      <c r="G881" s="3"/>
      <c r="H881" s="7"/>
    </row>
    <row r="882" spans="2:8" ht="15.75" customHeight="1" x14ac:dyDescent="0.2">
      <c r="B882" s="3"/>
      <c r="F882" s="24"/>
      <c r="G882" s="3"/>
      <c r="H882" s="7"/>
    </row>
    <row r="883" spans="2:8" ht="15.75" customHeight="1" x14ac:dyDescent="0.2">
      <c r="B883" s="3"/>
      <c r="F883" s="24"/>
      <c r="G883" s="3"/>
      <c r="H883" s="7"/>
    </row>
    <row r="884" spans="2:8" ht="15.75" customHeight="1" x14ac:dyDescent="0.2">
      <c r="B884" s="3"/>
      <c r="F884" s="24"/>
      <c r="G884" s="3"/>
      <c r="H884" s="7"/>
    </row>
    <row r="885" spans="2:8" ht="15.75" customHeight="1" x14ac:dyDescent="0.2">
      <c r="B885" s="3"/>
      <c r="F885" s="24"/>
      <c r="G885" s="3"/>
      <c r="H885" s="7"/>
    </row>
    <row r="886" spans="2:8" ht="15.75" customHeight="1" x14ac:dyDescent="0.2">
      <c r="B886" s="3"/>
      <c r="F886" s="24"/>
      <c r="G886" s="3"/>
      <c r="H886" s="7"/>
    </row>
    <row r="887" spans="2:8" ht="15.75" customHeight="1" x14ac:dyDescent="0.2">
      <c r="B887" s="3"/>
      <c r="F887" s="24"/>
      <c r="G887" s="3"/>
      <c r="H887" s="7"/>
    </row>
    <row r="888" spans="2:8" ht="15.75" customHeight="1" x14ac:dyDescent="0.2">
      <c r="B888" s="3"/>
      <c r="F888" s="24"/>
      <c r="G888" s="3"/>
      <c r="H888" s="7"/>
    </row>
    <row r="889" spans="2:8" ht="15.75" customHeight="1" x14ac:dyDescent="0.2">
      <c r="B889" s="3"/>
      <c r="F889" s="24"/>
      <c r="G889" s="3"/>
      <c r="H889" s="7"/>
    </row>
    <row r="890" spans="2:8" ht="15.75" customHeight="1" x14ac:dyDescent="0.2">
      <c r="B890" s="3"/>
      <c r="F890" s="24"/>
      <c r="G890" s="3"/>
      <c r="H890" s="7"/>
    </row>
    <row r="891" spans="2:8" ht="15.75" customHeight="1" x14ac:dyDescent="0.2">
      <c r="B891" s="3"/>
      <c r="F891" s="24"/>
      <c r="G891" s="3"/>
      <c r="H891" s="7"/>
    </row>
    <row r="892" spans="2:8" ht="15.75" customHeight="1" x14ac:dyDescent="0.2">
      <c r="B892" s="3"/>
      <c r="F892" s="24"/>
      <c r="G892" s="3"/>
      <c r="H892" s="7"/>
    </row>
    <row r="893" spans="2:8" ht="15.75" customHeight="1" x14ac:dyDescent="0.2">
      <c r="B893" s="3"/>
      <c r="F893" s="24"/>
      <c r="G893" s="3"/>
      <c r="H893" s="7"/>
    </row>
    <row r="894" spans="2:8" ht="15.75" customHeight="1" x14ac:dyDescent="0.2">
      <c r="B894" s="3"/>
      <c r="F894" s="24"/>
      <c r="G894" s="3"/>
      <c r="H894" s="7"/>
    </row>
    <row r="895" spans="2:8" ht="15.75" customHeight="1" x14ac:dyDescent="0.2">
      <c r="B895" s="3"/>
      <c r="F895" s="24"/>
      <c r="G895" s="3"/>
      <c r="H895" s="7"/>
    </row>
    <row r="896" spans="2:8" ht="15.75" customHeight="1" x14ac:dyDescent="0.2">
      <c r="B896" s="3"/>
      <c r="F896" s="24"/>
      <c r="G896" s="3"/>
      <c r="H896" s="7"/>
    </row>
    <row r="897" spans="2:8" ht="15.75" customHeight="1" x14ac:dyDescent="0.2">
      <c r="B897" s="3"/>
      <c r="F897" s="24"/>
      <c r="G897" s="3"/>
      <c r="H897" s="7"/>
    </row>
    <row r="898" spans="2:8" ht="15.75" customHeight="1" x14ac:dyDescent="0.2">
      <c r="B898" s="3"/>
      <c r="F898" s="24"/>
      <c r="G898" s="3"/>
      <c r="H898" s="7"/>
    </row>
    <row r="899" spans="2:8" ht="15.75" customHeight="1" x14ac:dyDescent="0.2">
      <c r="B899" s="3"/>
      <c r="F899" s="24"/>
      <c r="G899" s="3"/>
      <c r="H899" s="7"/>
    </row>
    <row r="900" spans="2:8" ht="15.75" customHeight="1" x14ac:dyDescent="0.2">
      <c r="B900" s="3"/>
      <c r="F900" s="24"/>
      <c r="G900" s="3"/>
      <c r="H900" s="7"/>
    </row>
    <row r="901" spans="2:8" ht="15.75" customHeight="1" x14ac:dyDescent="0.2">
      <c r="B901" s="3"/>
      <c r="F901" s="24"/>
      <c r="G901" s="3"/>
      <c r="H901" s="7"/>
    </row>
    <row r="902" spans="2:8" ht="15.75" customHeight="1" x14ac:dyDescent="0.2">
      <c r="B902" s="3"/>
      <c r="F902" s="24"/>
      <c r="G902" s="3"/>
      <c r="H902" s="7"/>
    </row>
    <row r="903" spans="2:8" ht="15.75" customHeight="1" x14ac:dyDescent="0.2">
      <c r="B903" s="3"/>
      <c r="F903" s="24"/>
      <c r="G903" s="3"/>
      <c r="H903" s="7"/>
    </row>
    <row r="904" spans="2:8" ht="15.75" customHeight="1" x14ac:dyDescent="0.2">
      <c r="B904" s="3"/>
      <c r="F904" s="24"/>
      <c r="G904" s="3"/>
      <c r="H904" s="7"/>
    </row>
    <row r="905" spans="2:8" ht="15.75" customHeight="1" x14ac:dyDescent="0.2">
      <c r="B905" s="3"/>
      <c r="F905" s="24"/>
      <c r="G905" s="3"/>
      <c r="H905" s="7"/>
    </row>
    <row r="906" spans="2:8" ht="15.75" customHeight="1" x14ac:dyDescent="0.2">
      <c r="B906" s="3"/>
      <c r="F906" s="24"/>
      <c r="G906" s="3"/>
      <c r="H906" s="7"/>
    </row>
    <row r="907" spans="2:8" ht="15.75" customHeight="1" x14ac:dyDescent="0.2">
      <c r="B907" s="3"/>
      <c r="F907" s="24"/>
      <c r="G907" s="3"/>
      <c r="H907" s="7"/>
    </row>
    <row r="908" spans="2:8" ht="15.75" customHeight="1" x14ac:dyDescent="0.2">
      <c r="B908" s="3"/>
      <c r="F908" s="24"/>
      <c r="G908" s="3"/>
      <c r="H908" s="7"/>
    </row>
    <row r="909" spans="2:8" ht="15.75" customHeight="1" x14ac:dyDescent="0.2">
      <c r="B909" s="3"/>
      <c r="F909" s="24"/>
      <c r="G909" s="3"/>
      <c r="H909" s="7"/>
    </row>
    <row r="910" spans="2:8" ht="15.75" customHeight="1" x14ac:dyDescent="0.2">
      <c r="B910" s="3"/>
      <c r="F910" s="24"/>
      <c r="G910" s="3"/>
      <c r="H910" s="7"/>
    </row>
    <row r="911" spans="2:8" ht="15.75" customHeight="1" x14ac:dyDescent="0.2">
      <c r="B911" s="3"/>
      <c r="F911" s="24"/>
      <c r="G911" s="3"/>
      <c r="H911" s="7"/>
    </row>
    <row r="912" spans="2:8" ht="15.75" customHeight="1" x14ac:dyDescent="0.2">
      <c r="B912" s="3"/>
      <c r="F912" s="24"/>
      <c r="G912" s="3"/>
      <c r="H912" s="7"/>
    </row>
    <row r="913" spans="2:8" ht="15.75" customHeight="1" x14ac:dyDescent="0.2">
      <c r="B913" s="3"/>
      <c r="F913" s="24"/>
      <c r="G913" s="3"/>
      <c r="H913" s="7"/>
    </row>
    <row r="914" spans="2:8" ht="15.75" customHeight="1" x14ac:dyDescent="0.2">
      <c r="B914" s="3"/>
      <c r="F914" s="24"/>
      <c r="G914" s="3"/>
      <c r="H914" s="7"/>
    </row>
    <row r="915" spans="2:8" ht="15.75" customHeight="1" x14ac:dyDescent="0.2">
      <c r="B915" s="3"/>
      <c r="F915" s="24"/>
      <c r="G915" s="3"/>
      <c r="H915" s="7"/>
    </row>
    <row r="916" spans="2:8" ht="15.75" customHeight="1" x14ac:dyDescent="0.2">
      <c r="B916" s="3"/>
      <c r="F916" s="24"/>
      <c r="G916" s="3"/>
      <c r="H916" s="7"/>
    </row>
    <row r="917" spans="2:8" ht="15.75" customHeight="1" x14ac:dyDescent="0.2">
      <c r="B917" s="3"/>
      <c r="F917" s="24"/>
      <c r="G917" s="3"/>
      <c r="H917" s="7"/>
    </row>
    <row r="918" spans="2:8" ht="15.75" customHeight="1" x14ac:dyDescent="0.2">
      <c r="B918" s="3"/>
      <c r="F918" s="24"/>
      <c r="G918" s="3"/>
      <c r="H918" s="7"/>
    </row>
    <row r="919" spans="2:8" ht="15.75" customHeight="1" x14ac:dyDescent="0.2">
      <c r="B919" s="3"/>
      <c r="F919" s="24"/>
      <c r="G919" s="3"/>
      <c r="H919" s="7"/>
    </row>
    <row r="920" spans="2:8" ht="15.75" customHeight="1" x14ac:dyDescent="0.2">
      <c r="B920" s="3"/>
      <c r="F920" s="24"/>
      <c r="G920" s="3"/>
      <c r="H920" s="7"/>
    </row>
    <row r="921" spans="2:8" ht="15.75" customHeight="1" x14ac:dyDescent="0.2">
      <c r="B921" s="3"/>
      <c r="F921" s="24"/>
      <c r="G921" s="3"/>
      <c r="H921" s="7"/>
    </row>
    <row r="922" spans="2:8" ht="15.75" customHeight="1" x14ac:dyDescent="0.2">
      <c r="B922" s="3"/>
      <c r="F922" s="24"/>
      <c r="G922" s="3"/>
      <c r="H922" s="7"/>
    </row>
    <row r="923" spans="2:8" ht="15.75" customHeight="1" x14ac:dyDescent="0.2">
      <c r="B923" s="3"/>
      <c r="F923" s="24"/>
      <c r="G923" s="3"/>
      <c r="H923" s="7"/>
    </row>
    <row r="924" spans="2:8" ht="15.75" customHeight="1" x14ac:dyDescent="0.2">
      <c r="B924" s="3"/>
      <c r="F924" s="24"/>
      <c r="G924" s="3"/>
      <c r="H924" s="7"/>
    </row>
    <row r="925" spans="2:8" ht="15.75" customHeight="1" x14ac:dyDescent="0.2">
      <c r="B925" s="3"/>
      <c r="F925" s="24"/>
      <c r="G925" s="3"/>
      <c r="H925" s="7"/>
    </row>
    <row r="926" spans="2:8" ht="15.75" customHeight="1" x14ac:dyDescent="0.2">
      <c r="B926" s="3"/>
      <c r="F926" s="24"/>
      <c r="G926" s="3"/>
      <c r="H926" s="7"/>
    </row>
    <row r="927" spans="2:8" ht="15.75" customHeight="1" x14ac:dyDescent="0.2">
      <c r="B927" s="3"/>
      <c r="F927" s="24"/>
      <c r="G927" s="3"/>
      <c r="H927" s="7"/>
    </row>
    <row r="928" spans="2:8" ht="15.75" customHeight="1" x14ac:dyDescent="0.2">
      <c r="B928" s="3"/>
      <c r="F928" s="24"/>
      <c r="G928" s="3"/>
      <c r="H928" s="7"/>
    </row>
    <row r="929" spans="2:8" ht="15.75" customHeight="1" x14ac:dyDescent="0.2">
      <c r="B929" s="3"/>
      <c r="F929" s="24"/>
      <c r="G929" s="3"/>
      <c r="H929" s="7"/>
    </row>
    <row r="930" spans="2:8" ht="15.75" customHeight="1" x14ac:dyDescent="0.2">
      <c r="B930" s="3"/>
      <c r="F930" s="24"/>
      <c r="G930" s="3"/>
      <c r="H930" s="7"/>
    </row>
    <row r="931" spans="2:8" ht="15.75" customHeight="1" x14ac:dyDescent="0.2">
      <c r="B931" s="3"/>
      <c r="F931" s="24"/>
      <c r="G931" s="3"/>
      <c r="H931" s="7"/>
    </row>
    <row r="932" spans="2:8" ht="15.75" customHeight="1" x14ac:dyDescent="0.2">
      <c r="B932" s="3"/>
      <c r="F932" s="24"/>
      <c r="G932" s="3"/>
      <c r="H932" s="7"/>
    </row>
    <row r="933" spans="2:8" ht="15.75" customHeight="1" x14ac:dyDescent="0.2">
      <c r="B933" s="3"/>
      <c r="F933" s="24"/>
      <c r="G933" s="3"/>
      <c r="H933" s="7"/>
    </row>
    <row r="934" spans="2:8" ht="15.75" customHeight="1" x14ac:dyDescent="0.2">
      <c r="B934" s="3"/>
      <c r="F934" s="24"/>
      <c r="G934" s="3"/>
      <c r="H934" s="7"/>
    </row>
    <row r="935" spans="2:8" ht="15.75" customHeight="1" x14ac:dyDescent="0.2">
      <c r="B935" s="3"/>
      <c r="F935" s="24"/>
      <c r="G935" s="3"/>
      <c r="H935" s="7"/>
    </row>
    <row r="936" spans="2:8" ht="15.75" customHeight="1" x14ac:dyDescent="0.2">
      <c r="B936" s="3"/>
      <c r="F936" s="24"/>
      <c r="G936" s="3"/>
      <c r="H936" s="7"/>
    </row>
    <row r="937" spans="2:8" ht="15.75" customHeight="1" x14ac:dyDescent="0.2">
      <c r="B937" s="3"/>
      <c r="F937" s="24"/>
      <c r="G937" s="3"/>
      <c r="H937" s="7"/>
    </row>
    <row r="938" spans="2:8" ht="15.75" customHeight="1" x14ac:dyDescent="0.2">
      <c r="B938" s="3"/>
      <c r="F938" s="24"/>
      <c r="G938" s="3"/>
      <c r="H938" s="7"/>
    </row>
    <row r="939" spans="2:8" ht="15.75" customHeight="1" x14ac:dyDescent="0.2">
      <c r="B939" s="3"/>
      <c r="F939" s="24"/>
      <c r="G939" s="3"/>
      <c r="H939" s="7"/>
    </row>
    <row r="940" spans="2:8" ht="15.75" customHeight="1" x14ac:dyDescent="0.2">
      <c r="B940" s="3"/>
      <c r="F940" s="24"/>
      <c r="G940" s="3"/>
      <c r="H940" s="7"/>
    </row>
    <row r="941" spans="2:8" ht="15.75" customHeight="1" x14ac:dyDescent="0.2">
      <c r="B941" s="3"/>
      <c r="F941" s="24"/>
      <c r="G941" s="3"/>
      <c r="H941" s="7"/>
    </row>
    <row r="942" spans="2:8" ht="15.75" customHeight="1" x14ac:dyDescent="0.2">
      <c r="B942" s="3"/>
      <c r="F942" s="24"/>
      <c r="G942" s="3"/>
      <c r="H942" s="7"/>
    </row>
    <row r="943" spans="2:8" ht="15.75" customHeight="1" x14ac:dyDescent="0.2">
      <c r="B943" s="3"/>
      <c r="F943" s="24"/>
      <c r="G943" s="3"/>
      <c r="H943" s="7"/>
    </row>
    <row r="944" spans="2:8" ht="15.75" customHeight="1" x14ac:dyDescent="0.2">
      <c r="B944" s="3"/>
      <c r="F944" s="24"/>
      <c r="G944" s="3"/>
      <c r="H944" s="7"/>
    </row>
    <row r="945" spans="2:8" ht="15.75" customHeight="1" x14ac:dyDescent="0.2">
      <c r="B945" s="3"/>
      <c r="F945" s="24"/>
      <c r="G945" s="3"/>
      <c r="H945" s="7"/>
    </row>
    <row r="946" spans="2:8" ht="15.75" customHeight="1" x14ac:dyDescent="0.2">
      <c r="B946" s="3"/>
      <c r="F946" s="24"/>
      <c r="G946" s="3"/>
      <c r="H946" s="7"/>
    </row>
    <row r="947" spans="2:8" ht="15.75" customHeight="1" x14ac:dyDescent="0.2">
      <c r="B947" s="3"/>
      <c r="F947" s="24"/>
      <c r="G947" s="3"/>
      <c r="H947" s="7"/>
    </row>
    <row r="948" spans="2:8" ht="15.75" customHeight="1" x14ac:dyDescent="0.2">
      <c r="B948" s="3"/>
      <c r="F948" s="24"/>
      <c r="G948" s="3"/>
      <c r="H948" s="7"/>
    </row>
    <row r="949" spans="2:8" ht="15.75" customHeight="1" x14ac:dyDescent="0.2">
      <c r="B949" s="3"/>
      <c r="F949" s="24"/>
      <c r="G949" s="3"/>
      <c r="H949" s="7"/>
    </row>
    <row r="950" spans="2:8" ht="15.75" customHeight="1" x14ac:dyDescent="0.2">
      <c r="B950" s="3"/>
      <c r="F950" s="24"/>
      <c r="G950" s="3"/>
      <c r="H950" s="7"/>
    </row>
    <row r="951" spans="2:8" ht="15.75" customHeight="1" x14ac:dyDescent="0.2">
      <c r="B951" s="3"/>
      <c r="F951" s="24"/>
      <c r="G951" s="3"/>
      <c r="H951" s="7"/>
    </row>
    <row r="952" spans="2:8" ht="15.75" customHeight="1" x14ac:dyDescent="0.2">
      <c r="B952" s="3"/>
      <c r="F952" s="24"/>
      <c r="G952" s="3"/>
      <c r="H952" s="7"/>
    </row>
    <row r="953" spans="2:8" ht="15.75" customHeight="1" x14ac:dyDescent="0.2">
      <c r="B953" s="3"/>
      <c r="F953" s="24"/>
      <c r="G953" s="3"/>
      <c r="H953" s="7"/>
    </row>
    <row r="954" spans="2:8" ht="15.75" customHeight="1" x14ac:dyDescent="0.2">
      <c r="B954" s="3"/>
      <c r="F954" s="24"/>
      <c r="G954" s="3"/>
      <c r="H954" s="7"/>
    </row>
    <row r="955" spans="2:8" ht="15.75" customHeight="1" x14ac:dyDescent="0.2">
      <c r="B955" s="3"/>
      <c r="F955" s="24"/>
      <c r="G955" s="3"/>
      <c r="H955" s="7"/>
    </row>
    <row r="956" spans="2:8" ht="15.75" customHeight="1" x14ac:dyDescent="0.2">
      <c r="B956" s="3"/>
      <c r="F956" s="24"/>
      <c r="G956" s="3"/>
      <c r="H956" s="7"/>
    </row>
    <row r="957" spans="2:8" ht="15.75" customHeight="1" x14ac:dyDescent="0.2">
      <c r="B957" s="3"/>
      <c r="F957" s="24"/>
      <c r="G957" s="3"/>
      <c r="H957" s="7"/>
    </row>
    <row r="958" spans="2:8" ht="15.75" customHeight="1" x14ac:dyDescent="0.2">
      <c r="B958" s="3"/>
      <c r="F958" s="24"/>
      <c r="G958" s="3"/>
      <c r="H958" s="7"/>
    </row>
    <row r="959" spans="2:8" ht="15.75" customHeight="1" x14ac:dyDescent="0.2">
      <c r="B959" s="3"/>
      <c r="F959" s="24"/>
      <c r="G959" s="3"/>
      <c r="H959" s="7"/>
    </row>
    <row r="960" spans="2:8" ht="15.75" customHeight="1" x14ac:dyDescent="0.2">
      <c r="B960" s="3"/>
      <c r="F960" s="24"/>
      <c r="G960" s="3"/>
      <c r="H960" s="7"/>
    </row>
    <row r="961" spans="2:8" ht="15.75" customHeight="1" x14ac:dyDescent="0.2">
      <c r="B961" s="3"/>
      <c r="F961" s="24"/>
      <c r="G961" s="3"/>
      <c r="H961" s="7"/>
    </row>
    <row r="962" spans="2:8" ht="15.75" customHeight="1" x14ac:dyDescent="0.2">
      <c r="B962" s="3"/>
      <c r="F962" s="24"/>
      <c r="G962" s="3"/>
      <c r="H962" s="7"/>
    </row>
    <row r="963" spans="2:8" ht="15.75" customHeight="1" x14ac:dyDescent="0.2">
      <c r="B963" s="3"/>
      <c r="F963" s="24"/>
      <c r="G963" s="3"/>
      <c r="H963" s="7"/>
    </row>
    <row r="964" spans="2:8" ht="15.75" customHeight="1" x14ac:dyDescent="0.2">
      <c r="B964" s="3"/>
      <c r="F964" s="24"/>
      <c r="G964" s="3"/>
      <c r="H964" s="7"/>
    </row>
    <row r="965" spans="2:8" ht="15.75" customHeight="1" x14ac:dyDescent="0.2">
      <c r="B965" s="3"/>
      <c r="F965" s="24"/>
      <c r="G965" s="3"/>
      <c r="H965" s="7"/>
    </row>
    <row r="966" spans="2:8" ht="15.75" customHeight="1" x14ac:dyDescent="0.2">
      <c r="B966" s="3"/>
      <c r="F966" s="24"/>
      <c r="G966" s="3"/>
      <c r="H966" s="7"/>
    </row>
    <row r="967" spans="2:8" ht="15.75" customHeight="1" x14ac:dyDescent="0.2">
      <c r="B967" s="3"/>
      <c r="F967" s="24"/>
      <c r="G967" s="3"/>
      <c r="H967" s="7"/>
    </row>
    <row r="968" spans="2:8" ht="15.75" customHeight="1" x14ac:dyDescent="0.2">
      <c r="B968" s="3"/>
      <c r="F968" s="24"/>
      <c r="G968" s="3"/>
      <c r="H968" s="7"/>
    </row>
    <row r="969" spans="2:8" ht="15.75" customHeight="1" x14ac:dyDescent="0.2">
      <c r="B969" s="3"/>
      <c r="F969" s="24"/>
      <c r="G969" s="3"/>
      <c r="H969" s="7"/>
    </row>
    <row r="970" spans="2:8" ht="15.75" customHeight="1" x14ac:dyDescent="0.2">
      <c r="B970" s="3"/>
      <c r="F970" s="24"/>
      <c r="G970" s="3"/>
      <c r="H970" s="7"/>
    </row>
    <row r="971" spans="2:8" ht="15.75" customHeight="1" x14ac:dyDescent="0.2">
      <c r="B971" s="3"/>
      <c r="F971" s="24"/>
      <c r="G971" s="3"/>
      <c r="H971" s="7"/>
    </row>
    <row r="972" spans="2:8" ht="15.75" customHeight="1" x14ac:dyDescent="0.2">
      <c r="B972" s="3"/>
      <c r="F972" s="24"/>
      <c r="G972" s="3"/>
      <c r="H972" s="7"/>
    </row>
    <row r="973" spans="2:8" ht="15.75" customHeight="1" x14ac:dyDescent="0.2">
      <c r="B973" s="3"/>
      <c r="F973" s="24"/>
      <c r="G973" s="3"/>
      <c r="H973" s="7"/>
    </row>
    <row r="974" spans="2:8" ht="15.75" customHeight="1" x14ac:dyDescent="0.2">
      <c r="B974" s="3"/>
      <c r="F974" s="24"/>
      <c r="G974" s="3"/>
      <c r="H974" s="7"/>
    </row>
    <row r="975" spans="2:8" ht="15.75" customHeight="1" x14ac:dyDescent="0.2">
      <c r="B975" s="3"/>
      <c r="F975" s="24"/>
      <c r="G975" s="3"/>
      <c r="H975" s="7"/>
    </row>
    <row r="976" spans="2:8" ht="15.75" customHeight="1" x14ac:dyDescent="0.2">
      <c r="B976" s="3"/>
      <c r="F976" s="24"/>
      <c r="G976" s="3"/>
      <c r="H976" s="7"/>
    </row>
    <row r="977" spans="2:8" ht="15.75" customHeight="1" x14ac:dyDescent="0.2">
      <c r="B977" s="3"/>
      <c r="F977" s="24"/>
      <c r="G977" s="3"/>
      <c r="H977" s="7"/>
    </row>
    <row r="978" spans="2:8" ht="15.75" customHeight="1" x14ac:dyDescent="0.2">
      <c r="B978" s="3"/>
      <c r="F978" s="24"/>
      <c r="G978" s="3"/>
      <c r="H978" s="7"/>
    </row>
    <row r="979" spans="2:8" ht="15.75" customHeight="1" x14ac:dyDescent="0.2">
      <c r="B979" s="3"/>
      <c r="F979" s="24"/>
      <c r="G979" s="3"/>
      <c r="H979" s="7"/>
    </row>
    <row r="980" spans="2:8" ht="15.75" customHeight="1" x14ac:dyDescent="0.2">
      <c r="B980" s="3"/>
      <c r="F980" s="24"/>
      <c r="G980" s="3"/>
      <c r="H980" s="7"/>
    </row>
    <row r="981" spans="2:8" ht="15.75" customHeight="1" x14ac:dyDescent="0.2">
      <c r="B981" s="3"/>
      <c r="F981" s="24"/>
      <c r="G981" s="3"/>
      <c r="H981" s="7"/>
    </row>
    <row r="982" spans="2:8" ht="15.75" customHeight="1" x14ac:dyDescent="0.2">
      <c r="B982" s="3"/>
      <c r="F982" s="24"/>
      <c r="G982" s="3"/>
      <c r="H982" s="7"/>
    </row>
    <row r="983" spans="2:8" ht="15.75" customHeight="1" x14ac:dyDescent="0.2">
      <c r="B983" s="3"/>
      <c r="F983" s="24"/>
      <c r="G983" s="3"/>
      <c r="H983" s="7"/>
    </row>
    <row r="984" spans="2:8" ht="15.75" customHeight="1" x14ac:dyDescent="0.2">
      <c r="B984" s="3"/>
      <c r="F984" s="24"/>
      <c r="G984" s="3"/>
      <c r="H984" s="7"/>
    </row>
    <row r="985" spans="2:8" ht="15.75" customHeight="1" x14ac:dyDescent="0.2">
      <c r="B985" s="3"/>
      <c r="F985" s="24"/>
      <c r="G985" s="3"/>
      <c r="H985" s="7"/>
    </row>
    <row r="986" spans="2:8" ht="15.75" customHeight="1" x14ac:dyDescent="0.2">
      <c r="B986" s="3"/>
      <c r="F986" s="24"/>
      <c r="G986" s="3"/>
      <c r="H986" s="7"/>
    </row>
    <row r="987" spans="2:8" ht="15.75" customHeight="1" x14ac:dyDescent="0.2">
      <c r="B987" s="3"/>
      <c r="F987" s="24"/>
      <c r="G987" s="3"/>
      <c r="H987" s="7"/>
    </row>
    <row r="988" spans="2:8" ht="15.75" customHeight="1" x14ac:dyDescent="0.2">
      <c r="B988" s="3"/>
      <c r="F988" s="24"/>
      <c r="G988" s="3"/>
      <c r="H988" s="7"/>
    </row>
    <row r="989" spans="2:8" ht="15.75" customHeight="1" x14ac:dyDescent="0.2">
      <c r="B989" s="3"/>
      <c r="F989" s="24"/>
      <c r="G989" s="3"/>
      <c r="H989" s="7"/>
    </row>
    <row r="990" spans="2:8" ht="15.75" customHeight="1" x14ac:dyDescent="0.2">
      <c r="B990" s="3"/>
      <c r="F990" s="24"/>
      <c r="G990" s="3"/>
      <c r="H990" s="7"/>
    </row>
    <row r="991" spans="2:8" ht="15.75" customHeight="1" x14ac:dyDescent="0.2">
      <c r="B991" s="3"/>
      <c r="F991" s="24"/>
      <c r="G991" s="3"/>
      <c r="H991" s="7"/>
    </row>
    <row r="992" spans="2:8" ht="15.75" customHeight="1" x14ac:dyDescent="0.2">
      <c r="B992" s="3"/>
      <c r="F992" s="24"/>
      <c r="G992" s="3"/>
      <c r="H992" s="7"/>
    </row>
    <row r="993" spans="2:8" ht="15.75" customHeight="1" x14ac:dyDescent="0.2">
      <c r="B993" s="3"/>
      <c r="F993" s="24"/>
      <c r="G993" s="3"/>
      <c r="H993" s="7"/>
    </row>
    <row r="994" spans="2:8" ht="15.75" customHeight="1" x14ac:dyDescent="0.2">
      <c r="B994" s="3"/>
      <c r="F994" s="24"/>
      <c r="G994" s="3"/>
      <c r="H994" s="7"/>
    </row>
    <row r="995" spans="2:8" ht="15.75" customHeight="1" x14ac:dyDescent="0.2">
      <c r="B995" s="3"/>
      <c r="F995" s="24"/>
      <c r="G995" s="3"/>
      <c r="H995" s="7"/>
    </row>
    <row r="996" spans="2:8" ht="15.75" customHeight="1" x14ac:dyDescent="0.2">
      <c r="B996" s="3"/>
      <c r="F996" s="24"/>
      <c r="G996" s="3"/>
      <c r="H996" s="7"/>
    </row>
    <row r="997" spans="2:8" ht="15.75" customHeight="1" x14ac:dyDescent="0.2">
      <c r="B997" s="3"/>
      <c r="F997" s="24"/>
      <c r="G997" s="3"/>
      <c r="H997" s="7"/>
    </row>
    <row r="998" spans="2:8" ht="15.75" customHeight="1" x14ac:dyDescent="0.2">
      <c r="B998" s="3"/>
      <c r="F998" s="24"/>
      <c r="G998" s="3"/>
      <c r="H998" s="7"/>
    </row>
    <row r="999" spans="2:8" ht="15.75" customHeight="1" x14ac:dyDescent="0.2">
      <c r="B999" s="3"/>
      <c r="F999" s="24"/>
      <c r="G999" s="3"/>
      <c r="H999" s="7"/>
    </row>
    <row r="1000" spans="2:8" ht="15.75" customHeight="1" x14ac:dyDescent="0.2">
      <c r="B1000" s="3"/>
      <c r="F1000" s="24"/>
      <c r="G1000" s="3"/>
      <c r="H1000" s="7"/>
    </row>
    <row r="1001" spans="2:8" ht="15.75" customHeight="1" x14ac:dyDescent="0.2">
      <c r="B1001" s="3"/>
      <c r="F1001" s="24"/>
      <c r="G1001" s="3"/>
      <c r="H1001" s="7"/>
    </row>
    <row r="1002" spans="2:8" ht="15.75" customHeight="1" x14ac:dyDescent="0.2">
      <c r="B1002" s="3"/>
      <c r="F1002" s="24"/>
      <c r="G1002" s="3"/>
      <c r="H1002" s="7"/>
    </row>
    <row r="1003" spans="2:8" ht="15.75" customHeight="1" x14ac:dyDescent="0.2">
      <c r="B1003" s="3"/>
      <c r="F1003" s="24"/>
      <c r="G1003" s="3"/>
      <c r="H1003" s="7"/>
    </row>
    <row r="1004" spans="2:8" ht="15.75" customHeight="1" x14ac:dyDescent="0.2">
      <c r="B1004" s="3"/>
      <c r="F1004" s="24"/>
      <c r="G1004" s="3"/>
      <c r="H1004" s="7"/>
    </row>
    <row r="1005" spans="2:8" ht="15.75" customHeight="1" x14ac:dyDescent="0.2">
      <c r="B1005" s="3"/>
      <c r="F1005" s="24"/>
      <c r="G1005" s="3"/>
      <c r="H1005" s="7"/>
    </row>
    <row r="1006" spans="2:8" ht="15.75" customHeight="1" x14ac:dyDescent="0.2">
      <c r="B1006" s="3"/>
      <c r="F1006" s="24"/>
      <c r="G1006" s="3"/>
      <c r="H1006" s="7"/>
    </row>
    <row r="1007" spans="2:8" ht="15.75" customHeight="1" x14ac:dyDescent="0.2">
      <c r="B1007" s="3"/>
      <c r="F1007" s="24"/>
      <c r="G1007" s="3"/>
      <c r="H1007" s="7"/>
    </row>
    <row r="1008" spans="2:8" ht="15.75" customHeight="1" x14ac:dyDescent="0.2">
      <c r="B1008" s="3"/>
      <c r="F1008" s="24"/>
      <c r="G1008" s="3"/>
      <c r="H1008" s="7"/>
    </row>
    <row r="1009" spans="2:8" ht="15.75" customHeight="1" x14ac:dyDescent="0.2">
      <c r="B1009" s="3"/>
      <c r="F1009" s="24"/>
      <c r="G1009" s="3"/>
      <c r="H1009" s="7"/>
    </row>
    <row r="1010" spans="2:8" ht="15.75" customHeight="1" x14ac:dyDescent="0.2">
      <c r="B1010" s="3"/>
      <c r="F1010" s="24"/>
      <c r="G1010" s="3"/>
      <c r="H1010" s="7"/>
    </row>
    <row r="1011" spans="2:8" ht="15.75" customHeight="1" x14ac:dyDescent="0.2">
      <c r="B1011" s="3"/>
      <c r="F1011" s="24"/>
      <c r="G1011" s="3"/>
      <c r="H1011" s="7"/>
    </row>
    <row r="1012" spans="2:8" ht="15.75" customHeight="1" x14ac:dyDescent="0.2">
      <c r="B1012" s="3"/>
      <c r="F1012" s="24"/>
      <c r="G1012" s="3"/>
      <c r="H1012" s="7"/>
    </row>
    <row r="1013" spans="2:8" ht="15.75" customHeight="1" x14ac:dyDescent="0.2">
      <c r="B1013" s="3"/>
      <c r="F1013" s="24"/>
      <c r="G1013" s="3"/>
      <c r="H1013" s="7"/>
    </row>
    <row r="1014" spans="2:8" ht="15.75" customHeight="1" x14ac:dyDescent="0.2">
      <c r="B1014" s="3"/>
      <c r="F1014" s="24"/>
      <c r="G1014" s="3"/>
      <c r="H1014" s="7"/>
    </row>
    <row r="1015" spans="2:8" ht="15.75" customHeight="1" x14ac:dyDescent="0.2">
      <c r="B1015" s="3"/>
      <c r="F1015" s="24"/>
      <c r="G1015" s="3"/>
      <c r="H1015" s="7"/>
    </row>
    <row r="1016" spans="2:8" ht="15.75" customHeight="1" x14ac:dyDescent="0.2">
      <c r="B1016" s="3"/>
      <c r="F1016" s="24"/>
      <c r="G1016" s="3"/>
      <c r="H1016" s="7"/>
    </row>
    <row r="1017" spans="2:8" ht="15.75" customHeight="1" x14ac:dyDescent="0.2">
      <c r="B1017" s="3"/>
      <c r="F1017" s="24"/>
      <c r="G1017" s="3"/>
      <c r="H1017" s="7"/>
    </row>
    <row r="1018" spans="2:8" ht="15.75" customHeight="1" x14ac:dyDescent="0.2">
      <c r="B1018" s="3"/>
      <c r="F1018" s="24"/>
      <c r="G1018" s="3"/>
      <c r="H1018" s="7"/>
    </row>
    <row r="1019" spans="2:8" ht="15.75" customHeight="1" x14ac:dyDescent="0.2">
      <c r="B1019" s="3"/>
      <c r="F1019" s="24"/>
      <c r="G1019" s="3"/>
      <c r="H1019" s="7"/>
    </row>
    <row r="1020" spans="2:8" ht="15.75" customHeight="1" x14ac:dyDescent="0.2">
      <c r="B1020" s="3"/>
      <c r="F1020" s="24"/>
      <c r="G1020" s="3"/>
      <c r="H1020" s="7"/>
    </row>
    <row r="1021" spans="2:8" ht="15.75" customHeight="1" x14ac:dyDescent="0.2">
      <c r="B1021" s="3"/>
      <c r="F1021" s="24"/>
      <c r="G1021" s="3"/>
      <c r="H1021" s="7"/>
    </row>
    <row r="1022" spans="2:8" ht="15.75" customHeight="1" x14ac:dyDescent="0.2">
      <c r="B1022" s="3"/>
      <c r="F1022" s="24"/>
      <c r="G1022" s="3"/>
      <c r="H1022" s="7"/>
    </row>
    <row r="1023" spans="2:8" ht="15.75" customHeight="1" x14ac:dyDescent="0.2">
      <c r="B1023" s="3"/>
      <c r="F1023" s="24"/>
      <c r="G1023" s="3"/>
      <c r="H1023" s="7"/>
    </row>
    <row r="1024" spans="2:8" ht="15.75" customHeight="1" x14ac:dyDescent="0.2">
      <c r="B1024" s="3"/>
      <c r="F1024" s="24"/>
      <c r="G1024" s="3"/>
      <c r="H1024" s="7"/>
    </row>
    <row r="1025" spans="2:8" ht="15.75" customHeight="1" x14ac:dyDescent="0.2">
      <c r="B1025" s="3"/>
      <c r="F1025" s="24"/>
      <c r="G1025" s="3"/>
      <c r="H1025" s="7"/>
    </row>
    <row r="1026" spans="2:8" ht="15.75" customHeight="1" x14ac:dyDescent="0.2">
      <c r="B1026" s="3"/>
      <c r="F1026" s="24"/>
      <c r="G1026" s="3"/>
      <c r="H1026" s="7"/>
    </row>
    <row r="1027" spans="2:8" ht="15.75" customHeight="1" x14ac:dyDescent="0.2">
      <c r="B1027" s="3"/>
      <c r="F1027" s="24"/>
      <c r="G1027" s="3"/>
      <c r="H1027" s="7"/>
    </row>
    <row r="1028" spans="2:8" ht="15.75" customHeight="1" x14ac:dyDescent="0.2">
      <c r="B1028" s="3"/>
      <c r="F1028" s="24"/>
      <c r="G1028" s="3"/>
      <c r="H1028" s="7"/>
    </row>
    <row r="1029" spans="2:8" ht="15.75" customHeight="1" x14ac:dyDescent="0.2">
      <c r="B1029" s="3"/>
      <c r="F1029" s="24"/>
      <c r="G1029" s="3"/>
      <c r="H1029" s="7"/>
    </row>
    <row r="1030" spans="2:8" ht="15.75" customHeight="1" x14ac:dyDescent="0.2">
      <c r="B1030" s="3"/>
      <c r="F1030" s="24"/>
      <c r="G1030" s="3"/>
      <c r="H1030" s="7"/>
    </row>
    <row r="1031" spans="2:8" ht="15.75" customHeight="1" x14ac:dyDescent="0.2">
      <c r="B1031" s="3"/>
      <c r="F1031" s="24"/>
      <c r="G1031" s="3"/>
      <c r="H1031" s="7"/>
    </row>
    <row r="1032" spans="2:8" ht="15.75" customHeight="1" x14ac:dyDescent="0.2">
      <c r="B1032" s="3"/>
      <c r="F1032" s="24"/>
      <c r="G1032" s="3"/>
      <c r="H1032" s="7"/>
    </row>
    <row r="1033" spans="2:8" ht="15.75" customHeight="1" x14ac:dyDescent="0.2">
      <c r="B1033" s="3"/>
      <c r="F1033" s="24"/>
      <c r="G1033" s="3"/>
      <c r="H1033" s="7"/>
    </row>
    <row r="1034" spans="2:8" ht="15.75" customHeight="1" x14ac:dyDescent="0.2">
      <c r="B1034" s="3"/>
      <c r="F1034" s="24"/>
      <c r="G1034" s="3"/>
      <c r="H1034" s="7"/>
    </row>
    <row r="1035" spans="2:8" ht="15.75" customHeight="1" x14ac:dyDescent="0.2">
      <c r="B1035" s="3"/>
      <c r="F1035" s="24"/>
      <c r="G1035" s="3"/>
      <c r="H1035" s="7"/>
    </row>
    <row r="1036" spans="2:8" ht="15.75" customHeight="1" x14ac:dyDescent="0.2">
      <c r="B1036" s="3"/>
      <c r="F1036" s="24"/>
      <c r="G1036" s="3"/>
      <c r="H1036" s="7"/>
    </row>
    <row r="1037" spans="2:8" ht="15.75" customHeight="1" x14ac:dyDescent="0.2">
      <c r="B1037" s="3"/>
      <c r="F1037" s="24"/>
      <c r="G1037" s="3"/>
      <c r="H1037" s="7"/>
    </row>
    <row r="1038" spans="2:8" ht="15.75" customHeight="1" x14ac:dyDescent="0.2">
      <c r="B1038" s="3"/>
      <c r="F1038" s="24"/>
      <c r="G1038" s="3"/>
      <c r="H1038" s="7"/>
    </row>
    <row r="1039" spans="2:8" ht="15.75" customHeight="1" x14ac:dyDescent="0.2">
      <c r="B1039" s="3"/>
      <c r="F1039" s="24"/>
      <c r="G1039" s="3"/>
      <c r="H1039" s="7"/>
    </row>
    <row r="1040" spans="2:8" ht="15.75" customHeight="1" x14ac:dyDescent="0.2">
      <c r="B1040" s="3"/>
      <c r="F1040" s="24"/>
      <c r="G1040" s="3"/>
      <c r="H1040" s="7"/>
    </row>
    <row r="1041" spans="2:8" ht="15.75" customHeight="1" x14ac:dyDescent="0.2">
      <c r="B1041" s="3"/>
      <c r="F1041" s="24"/>
      <c r="G1041" s="3"/>
      <c r="H1041" s="7"/>
    </row>
    <row r="1042" spans="2:8" ht="15.75" customHeight="1" x14ac:dyDescent="0.2">
      <c r="B1042" s="3"/>
      <c r="F1042" s="24"/>
      <c r="G1042" s="3"/>
      <c r="H1042" s="7"/>
    </row>
    <row r="1043" spans="2:8" ht="15.75" customHeight="1" x14ac:dyDescent="0.2">
      <c r="B1043" s="3"/>
      <c r="F1043" s="24"/>
      <c r="G1043" s="3"/>
      <c r="H1043" s="7"/>
    </row>
    <row r="1044" spans="2:8" ht="15.75" customHeight="1" x14ac:dyDescent="0.2">
      <c r="B1044" s="3"/>
      <c r="F1044" s="24"/>
      <c r="G1044" s="3"/>
      <c r="H1044" s="7"/>
    </row>
    <row r="1045" spans="2:8" ht="15.75" customHeight="1" x14ac:dyDescent="0.2">
      <c r="B1045" s="3"/>
      <c r="F1045" s="24"/>
      <c r="G1045" s="3"/>
      <c r="H1045" s="7"/>
    </row>
    <row r="1046" spans="2:8" ht="15.75" customHeight="1" x14ac:dyDescent="0.2">
      <c r="B1046" s="3"/>
      <c r="F1046" s="24"/>
      <c r="G1046" s="3"/>
      <c r="H1046" s="7"/>
    </row>
    <row r="1047" spans="2:8" ht="15.75" customHeight="1" x14ac:dyDescent="0.2">
      <c r="B1047" s="3"/>
      <c r="F1047" s="24"/>
      <c r="G1047" s="3"/>
      <c r="H1047" s="7"/>
    </row>
    <row r="1048" spans="2:8" ht="15.75" customHeight="1" x14ac:dyDescent="0.2">
      <c r="B1048" s="3"/>
      <c r="F1048" s="24"/>
      <c r="G1048" s="3"/>
      <c r="H1048" s="7"/>
    </row>
    <row r="1049" spans="2:8" ht="15.75" customHeight="1" x14ac:dyDescent="0.2">
      <c r="B1049" s="3"/>
      <c r="F1049" s="24"/>
      <c r="G1049" s="3"/>
      <c r="H1049" s="7"/>
    </row>
    <row r="1050" spans="2:8" ht="15.75" customHeight="1" x14ac:dyDescent="0.2">
      <c r="B1050" s="3"/>
      <c r="F1050" s="24"/>
      <c r="G1050" s="3"/>
      <c r="H1050" s="7"/>
    </row>
    <row r="1051" spans="2:8" ht="15.75" customHeight="1" x14ac:dyDescent="0.2">
      <c r="B1051" s="3"/>
      <c r="F1051" s="24"/>
      <c r="G1051" s="3"/>
      <c r="H1051" s="7"/>
    </row>
    <row r="1052" spans="2:8" ht="15.75" customHeight="1" x14ac:dyDescent="0.2">
      <c r="B1052" s="3"/>
      <c r="F1052" s="24"/>
      <c r="G1052" s="3"/>
      <c r="H1052" s="7"/>
    </row>
    <row r="1053" spans="2:8" ht="15.75" customHeight="1" x14ac:dyDescent="0.2">
      <c r="B1053" s="3"/>
      <c r="F1053" s="24"/>
      <c r="G1053" s="3"/>
      <c r="H1053" s="7"/>
    </row>
    <row r="1054" spans="2:8" ht="15.75" customHeight="1" x14ac:dyDescent="0.2">
      <c r="B1054" s="3"/>
      <c r="F1054" s="24"/>
      <c r="G1054" s="3"/>
      <c r="H1054" s="7"/>
    </row>
    <row r="1055" spans="2:8" ht="15.75" customHeight="1" x14ac:dyDescent="0.2">
      <c r="B1055" s="3"/>
      <c r="F1055" s="24"/>
      <c r="G1055" s="3"/>
      <c r="H1055" s="7"/>
    </row>
    <row r="1056" spans="2:8" ht="15.75" customHeight="1" x14ac:dyDescent="0.2">
      <c r="B1056" s="3"/>
      <c r="F1056" s="24"/>
      <c r="G1056" s="3"/>
      <c r="H1056" s="7"/>
    </row>
    <row r="1057" spans="2:8" ht="15.75" customHeight="1" x14ac:dyDescent="0.2">
      <c r="B1057" s="3"/>
      <c r="F1057" s="24"/>
      <c r="G1057" s="3"/>
      <c r="H1057" s="7"/>
    </row>
    <row r="1058" spans="2:8" ht="15.75" customHeight="1" x14ac:dyDescent="0.2">
      <c r="B1058" s="3"/>
      <c r="F1058" s="24"/>
      <c r="G1058" s="3"/>
      <c r="H1058" s="7"/>
    </row>
    <row r="1059" spans="2:8" ht="15.75" customHeight="1" x14ac:dyDescent="0.2">
      <c r="B1059" s="3"/>
      <c r="F1059" s="24"/>
      <c r="G1059" s="3"/>
      <c r="H1059" s="7"/>
    </row>
    <row r="1060" spans="2:8" ht="15.75" customHeight="1" x14ac:dyDescent="0.2">
      <c r="B1060" s="3"/>
      <c r="F1060" s="24"/>
      <c r="G1060" s="3"/>
      <c r="H1060" s="7"/>
    </row>
    <row r="1061" spans="2:8" ht="15.75" customHeight="1" x14ac:dyDescent="0.2">
      <c r="B1061" s="3"/>
      <c r="F1061" s="24"/>
      <c r="G1061" s="3"/>
      <c r="H1061" s="7"/>
    </row>
    <row r="1062" spans="2:8" ht="15.75" customHeight="1" x14ac:dyDescent="0.2">
      <c r="B1062" s="3"/>
      <c r="F1062" s="24"/>
      <c r="G1062" s="3"/>
      <c r="H1062" s="7"/>
    </row>
    <row r="1063" spans="2:8" ht="15.75" customHeight="1" x14ac:dyDescent="0.2">
      <c r="B1063" s="3"/>
      <c r="F1063" s="24"/>
      <c r="G1063" s="3"/>
      <c r="H1063" s="7"/>
    </row>
    <row r="1064" spans="2:8" ht="15.75" customHeight="1" x14ac:dyDescent="0.2">
      <c r="B1064" s="3"/>
      <c r="F1064" s="24"/>
      <c r="G1064" s="3"/>
      <c r="H1064" s="7"/>
    </row>
    <row r="1065" spans="2:8" ht="15.75" customHeight="1" x14ac:dyDescent="0.2">
      <c r="B1065" s="3"/>
      <c r="F1065" s="24"/>
      <c r="G1065" s="3"/>
      <c r="H1065" s="7"/>
    </row>
    <row r="1066" spans="2:8" ht="15.75" customHeight="1" x14ac:dyDescent="0.2">
      <c r="B1066" s="3"/>
      <c r="F1066" s="24"/>
      <c r="G1066" s="3"/>
      <c r="H1066" s="7"/>
    </row>
    <row r="1067" spans="2:8" ht="15.75" customHeight="1" x14ac:dyDescent="0.2">
      <c r="B1067" s="3"/>
      <c r="F1067" s="24"/>
      <c r="G1067" s="3"/>
      <c r="H1067" s="7"/>
    </row>
    <row r="1068" spans="2:8" ht="15.75" customHeight="1" x14ac:dyDescent="0.2">
      <c r="B1068" s="3"/>
      <c r="F1068" s="24"/>
      <c r="G1068" s="3"/>
      <c r="H1068" s="7"/>
    </row>
    <row r="1069" spans="2:8" ht="15.75" customHeight="1" x14ac:dyDescent="0.2">
      <c r="B1069" s="3"/>
      <c r="F1069" s="24"/>
      <c r="G1069" s="3"/>
      <c r="H1069" s="7"/>
    </row>
    <row r="1070" spans="2:8" ht="15.75" customHeight="1" x14ac:dyDescent="0.2">
      <c r="B1070" s="3"/>
      <c r="F1070" s="24"/>
      <c r="G1070" s="3"/>
      <c r="H1070" s="7"/>
    </row>
    <row r="1071" spans="2:8" ht="15.75" customHeight="1" x14ac:dyDescent="0.2">
      <c r="B1071" s="3"/>
      <c r="F1071" s="24"/>
      <c r="G1071" s="3"/>
      <c r="H1071" s="7"/>
    </row>
    <row r="1072" spans="2:8" ht="15.75" customHeight="1" x14ac:dyDescent="0.2">
      <c r="B1072" s="3"/>
      <c r="F1072" s="24"/>
      <c r="G1072" s="3"/>
      <c r="H1072" s="7"/>
    </row>
    <row r="1073" spans="2:8" ht="15.75" customHeight="1" x14ac:dyDescent="0.2">
      <c r="B1073" s="3"/>
      <c r="F1073" s="24"/>
      <c r="G1073" s="3"/>
      <c r="H1073" s="7"/>
    </row>
    <row r="1074" spans="2:8" ht="15.75" customHeight="1" x14ac:dyDescent="0.2">
      <c r="B1074" s="3"/>
      <c r="F1074" s="24"/>
      <c r="G1074" s="3"/>
      <c r="H1074" s="7"/>
    </row>
    <row r="1075" spans="2:8" ht="15.75" customHeight="1" x14ac:dyDescent="0.2">
      <c r="B1075" s="3"/>
      <c r="F1075" s="24"/>
      <c r="G1075" s="3"/>
      <c r="H1075" s="7"/>
    </row>
    <row r="1076" spans="2:8" ht="15.75" customHeight="1" x14ac:dyDescent="0.2">
      <c r="B1076" s="3"/>
      <c r="F1076" s="24"/>
      <c r="G1076" s="3"/>
      <c r="H1076" s="7"/>
    </row>
    <row r="1077" spans="2:8" ht="15.75" customHeight="1" x14ac:dyDescent="0.2">
      <c r="B1077" s="3"/>
      <c r="F1077" s="24"/>
      <c r="G1077" s="3"/>
      <c r="H1077" s="7"/>
    </row>
    <row r="1078" spans="2:8" ht="15.75" customHeight="1" x14ac:dyDescent="0.2">
      <c r="B1078" s="3"/>
      <c r="F1078" s="24"/>
      <c r="G1078" s="3"/>
      <c r="H1078" s="7"/>
    </row>
    <row r="1079" spans="2:8" ht="15.75" customHeight="1" x14ac:dyDescent="0.2">
      <c r="B1079" s="3"/>
      <c r="F1079" s="24"/>
      <c r="G1079" s="3"/>
      <c r="H1079" s="7"/>
    </row>
    <row r="1080" spans="2:8" ht="15.75" customHeight="1" x14ac:dyDescent="0.2">
      <c r="B1080" s="3"/>
      <c r="F1080" s="24"/>
      <c r="G1080" s="3"/>
      <c r="H1080" s="7"/>
    </row>
    <row r="1081" spans="2:8" ht="15.75" customHeight="1" x14ac:dyDescent="0.2">
      <c r="B1081" s="3"/>
      <c r="F1081" s="24"/>
      <c r="G1081" s="3"/>
      <c r="H1081" s="7"/>
    </row>
    <row r="1082" spans="2:8" ht="15.75" customHeight="1" x14ac:dyDescent="0.2">
      <c r="B1082" s="3"/>
      <c r="F1082" s="24"/>
      <c r="G1082" s="3"/>
      <c r="H1082" s="7"/>
    </row>
    <row r="1083" spans="2:8" ht="15.75" customHeight="1" x14ac:dyDescent="0.2">
      <c r="B1083" s="3"/>
      <c r="F1083" s="24"/>
      <c r="G1083" s="3"/>
      <c r="H1083" s="7"/>
    </row>
    <row r="1084" spans="2:8" ht="15.75" customHeight="1" x14ac:dyDescent="0.2">
      <c r="B1084" s="3"/>
      <c r="F1084" s="24"/>
      <c r="G1084" s="3"/>
      <c r="H1084" s="7"/>
    </row>
    <row r="1085" spans="2:8" ht="15.75" customHeight="1" x14ac:dyDescent="0.2">
      <c r="B1085" s="3"/>
      <c r="F1085" s="24"/>
      <c r="G1085" s="3"/>
      <c r="H1085" s="7"/>
    </row>
    <row r="1086" spans="2:8" ht="15.75" customHeight="1" x14ac:dyDescent="0.2">
      <c r="B1086" s="3"/>
      <c r="F1086" s="24"/>
      <c r="G1086" s="3"/>
      <c r="H1086" s="7"/>
    </row>
    <row r="1087" spans="2:8" ht="15.75" customHeight="1" x14ac:dyDescent="0.2">
      <c r="B1087" s="3"/>
      <c r="F1087" s="24"/>
      <c r="G1087" s="3"/>
      <c r="H1087" s="7"/>
    </row>
    <row r="1088" spans="2:8" ht="15.75" customHeight="1" x14ac:dyDescent="0.2">
      <c r="B1088" s="3"/>
      <c r="F1088" s="24"/>
      <c r="G1088" s="3"/>
      <c r="H1088" s="7"/>
    </row>
    <row r="1089" spans="2:8" ht="15.75" customHeight="1" x14ac:dyDescent="0.2">
      <c r="B1089" s="3"/>
      <c r="F1089" s="24"/>
      <c r="G1089" s="3"/>
      <c r="H1089" s="7"/>
    </row>
    <row r="1090" spans="2:8" ht="15.75" customHeight="1" x14ac:dyDescent="0.2">
      <c r="B1090" s="3"/>
      <c r="F1090" s="24"/>
      <c r="G1090" s="3"/>
      <c r="H1090" s="7"/>
    </row>
    <row r="1091" spans="2:8" ht="15.75" customHeight="1" x14ac:dyDescent="0.2">
      <c r="B1091" s="3"/>
      <c r="F1091" s="24"/>
      <c r="G1091" s="3"/>
      <c r="H1091" s="7"/>
    </row>
    <row r="1092" spans="2:8" ht="15.75" customHeight="1" x14ac:dyDescent="0.2">
      <c r="B1092" s="3"/>
      <c r="F1092" s="24"/>
      <c r="G1092" s="3"/>
      <c r="H1092" s="7"/>
    </row>
    <row r="1093" spans="2:8" ht="15.75" customHeight="1" x14ac:dyDescent="0.2">
      <c r="B1093" s="3"/>
      <c r="F1093" s="24"/>
      <c r="G1093" s="3"/>
      <c r="H1093" s="7"/>
    </row>
    <row r="1094" spans="2:8" ht="15.75" customHeight="1" x14ac:dyDescent="0.2">
      <c r="B1094" s="3"/>
      <c r="F1094" s="24"/>
      <c r="G1094" s="3"/>
      <c r="H1094" s="7"/>
    </row>
    <row r="1095" spans="2:8" ht="15.75" customHeight="1" x14ac:dyDescent="0.2">
      <c r="B1095" s="3"/>
      <c r="F1095" s="24"/>
      <c r="G1095" s="3"/>
      <c r="H1095" s="7"/>
    </row>
    <row r="1096" spans="2:8" ht="15.75" customHeight="1" x14ac:dyDescent="0.2">
      <c r="B1096" s="3"/>
      <c r="F1096" s="24"/>
      <c r="G1096" s="3"/>
      <c r="H1096" s="7"/>
    </row>
    <row r="1097" spans="2:8" ht="15.75" customHeight="1" x14ac:dyDescent="0.2">
      <c r="B1097" s="3"/>
      <c r="F1097" s="24"/>
      <c r="G1097" s="3"/>
      <c r="H1097" s="7"/>
    </row>
    <row r="1098" spans="2:8" ht="15.75" customHeight="1" x14ac:dyDescent="0.2">
      <c r="B1098" s="3"/>
      <c r="F1098" s="24"/>
      <c r="G1098" s="3"/>
      <c r="H1098" s="7"/>
    </row>
    <row r="1099" spans="2:8" ht="15.75" customHeight="1" x14ac:dyDescent="0.2">
      <c r="B1099" s="3"/>
      <c r="F1099" s="24"/>
      <c r="G1099" s="3"/>
      <c r="H1099" s="7"/>
    </row>
    <row r="1100" spans="2:8" ht="15.75" customHeight="1" x14ac:dyDescent="0.2">
      <c r="B1100" s="3"/>
      <c r="F1100" s="24"/>
      <c r="G1100" s="3"/>
      <c r="H1100" s="7"/>
    </row>
    <row r="1101" spans="2:8" ht="15.75" customHeight="1" x14ac:dyDescent="0.2">
      <c r="B1101" s="3"/>
      <c r="F1101" s="24"/>
      <c r="G1101" s="3"/>
      <c r="H1101" s="7"/>
    </row>
    <row r="1102" spans="2:8" ht="15.75" customHeight="1" x14ac:dyDescent="0.2">
      <c r="B1102" s="3"/>
      <c r="F1102" s="24"/>
      <c r="G1102" s="3"/>
      <c r="H1102" s="7"/>
    </row>
    <row r="1103" spans="2:8" ht="15.75" customHeight="1" x14ac:dyDescent="0.2">
      <c r="B1103" s="3"/>
      <c r="F1103" s="24"/>
      <c r="G1103" s="3"/>
      <c r="H1103" s="7"/>
    </row>
    <row r="1104" spans="2:8" ht="15.75" customHeight="1" x14ac:dyDescent="0.2">
      <c r="B1104" s="3"/>
      <c r="F1104" s="24"/>
      <c r="G1104" s="3"/>
      <c r="H1104" s="7"/>
    </row>
    <row r="1105" spans="2:8" ht="15.75" customHeight="1" x14ac:dyDescent="0.2">
      <c r="B1105" s="3"/>
      <c r="F1105" s="24"/>
      <c r="G1105" s="3"/>
      <c r="H1105" s="7"/>
    </row>
    <row r="1106" spans="2:8" ht="15.75" customHeight="1" x14ac:dyDescent="0.2">
      <c r="B1106" s="3"/>
      <c r="F1106" s="24"/>
      <c r="G1106" s="3"/>
      <c r="H1106" s="7"/>
    </row>
    <row r="1107" spans="2:8" ht="15.75" customHeight="1" x14ac:dyDescent="0.2">
      <c r="B1107" s="3"/>
      <c r="F1107" s="24"/>
      <c r="G1107" s="3"/>
      <c r="H1107" s="7"/>
    </row>
    <row r="1108" spans="2:8" ht="15.75" customHeight="1" x14ac:dyDescent="0.2">
      <c r="B1108" s="3"/>
      <c r="F1108" s="24"/>
      <c r="G1108" s="3"/>
      <c r="H1108" s="7"/>
    </row>
    <row r="1109" spans="2:8" ht="15.75" customHeight="1" x14ac:dyDescent="0.2">
      <c r="B1109" s="3"/>
      <c r="F1109" s="24"/>
      <c r="G1109" s="3"/>
      <c r="H1109" s="7"/>
    </row>
    <row r="1110" spans="2:8" ht="15.75" customHeight="1" x14ac:dyDescent="0.2">
      <c r="B1110" s="3"/>
      <c r="F1110" s="24"/>
      <c r="G1110" s="3"/>
      <c r="H1110" s="7"/>
    </row>
    <row r="1111" spans="2:8" ht="15.75" customHeight="1" x14ac:dyDescent="0.2">
      <c r="B1111" s="3"/>
      <c r="F1111" s="24"/>
      <c r="G1111" s="3"/>
      <c r="H1111" s="7"/>
    </row>
    <row r="1112" spans="2:8" ht="15.75" customHeight="1" x14ac:dyDescent="0.2">
      <c r="B1112" s="3"/>
      <c r="F1112" s="24"/>
      <c r="G1112" s="3"/>
      <c r="H1112" s="7"/>
    </row>
    <row r="1113" spans="2:8" ht="15.75" customHeight="1" x14ac:dyDescent="0.2">
      <c r="B1113" s="3"/>
      <c r="F1113" s="24"/>
      <c r="G1113" s="3"/>
      <c r="H1113" s="7"/>
    </row>
    <row r="1114" spans="2:8" ht="15.75" customHeight="1" x14ac:dyDescent="0.2">
      <c r="B1114" s="3"/>
      <c r="F1114" s="24"/>
      <c r="G1114" s="3"/>
      <c r="H1114" s="7"/>
    </row>
    <row r="1115" spans="2:8" ht="15.75" customHeight="1" x14ac:dyDescent="0.2">
      <c r="B1115" s="3"/>
      <c r="F1115" s="24"/>
      <c r="G1115" s="3"/>
      <c r="H1115" s="7"/>
    </row>
    <row r="1116" spans="2:8" ht="15.75" customHeight="1" x14ac:dyDescent="0.2">
      <c r="B1116" s="3"/>
      <c r="F1116" s="24"/>
      <c r="G1116" s="3"/>
      <c r="H1116" s="7"/>
    </row>
    <row r="1117" spans="2:8" ht="15.75" customHeight="1" x14ac:dyDescent="0.2">
      <c r="B1117" s="3"/>
      <c r="F1117" s="24"/>
      <c r="G1117" s="3"/>
      <c r="H1117" s="7"/>
    </row>
    <row r="1118" spans="2:8" ht="15.75" customHeight="1" x14ac:dyDescent="0.2">
      <c r="B1118" s="3"/>
      <c r="F1118" s="24"/>
      <c r="G1118" s="3"/>
      <c r="H1118" s="7"/>
    </row>
    <row r="1119" spans="2:8" ht="15.75" customHeight="1" x14ac:dyDescent="0.2">
      <c r="B1119" s="3"/>
      <c r="F1119" s="24"/>
      <c r="G1119" s="3"/>
      <c r="H1119" s="7"/>
    </row>
    <row r="1120" spans="2:8" ht="15.75" customHeight="1" x14ac:dyDescent="0.2">
      <c r="B1120" s="3"/>
      <c r="F1120" s="24"/>
      <c r="G1120" s="3"/>
      <c r="H1120" s="7"/>
    </row>
    <row r="1121" spans="2:8" ht="15.75" customHeight="1" x14ac:dyDescent="0.2">
      <c r="B1121" s="3"/>
      <c r="F1121" s="24"/>
      <c r="G1121" s="3"/>
      <c r="H1121" s="7"/>
    </row>
    <row r="1122" spans="2:8" ht="15.75" customHeight="1" x14ac:dyDescent="0.2">
      <c r="B1122" s="3"/>
      <c r="F1122" s="24"/>
      <c r="G1122" s="3"/>
      <c r="H1122" s="7"/>
    </row>
    <row r="1123" spans="2:8" ht="15.75" customHeight="1" x14ac:dyDescent="0.2">
      <c r="B1123" s="3"/>
      <c r="F1123" s="24"/>
      <c r="G1123" s="3"/>
      <c r="H1123" s="7"/>
    </row>
    <row r="1124" spans="2:8" ht="15.75" customHeight="1" x14ac:dyDescent="0.2">
      <c r="B1124" s="3"/>
      <c r="F1124" s="24"/>
      <c r="G1124" s="3"/>
      <c r="H1124" s="7"/>
    </row>
    <row r="1125" spans="2:8" ht="15.75" customHeight="1" x14ac:dyDescent="0.2">
      <c r="B1125" s="3"/>
      <c r="F1125" s="24"/>
      <c r="G1125" s="3"/>
      <c r="H1125" s="7"/>
    </row>
    <row r="1126" spans="2:8" ht="15.75" customHeight="1" x14ac:dyDescent="0.2">
      <c r="B1126" s="3"/>
      <c r="F1126" s="24"/>
      <c r="G1126" s="3"/>
      <c r="H1126" s="7"/>
    </row>
    <row r="1127" spans="2:8" ht="15.75" customHeight="1" x14ac:dyDescent="0.2">
      <c r="B1127" s="3"/>
      <c r="F1127" s="24"/>
      <c r="G1127" s="3"/>
      <c r="H1127" s="7"/>
    </row>
    <row r="1128" spans="2:8" ht="15.75" customHeight="1" x14ac:dyDescent="0.2">
      <c r="B1128" s="3"/>
      <c r="F1128" s="24"/>
      <c r="G1128" s="3"/>
      <c r="H1128" s="7"/>
    </row>
    <row r="1129" spans="2:8" ht="15.75" customHeight="1" x14ac:dyDescent="0.2">
      <c r="B1129" s="3"/>
      <c r="F1129" s="24"/>
      <c r="G1129" s="3"/>
      <c r="H1129" s="7"/>
    </row>
    <row r="1130" spans="2:8" ht="15.75" customHeight="1" x14ac:dyDescent="0.2">
      <c r="B1130" s="3"/>
      <c r="F1130" s="24"/>
      <c r="G1130" s="3"/>
      <c r="H1130" s="7"/>
    </row>
    <row r="1131" spans="2:8" ht="15.75" customHeight="1" x14ac:dyDescent="0.2">
      <c r="B1131" s="3"/>
      <c r="F1131" s="24"/>
      <c r="G1131" s="3"/>
      <c r="H1131" s="7"/>
    </row>
    <row r="1132" spans="2:8" ht="15.75" customHeight="1" x14ac:dyDescent="0.2">
      <c r="B1132" s="3"/>
      <c r="F1132" s="24"/>
      <c r="G1132" s="3"/>
      <c r="H1132" s="7"/>
    </row>
    <row r="1133" spans="2:8" ht="15.75" customHeight="1" x14ac:dyDescent="0.2">
      <c r="B1133" s="3"/>
      <c r="F1133" s="24"/>
      <c r="G1133" s="3"/>
      <c r="H1133" s="7"/>
    </row>
    <row r="1134" spans="2:8" ht="15.75" customHeight="1" x14ac:dyDescent="0.2">
      <c r="B1134" s="3"/>
      <c r="F1134" s="24"/>
      <c r="G1134" s="3"/>
      <c r="H1134" s="7"/>
    </row>
    <row r="1135" spans="2:8" ht="15.75" customHeight="1" x14ac:dyDescent="0.2">
      <c r="B1135" s="3"/>
      <c r="F1135" s="24"/>
      <c r="G1135" s="3"/>
      <c r="H1135" s="7"/>
    </row>
    <row r="1136" spans="2:8" ht="15.75" customHeight="1" x14ac:dyDescent="0.2">
      <c r="B1136" s="3"/>
      <c r="F1136" s="24"/>
      <c r="G1136" s="3"/>
      <c r="H1136" s="7"/>
    </row>
    <row r="1137" spans="2:8" ht="15.75" customHeight="1" x14ac:dyDescent="0.2">
      <c r="B1137" s="3"/>
      <c r="F1137" s="24"/>
      <c r="G1137" s="3"/>
      <c r="H1137" s="7"/>
    </row>
    <row r="1138" spans="2:8" ht="15.75" customHeight="1" x14ac:dyDescent="0.2">
      <c r="B1138" s="3"/>
      <c r="F1138" s="24"/>
      <c r="G1138" s="3"/>
      <c r="H1138" s="7"/>
    </row>
    <row r="1139" spans="2:8" ht="15.75" customHeight="1" x14ac:dyDescent="0.2">
      <c r="B1139" s="3"/>
      <c r="F1139" s="24"/>
      <c r="G1139" s="3"/>
      <c r="H1139" s="7"/>
    </row>
    <row r="1140" spans="2:8" ht="15.75" customHeight="1" x14ac:dyDescent="0.2">
      <c r="B1140" s="3"/>
      <c r="F1140" s="24"/>
      <c r="G1140" s="3"/>
      <c r="H1140" s="7"/>
    </row>
    <row r="1141" spans="2:8" ht="15.75" customHeight="1" x14ac:dyDescent="0.2">
      <c r="B1141" s="3"/>
      <c r="F1141" s="24"/>
      <c r="G1141" s="3"/>
      <c r="H1141" s="7"/>
    </row>
    <row r="1142" spans="2:8" ht="15.75" customHeight="1" x14ac:dyDescent="0.2">
      <c r="B1142" s="3"/>
      <c r="F1142" s="24"/>
      <c r="G1142" s="3"/>
      <c r="H1142" s="7"/>
    </row>
    <row r="1143" spans="2:8" ht="15.75" customHeight="1" x14ac:dyDescent="0.2">
      <c r="B1143" s="3"/>
      <c r="F1143" s="24"/>
      <c r="G1143" s="3"/>
      <c r="H1143" s="7"/>
    </row>
    <row r="1144" spans="2:8" ht="15.75" customHeight="1" x14ac:dyDescent="0.2">
      <c r="B1144" s="3"/>
      <c r="F1144" s="24"/>
      <c r="G1144" s="3"/>
      <c r="H1144" s="7"/>
    </row>
    <row r="1145" spans="2:8" ht="15.75" customHeight="1" x14ac:dyDescent="0.2">
      <c r="B1145" s="3"/>
      <c r="F1145" s="24"/>
      <c r="G1145" s="3"/>
      <c r="H1145" s="7"/>
    </row>
    <row r="1146" spans="2:8" ht="15.75" customHeight="1" x14ac:dyDescent="0.2">
      <c r="B1146" s="3"/>
      <c r="F1146" s="24"/>
      <c r="G1146" s="3"/>
      <c r="H1146" s="7"/>
    </row>
    <row r="1147" spans="2:8" ht="15.75" customHeight="1" x14ac:dyDescent="0.2">
      <c r="B1147" s="3"/>
      <c r="F1147" s="24"/>
      <c r="G1147" s="3"/>
      <c r="H1147" s="7"/>
    </row>
    <row r="1148" spans="2:8" ht="15.75" customHeight="1" x14ac:dyDescent="0.2">
      <c r="B1148" s="3"/>
      <c r="F1148" s="24"/>
      <c r="G1148" s="3"/>
      <c r="H1148" s="7"/>
    </row>
    <row r="1149" spans="2:8" ht="15.75" customHeight="1" x14ac:dyDescent="0.2">
      <c r="B1149" s="3"/>
      <c r="F1149" s="24"/>
      <c r="G1149" s="3"/>
      <c r="H1149" s="7"/>
    </row>
    <row r="1150" spans="2:8" ht="15.75" customHeight="1" x14ac:dyDescent="0.2">
      <c r="B1150" s="3"/>
      <c r="F1150" s="24"/>
      <c r="G1150" s="3"/>
      <c r="H1150" s="7"/>
    </row>
    <row r="1151" spans="2:8" ht="15.75" customHeight="1" x14ac:dyDescent="0.2">
      <c r="B1151" s="3"/>
      <c r="F1151" s="24"/>
      <c r="G1151" s="3"/>
      <c r="H1151" s="7"/>
    </row>
    <row r="1152" spans="2:8" ht="15.75" customHeight="1" x14ac:dyDescent="0.2">
      <c r="B1152" s="3"/>
      <c r="F1152" s="24"/>
      <c r="G1152" s="3"/>
      <c r="H1152" s="7"/>
    </row>
    <row r="1153" spans="2:8" ht="15.75" customHeight="1" x14ac:dyDescent="0.2">
      <c r="B1153" s="3"/>
      <c r="F1153" s="24"/>
      <c r="G1153" s="3"/>
      <c r="H1153" s="7"/>
    </row>
    <row r="1154" spans="2:8" ht="15.75" customHeight="1" x14ac:dyDescent="0.2">
      <c r="B1154" s="3"/>
      <c r="F1154" s="24"/>
      <c r="G1154" s="3"/>
      <c r="H1154" s="7"/>
    </row>
    <row r="1155" spans="2:8" ht="15.75" customHeight="1" x14ac:dyDescent="0.2">
      <c r="B1155" s="3"/>
      <c r="F1155" s="24"/>
      <c r="G1155" s="3"/>
      <c r="H1155" s="7"/>
    </row>
    <row r="1156" spans="2:8" ht="15.75" customHeight="1" x14ac:dyDescent="0.2">
      <c r="B1156" s="3"/>
      <c r="F1156" s="24"/>
      <c r="G1156" s="3"/>
      <c r="H1156" s="7"/>
    </row>
    <row r="1157" spans="2:8" ht="15.75" customHeight="1" x14ac:dyDescent="0.2">
      <c r="B1157" s="3"/>
      <c r="F1157" s="24"/>
      <c r="G1157" s="3"/>
      <c r="H1157" s="7"/>
    </row>
    <row r="1158" spans="2:8" ht="15.75" customHeight="1" x14ac:dyDescent="0.2">
      <c r="B1158" s="3"/>
      <c r="F1158" s="24"/>
      <c r="G1158" s="3"/>
      <c r="H1158" s="7"/>
    </row>
    <row r="1159" spans="2:8" ht="15.75" customHeight="1" x14ac:dyDescent="0.2">
      <c r="B1159" s="3"/>
      <c r="F1159" s="24"/>
      <c r="G1159" s="3"/>
      <c r="H1159" s="7"/>
    </row>
    <row r="1160" spans="2:8" ht="15.75" customHeight="1" x14ac:dyDescent="0.2">
      <c r="B1160" s="3"/>
      <c r="F1160" s="24"/>
      <c r="G1160" s="3"/>
      <c r="H1160" s="7"/>
    </row>
    <row r="1161" spans="2:8" ht="15.75" customHeight="1" x14ac:dyDescent="0.2">
      <c r="B1161" s="3"/>
      <c r="F1161" s="24"/>
      <c r="G1161" s="3"/>
      <c r="H1161" s="7"/>
    </row>
    <row r="1162" spans="2:8" ht="15.75" customHeight="1" x14ac:dyDescent="0.2">
      <c r="B1162" s="3"/>
      <c r="F1162" s="24"/>
      <c r="G1162" s="3"/>
      <c r="H1162" s="7"/>
    </row>
    <row r="1163" spans="2:8" ht="15.75" customHeight="1" x14ac:dyDescent="0.2">
      <c r="B1163" s="3"/>
      <c r="F1163" s="24"/>
      <c r="G1163" s="3"/>
      <c r="H1163" s="7"/>
    </row>
    <row r="1164" spans="2:8" ht="15.75" customHeight="1" x14ac:dyDescent="0.2">
      <c r="B1164" s="3"/>
      <c r="F1164" s="24"/>
      <c r="G1164" s="3"/>
      <c r="H1164" s="7"/>
    </row>
    <row r="1165" spans="2:8" ht="15.75" customHeight="1" x14ac:dyDescent="0.2">
      <c r="B1165" s="3"/>
      <c r="F1165" s="24"/>
      <c r="G1165" s="3"/>
      <c r="H1165" s="7"/>
    </row>
    <row r="1166" spans="2:8" ht="15.75" customHeight="1" x14ac:dyDescent="0.2">
      <c r="B1166" s="3"/>
      <c r="F1166" s="24"/>
      <c r="G1166" s="3"/>
      <c r="H1166" s="7"/>
    </row>
    <row r="1167" spans="2:8" ht="15.75" customHeight="1" x14ac:dyDescent="0.2">
      <c r="B1167" s="3"/>
      <c r="F1167" s="24"/>
      <c r="G1167" s="3"/>
      <c r="H1167" s="7"/>
    </row>
    <row r="1168" spans="2:8" ht="15.75" customHeight="1" x14ac:dyDescent="0.2">
      <c r="B1168" s="3"/>
      <c r="F1168" s="24"/>
      <c r="G1168" s="3"/>
      <c r="H1168" s="7"/>
    </row>
    <row r="1169" spans="2:8" ht="15.75" customHeight="1" x14ac:dyDescent="0.2">
      <c r="B1169" s="3"/>
      <c r="F1169" s="24"/>
      <c r="G1169" s="3"/>
      <c r="H1169" s="7"/>
    </row>
    <row r="1170" spans="2:8" ht="15.75" customHeight="1" x14ac:dyDescent="0.2">
      <c r="B1170" s="3"/>
      <c r="F1170" s="24"/>
      <c r="G1170" s="3"/>
      <c r="H1170" s="7"/>
    </row>
    <row r="1171" spans="2:8" ht="15.75" customHeight="1" x14ac:dyDescent="0.2">
      <c r="B1171" s="3"/>
      <c r="F1171" s="24"/>
      <c r="G1171" s="3"/>
      <c r="H1171" s="7"/>
    </row>
    <row r="1172" spans="2:8" ht="15.75" customHeight="1" x14ac:dyDescent="0.2">
      <c r="B1172" s="3"/>
      <c r="F1172" s="24"/>
      <c r="G1172" s="3"/>
      <c r="H1172" s="7"/>
    </row>
    <row r="1173" spans="2:8" ht="15.75" customHeight="1" x14ac:dyDescent="0.2">
      <c r="B1173" s="3"/>
      <c r="F1173" s="24"/>
      <c r="G1173" s="3"/>
      <c r="H1173" s="7"/>
    </row>
    <row r="1174" spans="2:8" ht="15.75" customHeight="1" x14ac:dyDescent="0.2">
      <c r="B1174" s="3"/>
      <c r="F1174" s="24"/>
      <c r="G1174" s="3"/>
      <c r="H1174" s="7"/>
    </row>
    <row r="1175" spans="2:8" ht="15.75" customHeight="1" x14ac:dyDescent="0.2">
      <c r="B1175" s="3"/>
      <c r="F1175" s="24"/>
      <c r="G1175" s="3"/>
      <c r="H1175" s="7"/>
    </row>
    <row r="1176" spans="2:8" ht="15.75" customHeight="1" x14ac:dyDescent="0.2">
      <c r="B1176" s="3"/>
      <c r="F1176" s="24"/>
      <c r="G1176" s="3"/>
      <c r="H1176" s="7"/>
    </row>
    <row r="1177" spans="2:8" ht="15.75" customHeight="1" x14ac:dyDescent="0.2">
      <c r="B1177" s="3"/>
      <c r="F1177" s="24"/>
      <c r="G1177" s="3"/>
      <c r="H1177" s="7"/>
    </row>
    <row r="1178" spans="2:8" ht="15.75" customHeight="1" x14ac:dyDescent="0.2">
      <c r="B1178" s="3"/>
      <c r="F1178" s="24"/>
      <c r="G1178" s="3"/>
      <c r="H1178" s="7"/>
    </row>
    <row r="1179" spans="2:8" ht="15.75" customHeight="1" x14ac:dyDescent="0.2">
      <c r="B1179" s="3"/>
      <c r="F1179" s="24"/>
      <c r="G1179" s="3"/>
      <c r="H1179" s="7"/>
    </row>
    <row r="1180" spans="2:8" ht="15.75" customHeight="1" x14ac:dyDescent="0.2">
      <c r="B1180" s="3"/>
      <c r="F1180" s="24"/>
      <c r="G1180" s="3"/>
      <c r="H1180" s="7"/>
    </row>
    <row r="1181" spans="2:8" ht="15.75" customHeight="1" x14ac:dyDescent="0.2">
      <c r="B1181" s="3"/>
      <c r="F1181" s="24"/>
      <c r="G1181" s="3"/>
      <c r="H1181" s="7"/>
    </row>
    <row r="1182" spans="2:8" ht="15.75" customHeight="1" x14ac:dyDescent="0.2">
      <c r="B1182" s="3"/>
      <c r="F1182" s="24"/>
      <c r="G1182" s="3"/>
      <c r="H1182" s="7"/>
    </row>
    <row r="1183" spans="2:8" ht="15.75" customHeight="1" x14ac:dyDescent="0.2">
      <c r="B1183" s="3"/>
      <c r="F1183" s="24"/>
      <c r="G1183" s="3"/>
      <c r="H1183" s="7"/>
    </row>
    <row r="1184" spans="2:8" ht="15.75" customHeight="1" x14ac:dyDescent="0.2">
      <c r="B1184" s="3"/>
      <c r="F1184" s="24"/>
      <c r="G1184" s="3"/>
      <c r="H1184" s="7"/>
    </row>
    <row r="1185" spans="2:8" ht="15.75" customHeight="1" x14ac:dyDescent="0.2">
      <c r="B1185" s="3"/>
      <c r="F1185" s="24"/>
      <c r="G1185" s="3"/>
      <c r="H1185" s="7"/>
    </row>
    <row r="1186" spans="2:8" ht="15.75" customHeight="1" x14ac:dyDescent="0.2">
      <c r="B1186" s="3"/>
      <c r="F1186" s="24"/>
      <c r="G1186" s="3"/>
      <c r="H1186" s="7"/>
    </row>
    <row r="1187" spans="2:8" ht="15.75" customHeight="1" x14ac:dyDescent="0.2">
      <c r="B1187" s="3"/>
      <c r="F1187" s="24"/>
      <c r="G1187" s="3"/>
      <c r="H1187" s="7"/>
    </row>
    <row r="1188" spans="2:8" ht="15.75" customHeight="1" x14ac:dyDescent="0.2">
      <c r="B1188" s="3"/>
      <c r="F1188" s="24"/>
      <c r="G1188" s="3"/>
      <c r="H1188" s="7"/>
    </row>
    <row r="1189" spans="2:8" ht="15.75" customHeight="1" x14ac:dyDescent="0.2">
      <c r="B1189" s="3"/>
      <c r="F1189" s="24"/>
      <c r="G1189" s="3"/>
      <c r="H1189" s="7"/>
    </row>
    <row r="1190" spans="2:8" ht="15.75" customHeight="1" x14ac:dyDescent="0.2">
      <c r="B1190" s="3"/>
      <c r="F1190" s="24"/>
      <c r="G1190" s="3"/>
      <c r="H1190" s="7"/>
    </row>
    <row r="1191" spans="2:8" ht="15.75" customHeight="1" x14ac:dyDescent="0.2">
      <c r="B1191" s="3"/>
      <c r="F1191" s="24"/>
      <c r="G1191" s="3"/>
      <c r="H1191" s="7"/>
    </row>
    <row r="1192" spans="2:8" ht="15.75" customHeight="1" x14ac:dyDescent="0.2">
      <c r="B1192" s="3"/>
      <c r="F1192" s="24"/>
      <c r="G1192" s="3"/>
      <c r="H1192" s="7"/>
    </row>
    <row r="1193" spans="2:8" ht="15.75" customHeight="1" x14ac:dyDescent="0.2">
      <c r="B1193" s="3"/>
      <c r="F1193" s="24"/>
      <c r="G1193" s="3"/>
      <c r="H1193" s="7"/>
    </row>
    <row r="1194" spans="2:8" ht="15.75" customHeight="1" x14ac:dyDescent="0.2">
      <c r="B1194" s="3"/>
      <c r="F1194" s="24"/>
      <c r="G1194" s="3"/>
      <c r="H1194" s="7"/>
    </row>
    <row r="1195" spans="2:8" ht="15.75" customHeight="1" x14ac:dyDescent="0.2">
      <c r="B1195" s="3"/>
      <c r="F1195" s="24"/>
      <c r="G1195" s="3"/>
      <c r="H1195" s="7"/>
    </row>
    <row r="1196" spans="2:8" ht="15.75" customHeight="1" x14ac:dyDescent="0.2">
      <c r="B1196" s="3"/>
      <c r="F1196" s="24"/>
      <c r="G1196" s="3"/>
      <c r="H1196" s="7"/>
    </row>
    <row r="1197" spans="2:8" ht="15.75" customHeight="1" x14ac:dyDescent="0.2">
      <c r="B1197" s="3"/>
      <c r="F1197" s="24"/>
      <c r="G1197" s="3"/>
      <c r="H1197" s="7"/>
    </row>
    <row r="1198" spans="2:8" ht="15.75" customHeight="1" x14ac:dyDescent="0.2">
      <c r="B1198" s="3"/>
      <c r="F1198" s="24"/>
      <c r="G1198" s="3"/>
      <c r="H1198" s="7"/>
    </row>
    <row r="1199" spans="2:8" ht="15.75" customHeight="1" x14ac:dyDescent="0.2">
      <c r="B1199" s="3"/>
      <c r="F1199" s="24"/>
      <c r="G1199" s="3"/>
      <c r="H1199" s="7"/>
    </row>
    <row r="1200" spans="2:8" ht="15.75" customHeight="1" x14ac:dyDescent="0.2">
      <c r="B1200" s="3"/>
      <c r="F1200" s="24"/>
      <c r="G1200" s="3"/>
      <c r="H1200" s="7"/>
    </row>
    <row r="1201" spans="2:8" ht="15.75" customHeight="1" x14ac:dyDescent="0.2">
      <c r="B1201" s="3"/>
      <c r="F1201" s="24"/>
      <c r="G1201" s="3"/>
      <c r="H1201" s="7"/>
    </row>
    <row r="1202" spans="2:8" ht="15.75" customHeight="1" x14ac:dyDescent="0.2">
      <c r="B1202" s="3"/>
      <c r="F1202" s="24"/>
      <c r="G1202" s="3"/>
      <c r="H1202" s="7"/>
    </row>
    <row r="1203" spans="2:8" ht="15.75" customHeight="1" x14ac:dyDescent="0.2">
      <c r="B1203" s="3"/>
      <c r="F1203" s="24"/>
      <c r="G1203" s="3"/>
      <c r="H1203" s="7"/>
    </row>
    <row r="1204" spans="2:8" ht="15.75" customHeight="1" x14ac:dyDescent="0.2">
      <c r="B1204" s="3"/>
      <c r="F1204" s="24"/>
      <c r="G1204" s="3"/>
      <c r="H1204" s="7"/>
    </row>
    <row r="1205" spans="2:8" ht="15.75" customHeight="1" x14ac:dyDescent="0.2">
      <c r="B1205" s="3"/>
      <c r="F1205" s="24"/>
      <c r="G1205" s="3"/>
      <c r="H1205" s="7"/>
    </row>
    <row r="1206" spans="2:8" ht="15.75" customHeight="1" x14ac:dyDescent="0.2">
      <c r="B1206" s="3"/>
      <c r="F1206" s="24"/>
      <c r="G1206" s="3"/>
      <c r="H1206" s="7"/>
    </row>
    <row r="1207" spans="2:8" ht="15.75" customHeight="1" x14ac:dyDescent="0.2">
      <c r="B1207" s="3"/>
      <c r="F1207" s="24"/>
      <c r="G1207" s="3"/>
      <c r="H1207" s="7"/>
    </row>
    <row r="1208" spans="2:8" ht="15.75" customHeight="1" x14ac:dyDescent="0.2">
      <c r="B1208" s="3"/>
      <c r="F1208" s="24"/>
      <c r="G1208" s="3"/>
      <c r="H1208" s="7"/>
    </row>
    <row r="1209" spans="2:8" ht="15.75" customHeight="1" x14ac:dyDescent="0.2">
      <c r="B1209" s="3"/>
      <c r="F1209" s="24"/>
      <c r="G1209" s="3"/>
      <c r="H1209" s="7"/>
    </row>
    <row r="1210" spans="2:8" ht="15.75" customHeight="1" x14ac:dyDescent="0.2">
      <c r="B1210" s="3"/>
      <c r="F1210" s="24"/>
      <c r="G1210" s="3"/>
      <c r="H1210" s="7"/>
    </row>
    <row r="1211" spans="2:8" ht="15.75" customHeight="1" x14ac:dyDescent="0.2">
      <c r="B1211" s="3"/>
      <c r="F1211" s="24"/>
      <c r="G1211" s="3"/>
      <c r="H1211" s="7"/>
    </row>
    <row r="1212" spans="2:8" ht="15.75" customHeight="1" x14ac:dyDescent="0.2">
      <c r="B1212" s="3"/>
      <c r="F1212" s="24"/>
      <c r="G1212" s="3"/>
      <c r="H1212" s="7"/>
    </row>
    <row r="1213" spans="2:8" ht="15.75" customHeight="1" x14ac:dyDescent="0.2">
      <c r="B1213" s="3"/>
      <c r="F1213" s="24"/>
      <c r="G1213" s="3"/>
      <c r="H1213" s="7"/>
    </row>
    <row r="1214" spans="2:8" ht="15.75" customHeight="1" x14ac:dyDescent="0.2">
      <c r="B1214" s="3"/>
      <c r="F1214" s="24"/>
      <c r="G1214" s="3"/>
      <c r="H1214" s="7"/>
    </row>
    <row r="1215" spans="2:8" ht="15.75" customHeight="1" x14ac:dyDescent="0.2">
      <c r="B1215" s="3"/>
      <c r="F1215" s="24"/>
      <c r="G1215" s="3"/>
      <c r="H1215" s="7"/>
    </row>
    <row r="1216" spans="2:8" ht="15.75" customHeight="1" x14ac:dyDescent="0.2">
      <c r="B1216" s="3"/>
      <c r="F1216" s="24"/>
      <c r="G1216" s="3"/>
      <c r="H1216" s="7"/>
    </row>
    <row r="1217" spans="2:8" ht="15.75" customHeight="1" x14ac:dyDescent="0.2">
      <c r="B1217" s="3"/>
      <c r="F1217" s="24"/>
      <c r="G1217" s="3"/>
      <c r="H1217" s="7"/>
    </row>
    <row r="1218" spans="2:8" ht="15.75" customHeight="1" x14ac:dyDescent="0.2">
      <c r="B1218" s="3"/>
      <c r="F1218" s="24"/>
      <c r="G1218" s="3"/>
      <c r="H1218" s="7"/>
    </row>
    <row r="1219" spans="2:8" ht="15.75" customHeight="1" x14ac:dyDescent="0.2">
      <c r="B1219" s="3"/>
      <c r="F1219" s="24"/>
      <c r="G1219" s="3"/>
      <c r="H1219" s="7"/>
    </row>
    <row r="1220" spans="2:8" ht="15.75" customHeight="1" x14ac:dyDescent="0.2">
      <c r="B1220" s="3"/>
      <c r="F1220" s="24"/>
      <c r="G1220" s="3"/>
      <c r="H1220" s="7"/>
    </row>
    <row r="1221" spans="2:8" ht="15.75" customHeight="1" x14ac:dyDescent="0.2">
      <c r="B1221" s="3"/>
      <c r="F1221" s="24"/>
      <c r="G1221" s="3"/>
      <c r="H1221" s="7"/>
    </row>
    <row r="1222" spans="2:8" ht="15.75" customHeight="1" x14ac:dyDescent="0.2">
      <c r="B1222" s="3"/>
      <c r="F1222" s="24"/>
      <c r="G1222" s="3"/>
      <c r="H1222" s="7"/>
    </row>
    <row r="1223" spans="2:8" ht="15.75" customHeight="1" x14ac:dyDescent="0.2">
      <c r="B1223" s="3"/>
      <c r="F1223" s="24"/>
      <c r="G1223" s="3"/>
      <c r="H1223" s="7"/>
    </row>
    <row r="1224" spans="2:8" ht="15.75" customHeight="1" x14ac:dyDescent="0.2">
      <c r="B1224" s="3"/>
      <c r="F1224" s="24"/>
      <c r="G1224" s="3"/>
      <c r="H1224" s="7"/>
    </row>
    <row r="1225" spans="2:8" ht="15.75" customHeight="1" x14ac:dyDescent="0.2">
      <c r="B1225" s="3"/>
      <c r="F1225" s="24"/>
      <c r="G1225" s="3"/>
      <c r="H1225" s="7"/>
    </row>
    <row r="1226" spans="2:8" ht="15.75" customHeight="1" x14ac:dyDescent="0.2">
      <c r="B1226" s="3"/>
      <c r="F1226" s="24"/>
      <c r="G1226" s="3"/>
      <c r="H1226" s="7"/>
    </row>
    <row r="1227" spans="2:8" ht="15.75" customHeight="1" x14ac:dyDescent="0.2">
      <c r="B1227" s="3"/>
      <c r="F1227" s="24"/>
      <c r="G1227" s="3"/>
      <c r="H1227" s="7"/>
    </row>
    <row r="1228" spans="2:8" ht="15.75" customHeight="1" x14ac:dyDescent="0.2">
      <c r="B1228" s="3"/>
      <c r="F1228" s="24"/>
      <c r="G1228" s="3"/>
      <c r="H1228" s="7"/>
    </row>
    <row r="1229" spans="2:8" ht="15.75" customHeight="1" x14ac:dyDescent="0.2">
      <c r="B1229" s="3"/>
      <c r="F1229" s="24"/>
      <c r="G1229" s="3"/>
      <c r="H1229" s="7"/>
    </row>
    <row r="1230" spans="2:8" ht="15.75" customHeight="1" x14ac:dyDescent="0.2">
      <c r="B1230" s="3"/>
      <c r="F1230" s="24"/>
      <c r="G1230" s="3"/>
      <c r="H1230" s="7"/>
    </row>
    <row r="1231" spans="2:8" ht="15.75" customHeight="1" x14ac:dyDescent="0.2">
      <c r="B1231" s="3"/>
      <c r="F1231" s="24"/>
      <c r="G1231" s="3"/>
      <c r="H1231" s="7"/>
    </row>
    <row r="1232" spans="2:8" ht="15.75" customHeight="1" x14ac:dyDescent="0.2">
      <c r="B1232" s="3"/>
      <c r="F1232" s="24"/>
      <c r="G1232" s="3"/>
      <c r="H1232" s="7"/>
    </row>
    <row r="1233" spans="2:8" ht="15.75" customHeight="1" x14ac:dyDescent="0.2">
      <c r="B1233" s="3"/>
      <c r="F1233" s="24"/>
      <c r="G1233" s="3"/>
      <c r="H1233" s="7"/>
    </row>
    <row r="1234" spans="2:8" ht="15.75" customHeight="1" x14ac:dyDescent="0.2">
      <c r="B1234" s="3"/>
      <c r="F1234" s="24"/>
      <c r="G1234" s="3"/>
      <c r="H1234" s="7"/>
    </row>
    <row r="1235" spans="2:8" ht="15.75" customHeight="1" x14ac:dyDescent="0.2">
      <c r="B1235" s="3"/>
      <c r="F1235" s="24"/>
      <c r="G1235" s="3"/>
      <c r="H1235" s="7"/>
    </row>
    <row r="1236" spans="2:8" ht="15.75" customHeight="1" x14ac:dyDescent="0.2">
      <c r="B1236" s="3"/>
      <c r="F1236" s="24"/>
      <c r="G1236" s="3"/>
      <c r="H1236" s="7"/>
    </row>
    <row r="1237" spans="2:8" ht="15.75" customHeight="1" x14ac:dyDescent="0.2">
      <c r="B1237" s="3"/>
      <c r="F1237" s="24"/>
      <c r="G1237" s="3"/>
      <c r="H1237" s="7"/>
    </row>
    <row r="1238" spans="2:8" ht="15.75" customHeight="1" x14ac:dyDescent="0.2">
      <c r="B1238" s="3"/>
      <c r="F1238" s="24"/>
      <c r="G1238" s="3"/>
      <c r="H1238" s="7"/>
    </row>
    <row r="1239" spans="2:8" ht="15.75" customHeight="1" x14ac:dyDescent="0.2">
      <c r="B1239" s="3"/>
      <c r="F1239" s="24"/>
      <c r="G1239" s="3"/>
      <c r="H1239" s="7"/>
    </row>
    <row r="1240" spans="2:8" ht="15.75" customHeight="1" x14ac:dyDescent="0.2">
      <c r="B1240" s="3"/>
      <c r="F1240" s="24"/>
      <c r="G1240" s="3"/>
      <c r="H1240" s="7"/>
    </row>
    <row r="1241" spans="2:8" ht="15.75" customHeight="1" x14ac:dyDescent="0.2">
      <c r="B1241" s="3"/>
      <c r="F1241" s="24"/>
      <c r="G1241" s="3"/>
      <c r="H1241" s="7"/>
    </row>
    <row r="1242" spans="2:8" ht="15.75" customHeight="1" x14ac:dyDescent="0.2">
      <c r="B1242" s="3"/>
      <c r="F1242" s="24"/>
      <c r="G1242" s="3"/>
      <c r="H1242" s="7"/>
    </row>
    <row r="1243" spans="2:8" ht="15.75" customHeight="1" x14ac:dyDescent="0.2">
      <c r="B1243" s="3"/>
      <c r="F1243" s="24"/>
      <c r="G1243" s="3"/>
      <c r="H1243" s="7"/>
    </row>
    <row r="1244" spans="2:8" ht="15.75" customHeight="1" x14ac:dyDescent="0.2">
      <c r="B1244" s="3"/>
      <c r="F1244" s="24"/>
      <c r="G1244" s="3"/>
      <c r="H1244" s="7"/>
    </row>
    <row r="1245" spans="2:8" ht="15.75" customHeight="1" x14ac:dyDescent="0.2">
      <c r="B1245" s="3"/>
      <c r="F1245" s="24"/>
      <c r="G1245" s="3"/>
      <c r="H1245" s="7"/>
    </row>
    <row r="1246" spans="2:8" ht="15.75" customHeight="1" x14ac:dyDescent="0.2">
      <c r="B1246" s="3"/>
      <c r="F1246" s="24"/>
      <c r="G1246" s="3"/>
      <c r="H1246" s="7"/>
    </row>
    <row r="1247" spans="2:8" ht="15.75" customHeight="1" x14ac:dyDescent="0.2">
      <c r="B1247" s="3"/>
      <c r="F1247" s="24"/>
      <c r="G1247" s="3"/>
      <c r="H1247" s="7"/>
    </row>
    <row r="1248" spans="2:8" ht="15.75" customHeight="1" x14ac:dyDescent="0.2">
      <c r="B1248" s="3"/>
      <c r="F1248" s="24"/>
      <c r="G1248" s="3"/>
      <c r="H1248" s="7"/>
    </row>
    <row r="1249" spans="2:8" ht="15.75" customHeight="1" x14ac:dyDescent="0.2">
      <c r="B1249" s="3"/>
      <c r="F1249" s="24"/>
      <c r="G1249" s="3"/>
      <c r="H1249" s="7"/>
    </row>
    <row r="1250" spans="2:8" ht="15.75" customHeight="1" x14ac:dyDescent="0.2">
      <c r="B1250" s="3"/>
      <c r="F1250" s="24"/>
      <c r="G1250" s="3"/>
      <c r="H1250" s="7"/>
    </row>
    <row r="1251" spans="2:8" ht="15.75" customHeight="1" x14ac:dyDescent="0.2">
      <c r="B1251" s="3"/>
      <c r="F1251" s="24"/>
      <c r="G1251" s="3"/>
      <c r="H1251" s="7"/>
    </row>
    <row r="1252" spans="2:8" ht="15.75" customHeight="1" x14ac:dyDescent="0.2">
      <c r="B1252" s="3"/>
      <c r="F1252" s="24"/>
      <c r="G1252" s="3"/>
      <c r="H1252" s="7"/>
    </row>
    <row r="1253" spans="2:8" ht="15.75" customHeight="1" x14ac:dyDescent="0.2">
      <c r="B1253" s="3"/>
      <c r="F1253" s="24"/>
      <c r="G1253" s="3"/>
      <c r="H1253" s="7"/>
    </row>
    <row r="1254" spans="2:8" ht="15.75" customHeight="1" x14ac:dyDescent="0.2">
      <c r="B1254" s="3"/>
      <c r="F1254" s="24"/>
      <c r="G1254" s="3"/>
      <c r="H1254" s="7"/>
    </row>
    <row r="1255" spans="2:8" ht="15.75" customHeight="1" x14ac:dyDescent="0.2">
      <c r="B1255" s="3"/>
      <c r="F1255" s="24"/>
      <c r="G1255" s="3"/>
      <c r="H1255" s="7"/>
    </row>
    <row r="1256" spans="2:8" ht="15.75" customHeight="1" x14ac:dyDescent="0.2">
      <c r="B1256" s="3"/>
      <c r="F1256" s="24"/>
      <c r="G1256" s="3"/>
      <c r="H1256" s="7"/>
    </row>
    <row r="1257" spans="2:8" ht="15.75" customHeight="1" x14ac:dyDescent="0.2">
      <c r="B1257" s="3"/>
      <c r="F1257" s="24"/>
      <c r="G1257" s="3"/>
      <c r="H1257" s="7"/>
    </row>
    <row r="1258" spans="2:8" ht="15.75" customHeight="1" x14ac:dyDescent="0.2">
      <c r="B1258" s="3"/>
      <c r="F1258" s="24"/>
      <c r="G1258" s="3"/>
      <c r="H1258" s="7"/>
    </row>
    <row r="1259" spans="2:8" ht="15.75" customHeight="1" x14ac:dyDescent="0.2">
      <c r="B1259" s="3"/>
      <c r="F1259" s="24"/>
      <c r="G1259" s="3"/>
      <c r="H1259" s="7"/>
    </row>
    <row r="1260" spans="2:8" ht="15.75" customHeight="1" x14ac:dyDescent="0.2">
      <c r="B1260" s="3"/>
      <c r="F1260" s="24"/>
      <c r="G1260" s="3"/>
      <c r="H1260" s="7"/>
    </row>
    <row r="1261" spans="2:8" ht="15.75" customHeight="1" x14ac:dyDescent="0.2">
      <c r="B1261" s="3"/>
      <c r="F1261" s="24"/>
      <c r="G1261" s="3"/>
      <c r="H1261" s="7"/>
    </row>
    <row r="1262" spans="2:8" ht="15.75" customHeight="1" x14ac:dyDescent="0.2">
      <c r="B1262" s="3"/>
      <c r="F1262" s="24"/>
      <c r="G1262" s="3"/>
      <c r="H1262" s="7"/>
    </row>
    <row r="1263" spans="2:8" ht="15.75" customHeight="1" x14ac:dyDescent="0.2">
      <c r="B1263" s="3"/>
      <c r="F1263" s="24"/>
      <c r="G1263" s="3"/>
      <c r="H1263" s="7"/>
    </row>
    <row r="1264" spans="2:8" ht="15.75" customHeight="1" x14ac:dyDescent="0.2">
      <c r="B1264" s="3"/>
      <c r="F1264" s="24"/>
      <c r="G1264" s="3"/>
      <c r="H1264" s="7"/>
    </row>
    <row r="1265" spans="2:8" ht="15.75" customHeight="1" x14ac:dyDescent="0.2">
      <c r="B1265" s="3"/>
      <c r="F1265" s="24"/>
      <c r="G1265" s="3"/>
      <c r="H1265" s="7"/>
    </row>
    <row r="1266" spans="2:8" ht="15.75" customHeight="1" x14ac:dyDescent="0.2">
      <c r="B1266" s="3"/>
      <c r="F1266" s="24"/>
      <c r="G1266" s="3"/>
      <c r="H1266" s="7"/>
    </row>
    <row r="1267" spans="2:8" ht="15.75" customHeight="1" x14ac:dyDescent="0.2">
      <c r="B1267" s="3"/>
      <c r="F1267" s="24"/>
      <c r="G1267" s="3"/>
      <c r="H1267" s="7"/>
    </row>
    <row r="1268" spans="2:8" ht="15.75" customHeight="1" x14ac:dyDescent="0.2">
      <c r="B1268" s="3"/>
      <c r="F1268" s="24"/>
      <c r="G1268" s="3"/>
      <c r="H1268" s="7"/>
    </row>
    <row r="1269" spans="2:8" ht="15.75" customHeight="1" x14ac:dyDescent="0.2">
      <c r="B1269" s="3"/>
      <c r="F1269" s="24"/>
      <c r="G1269" s="3"/>
      <c r="H1269" s="7"/>
    </row>
    <row r="1270" spans="2:8" ht="15.75" customHeight="1" x14ac:dyDescent="0.2">
      <c r="B1270" s="3"/>
      <c r="F1270" s="24"/>
      <c r="G1270" s="3"/>
      <c r="H1270" s="7"/>
    </row>
    <row r="1271" spans="2:8" ht="15.75" customHeight="1" x14ac:dyDescent="0.2">
      <c r="B1271" s="3"/>
      <c r="F1271" s="24"/>
      <c r="G1271" s="3"/>
      <c r="H1271" s="7"/>
    </row>
    <row r="1272" spans="2:8" ht="15.75" customHeight="1" x14ac:dyDescent="0.2">
      <c r="B1272" s="3"/>
      <c r="F1272" s="24"/>
      <c r="G1272" s="3"/>
      <c r="H1272" s="7"/>
    </row>
    <row r="1273" spans="2:8" ht="15.75" customHeight="1" x14ac:dyDescent="0.2">
      <c r="B1273" s="3"/>
      <c r="F1273" s="24"/>
      <c r="G1273" s="3"/>
      <c r="H1273" s="7"/>
    </row>
    <row r="1274" spans="2:8" ht="15.75" customHeight="1" x14ac:dyDescent="0.2">
      <c r="B1274" s="3"/>
      <c r="F1274" s="24"/>
      <c r="G1274" s="3"/>
      <c r="H1274" s="7"/>
    </row>
    <row r="1275" spans="2:8" ht="15.75" customHeight="1" x14ac:dyDescent="0.2">
      <c r="B1275" s="3"/>
      <c r="F1275" s="24"/>
      <c r="G1275" s="3"/>
      <c r="H1275" s="7"/>
    </row>
    <row r="1276" spans="2:8" ht="15.75" customHeight="1" x14ac:dyDescent="0.2">
      <c r="B1276" s="3"/>
      <c r="F1276" s="24"/>
      <c r="G1276" s="3"/>
      <c r="H1276" s="7"/>
    </row>
    <row r="1277" spans="2:8" ht="15.75" customHeight="1" x14ac:dyDescent="0.2">
      <c r="B1277" s="3"/>
      <c r="F1277" s="24"/>
      <c r="G1277" s="3"/>
      <c r="H1277" s="7"/>
    </row>
    <row r="1278" spans="2:8" ht="15.75" customHeight="1" x14ac:dyDescent="0.2">
      <c r="B1278" s="3"/>
      <c r="F1278" s="24"/>
      <c r="G1278" s="3"/>
      <c r="H1278" s="7"/>
    </row>
    <row r="1279" spans="2:8" ht="15.75" customHeight="1" x14ac:dyDescent="0.2">
      <c r="B1279" s="3"/>
      <c r="F1279" s="24"/>
      <c r="G1279" s="3"/>
      <c r="H1279" s="7"/>
    </row>
    <row r="1280" spans="2:8" ht="15.75" customHeight="1" x14ac:dyDescent="0.2">
      <c r="B1280" s="3"/>
      <c r="F1280" s="24"/>
      <c r="G1280" s="3"/>
      <c r="H1280" s="7"/>
    </row>
    <row r="1281" spans="2:8" ht="15.75" customHeight="1" x14ac:dyDescent="0.2">
      <c r="B1281" s="3"/>
      <c r="F1281" s="24"/>
      <c r="G1281" s="3"/>
      <c r="H1281" s="7"/>
    </row>
    <row r="1282" spans="2:8" ht="15.75" customHeight="1" x14ac:dyDescent="0.2">
      <c r="B1282" s="3"/>
      <c r="F1282" s="24"/>
      <c r="G1282" s="3"/>
      <c r="H1282" s="7"/>
    </row>
    <row r="1283" spans="2:8" ht="15.75" customHeight="1" x14ac:dyDescent="0.2">
      <c r="B1283" s="3"/>
      <c r="F1283" s="24"/>
      <c r="G1283" s="3"/>
      <c r="H1283" s="7"/>
    </row>
    <row r="1284" spans="2:8" ht="15.75" customHeight="1" x14ac:dyDescent="0.2">
      <c r="B1284" s="3"/>
      <c r="F1284" s="24"/>
      <c r="G1284" s="3"/>
      <c r="H1284" s="7"/>
    </row>
    <row r="1285" spans="2:8" ht="15.75" customHeight="1" x14ac:dyDescent="0.2">
      <c r="B1285" s="3"/>
      <c r="F1285" s="24"/>
      <c r="G1285" s="3"/>
      <c r="H1285" s="7"/>
    </row>
    <row r="1286" spans="2:8" ht="15.75" customHeight="1" x14ac:dyDescent="0.2">
      <c r="B1286" s="3"/>
      <c r="F1286" s="24"/>
      <c r="G1286" s="3"/>
      <c r="H1286" s="7"/>
    </row>
    <row r="1287" spans="2:8" ht="15.75" customHeight="1" x14ac:dyDescent="0.2">
      <c r="B1287" s="3"/>
      <c r="F1287" s="24"/>
      <c r="G1287" s="3"/>
      <c r="H1287" s="7"/>
    </row>
    <row r="1288" spans="2:8" ht="15.75" customHeight="1" x14ac:dyDescent="0.2">
      <c r="B1288" s="3"/>
      <c r="F1288" s="24"/>
      <c r="G1288" s="3"/>
      <c r="H1288" s="7"/>
    </row>
    <row r="1289" spans="2:8" ht="15.75" customHeight="1" x14ac:dyDescent="0.2">
      <c r="B1289" s="3"/>
      <c r="F1289" s="24"/>
      <c r="G1289" s="3"/>
      <c r="H1289" s="7"/>
    </row>
    <row r="1290" spans="2:8" ht="15.75" customHeight="1" x14ac:dyDescent="0.2">
      <c r="B1290" s="3"/>
      <c r="F1290" s="24"/>
      <c r="G1290" s="3"/>
      <c r="H1290" s="7"/>
    </row>
    <row r="1291" spans="2:8" ht="15.75" customHeight="1" x14ac:dyDescent="0.2">
      <c r="B1291" s="3"/>
      <c r="F1291" s="24"/>
      <c r="G1291" s="3"/>
      <c r="H1291" s="7"/>
    </row>
    <row r="1292" spans="2:8" ht="15.75" customHeight="1" x14ac:dyDescent="0.2">
      <c r="B1292" s="3"/>
      <c r="F1292" s="24"/>
      <c r="G1292" s="3"/>
      <c r="H1292" s="7"/>
    </row>
    <row r="1293" spans="2:8" ht="15.75" customHeight="1" x14ac:dyDescent="0.2">
      <c r="B1293" s="3"/>
      <c r="F1293" s="24"/>
      <c r="G1293" s="3"/>
      <c r="H1293" s="7"/>
    </row>
    <row r="1294" spans="2:8" ht="15.75" customHeight="1" x14ac:dyDescent="0.2">
      <c r="B1294" s="3"/>
      <c r="F1294" s="24"/>
      <c r="G1294" s="3"/>
      <c r="H1294" s="7"/>
    </row>
    <row r="1295" spans="2:8" ht="15.75" customHeight="1" x14ac:dyDescent="0.2">
      <c r="B1295" s="3"/>
      <c r="F1295" s="24"/>
      <c r="G1295" s="3"/>
      <c r="H1295" s="7"/>
    </row>
    <row r="1296" spans="2:8" ht="15.75" customHeight="1" x14ac:dyDescent="0.2">
      <c r="B1296" s="3"/>
      <c r="F1296" s="24"/>
      <c r="G1296" s="3"/>
      <c r="H1296" s="7"/>
    </row>
    <row r="1297" spans="2:8" ht="15.75" customHeight="1" x14ac:dyDescent="0.2">
      <c r="B1297" s="3"/>
      <c r="F1297" s="24"/>
      <c r="G1297" s="3"/>
      <c r="H1297" s="7"/>
    </row>
    <row r="1298" spans="2:8" ht="15.75" customHeight="1" x14ac:dyDescent="0.2">
      <c r="B1298" s="3"/>
      <c r="F1298" s="24"/>
      <c r="G1298" s="3"/>
      <c r="H1298" s="7"/>
    </row>
    <row r="1299" spans="2:8" ht="15.75" customHeight="1" x14ac:dyDescent="0.2">
      <c r="B1299" s="3"/>
      <c r="F1299" s="24"/>
      <c r="G1299" s="3"/>
      <c r="H1299" s="7"/>
    </row>
    <row r="1300" spans="2:8" ht="15.75" customHeight="1" x14ac:dyDescent="0.2">
      <c r="B1300" s="3"/>
      <c r="F1300" s="24"/>
      <c r="G1300" s="3"/>
      <c r="H1300" s="7"/>
    </row>
    <row r="1301" spans="2:8" ht="15.75" customHeight="1" x14ac:dyDescent="0.2">
      <c r="B1301" s="3"/>
      <c r="F1301" s="24"/>
      <c r="G1301" s="3"/>
      <c r="H1301" s="7"/>
    </row>
    <row r="1302" spans="2:8" ht="15.75" customHeight="1" x14ac:dyDescent="0.2">
      <c r="B1302" s="3"/>
      <c r="F1302" s="24"/>
      <c r="G1302" s="3"/>
      <c r="H1302" s="7"/>
    </row>
    <row r="1303" spans="2:8" ht="15.75" customHeight="1" x14ac:dyDescent="0.2">
      <c r="B1303" s="3"/>
      <c r="F1303" s="24"/>
      <c r="G1303" s="3"/>
      <c r="H1303" s="7"/>
    </row>
    <row r="1304" spans="2:8" ht="15.75" customHeight="1" x14ac:dyDescent="0.2">
      <c r="B1304" s="3"/>
      <c r="F1304" s="24"/>
      <c r="G1304" s="3"/>
      <c r="H1304" s="7"/>
    </row>
    <row r="1305" spans="2:8" ht="15.75" customHeight="1" x14ac:dyDescent="0.2">
      <c r="B1305" s="3"/>
      <c r="F1305" s="24"/>
      <c r="G1305" s="3"/>
      <c r="H1305" s="7"/>
    </row>
    <row r="1306" spans="2:8" ht="15.75" customHeight="1" x14ac:dyDescent="0.2">
      <c r="B1306" s="3"/>
      <c r="F1306" s="24"/>
      <c r="G1306" s="3"/>
      <c r="H1306" s="7"/>
    </row>
    <row r="1307" spans="2:8" ht="15.75" customHeight="1" x14ac:dyDescent="0.2">
      <c r="B1307" s="3"/>
      <c r="F1307" s="24"/>
      <c r="G1307" s="3"/>
      <c r="H1307" s="7"/>
    </row>
    <row r="1308" spans="2:8" ht="15.75" customHeight="1" x14ac:dyDescent="0.2">
      <c r="B1308" s="3"/>
      <c r="F1308" s="24"/>
      <c r="G1308" s="3"/>
      <c r="H1308" s="7"/>
    </row>
    <row r="1309" spans="2:8" ht="15.75" customHeight="1" x14ac:dyDescent="0.2">
      <c r="B1309" s="3"/>
      <c r="F1309" s="24"/>
      <c r="G1309" s="3"/>
      <c r="H1309" s="7"/>
    </row>
    <row r="1310" spans="2:8" ht="15.75" customHeight="1" x14ac:dyDescent="0.2">
      <c r="B1310" s="3"/>
      <c r="F1310" s="24"/>
      <c r="G1310" s="3"/>
      <c r="H1310" s="7"/>
    </row>
    <row r="1311" spans="2:8" ht="15.75" customHeight="1" x14ac:dyDescent="0.2">
      <c r="B1311" s="3"/>
      <c r="F1311" s="24"/>
      <c r="G1311" s="3"/>
      <c r="H1311" s="7"/>
    </row>
    <row r="1312" spans="2:8" ht="15.75" customHeight="1" x14ac:dyDescent="0.2">
      <c r="B1312" s="3"/>
      <c r="F1312" s="24"/>
      <c r="G1312" s="3"/>
      <c r="H1312" s="7"/>
    </row>
    <row r="1313" spans="2:8" ht="15.75" customHeight="1" x14ac:dyDescent="0.2">
      <c r="B1313" s="3"/>
      <c r="F1313" s="24"/>
      <c r="G1313" s="3"/>
      <c r="H1313" s="7"/>
    </row>
    <row r="1314" spans="2:8" ht="15.75" customHeight="1" x14ac:dyDescent="0.2">
      <c r="B1314" s="3"/>
      <c r="F1314" s="24"/>
      <c r="G1314" s="3"/>
      <c r="H1314" s="7"/>
    </row>
    <row r="1315" spans="2:8" ht="15.75" customHeight="1" x14ac:dyDescent="0.2">
      <c r="B1315" s="3"/>
      <c r="F1315" s="24"/>
      <c r="G1315" s="3"/>
      <c r="H1315" s="7"/>
    </row>
    <row r="1316" spans="2:8" ht="15.75" customHeight="1" x14ac:dyDescent="0.2">
      <c r="B1316" s="3"/>
      <c r="F1316" s="24"/>
      <c r="G1316" s="3"/>
      <c r="H1316" s="7"/>
    </row>
    <row r="1317" spans="2:8" ht="15.75" customHeight="1" x14ac:dyDescent="0.2">
      <c r="B1317" s="3"/>
      <c r="F1317" s="24"/>
      <c r="G1317" s="3"/>
      <c r="H1317" s="7"/>
    </row>
    <row r="1318" spans="2:8" ht="15.75" customHeight="1" x14ac:dyDescent="0.2">
      <c r="B1318" s="3"/>
      <c r="F1318" s="24"/>
      <c r="G1318" s="3"/>
      <c r="H1318" s="7"/>
    </row>
    <row r="1319" spans="2:8" ht="15.75" customHeight="1" x14ac:dyDescent="0.2">
      <c r="B1319" s="3"/>
      <c r="F1319" s="24"/>
      <c r="G1319" s="3"/>
      <c r="H1319" s="7"/>
    </row>
    <row r="1320" spans="2:8" ht="15.75" customHeight="1" x14ac:dyDescent="0.2">
      <c r="B1320" s="3"/>
      <c r="F1320" s="24"/>
      <c r="G1320" s="3"/>
      <c r="H1320" s="7"/>
    </row>
    <row r="1321" spans="2:8" ht="15.75" customHeight="1" x14ac:dyDescent="0.2">
      <c r="B1321" s="3"/>
      <c r="F1321" s="24"/>
      <c r="G1321" s="3"/>
      <c r="H1321" s="7"/>
    </row>
    <row r="1322" spans="2:8" ht="15.75" customHeight="1" x14ac:dyDescent="0.2">
      <c r="B1322" s="3"/>
      <c r="F1322" s="24"/>
      <c r="G1322" s="3"/>
      <c r="H1322" s="7"/>
    </row>
    <row r="1323" spans="2:8" ht="15.75" customHeight="1" x14ac:dyDescent="0.2">
      <c r="B1323" s="3"/>
      <c r="F1323" s="24"/>
      <c r="G1323" s="3"/>
      <c r="H1323" s="7"/>
    </row>
    <row r="1324" spans="2:8" ht="15.75" customHeight="1" x14ac:dyDescent="0.2">
      <c r="B1324" s="3"/>
      <c r="F1324" s="24"/>
      <c r="G1324" s="3"/>
      <c r="H1324" s="7"/>
    </row>
    <row r="1325" spans="2:8" ht="15.75" customHeight="1" x14ac:dyDescent="0.2">
      <c r="B1325" s="3"/>
      <c r="F1325" s="24"/>
      <c r="G1325" s="3"/>
      <c r="H1325" s="7"/>
    </row>
    <row r="1326" spans="2:8" ht="15.75" customHeight="1" x14ac:dyDescent="0.2">
      <c r="B1326" s="3"/>
      <c r="F1326" s="24"/>
      <c r="G1326" s="3"/>
      <c r="H1326" s="7"/>
    </row>
    <row r="1327" spans="2:8" ht="15.75" customHeight="1" x14ac:dyDescent="0.2">
      <c r="B1327" s="3"/>
      <c r="F1327" s="24"/>
      <c r="G1327" s="3"/>
      <c r="H1327" s="7"/>
    </row>
    <row r="1328" spans="2:8" ht="15.75" customHeight="1" x14ac:dyDescent="0.2">
      <c r="B1328" s="3"/>
      <c r="F1328" s="24"/>
      <c r="G1328" s="3"/>
      <c r="H1328" s="7"/>
    </row>
    <row r="1329" spans="2:8" ht="15.75" customHeight="1" x14ac:dyDescent="0.2">
      <c r="B1329" s="3"/>
      <c r="F1329" s="24"/>
      <c r="G1329" s="3"/>
      <c r="H1329" s="7"/>
    </row>
    <row r="1330" spans="2:8" ht="15.75" customHeight="1" x14ac:dyDescent="0.2">
      <c r="B1330" s="3"/>
      <c r="F1330" s="24"/>
      <c r="G1330" s="3"/>
      <c r="H1330" s="7"/>
    </row>
    <row r="1331" spans="2:8" ht="15.75" customHeight="1" x14ac:dyDescent="0.2">
      <c r="B1331" s="3"/>
      <c r="F1331" s="24"/>
      <c r="G1331" s="3"/>
      <c r="H1331" s="7"/>
    </row>
    <row r="1332" spans="2:8" ht="15.75" customHeight="1" x14ac:dyDescent="0.2">
      <c r="B1332" s="3"/>
      <c r="F1332" s="24"/>
      <c r="G1332" s="3"/>
      <c r="H1332" s="7"/>
    </row>
    <row r="1333" spans="2:8" ht="15.75" customHeight="1" x14ac:dyDescent="0.2">
      <c r="B1333" s="3"/>
      <c r="F1333" s="24"/>
      <c r="G1333" s="3"/>
      <c r="H1333" s="7"/>
    </row>
    <row r="1334" spans="2:8" ht="15.75" customHeight="1" x14ac:dyDescent="0.2">
      <c r="B1334" s="3"/>
      <c r="F1334" s="24"/>
      <c r="G1334" s="3"/>
      <c r="H1334" s="7"/>
    </row>
    <row r="1335" spans="2:8" ht="15.75" customHeight="1" x14ac:dyDescent="0.2">
      <c r="B1335" s="3"/>
      <c r="F1335" s="24"/>
      <c r="G1335" s="3"/>
      <c r="H1335" s="7"/>
    </row>
    <row r="1336" spans="2:8" ht="15.75" customHeight="1" x14ac:dyDescent="0.2">
      <c r="B1336" s="3"/>
      <c r="F1336" s="24"/>
      <c r="G1336" s="3"/>
      <c r="H1336" s="7"/>
    </row>
    <row r="1337" spans="2:8" ht="15.75" customHeight="1" x14ac:dyDescent="0.2">
      <c r="B1337" s="3"/>
      <c r="F1337" s="24"/>
      <c r="G1337" s="3"/>
      <c r="H1337" s="7"/>
    </row>
    <row r="1338" spans="2:8" ht="15.75" customHeight="1" x14ac:dyDescent="0.2">
      <c r="B1338" s="3"/>
      <c r="F1338" s="24"/>
      <c r="G1338" s="3"/>
      <c r="H1338" s="7"/>
    </row>
    <row r="1339" spans="2:8" ht="15.75" customHeight="1" x14ac:dyDescent="0.2">
      <c r="B1339" s="3"/>
      <c r="F1339" s="24"/>
      <c r="G1339" s="3"/>
      <c r="H1339" s="7"/>
    </row>
    <row r="1340" spans="2:8" ht="15.75" customHeight="1" x14ac:dyDescent="0.2">
      <c r="B1340" s="3"/>
      <c r="F1340" s="24"/>
      <c r="G1340" s="3"/>
      <c r="H1340" s="7"/>
    </row>
    <row r="1341" spans="2:8" ht="15.75" customHeight="1" x14ac:dyDescent="0.2">
      <c r="B1341" s="3"/>
      <c r="F1341" s="24"/>
      <c r="G1341" s="3"/>
      <c r="H1341" s="7"/>
    </row>
    <row r="1342" spans="2:8" ht="15.75" customHeight="1" x14ac:dyDescent="0.2">
      <c r="B1342" s="3"/>
      <c r="F1342" s="24"/>
      <c r="G1342" s="3"/>
      <c r="H1342" s="7"/>
    </row>
    <row r="1343" spans="2:8" ht="15.75" customHeight="1" x14ac:dyDescent="0.2">
      <c r="B1343" s="3"/>
      <c r="F1343" s="24"/>
      <c r="G1343" s="3"/>
      <c r="H1343" s="7"/>
    </row>
    <row r="1344" spans="2:8" ht="15.75" customHeight="1" x14ac:dyDescent="0.2">
      <c r="B1344" s="3"/>
      <c r="F1344" s="24"/>
      <c r="G1344" s="3"/>
      <c r="H1344" s="7"/>
    </row>
    <row r="1345" spans="2:8" ht="15.75" customHeight="1" x14ac:dyDescent="0.2">
      <c r="B1345" s="3"/>
      <c r="F1345" s="24"/>
      <c r="G1345" s="3"/>
      <c r="H1345" s="7"/>
    </row>
    <row r="1346" spans="2:8" ht="15.75" customHeight="1" x14ac:dyDescent="0.2">
      <c r="B1346" s="3"/>
      <c r="F1346" s="24"/>
      <c r="G1346" s="3"/>
      <c r="H1346" s="7"/>
    </row>
    <row r="1347" spans="2:8" ht="15.75" customHeight="1" x14ac:dyDescent="0.2">
      <c r="B1347" s="3"/>
      <c r="F1347" s="24"/>
      <c r="G1347" s="3"/>
      <c r="H1347" s="7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027"/>
  <sheetViews>
    <sheetView workbookViewId="0">
      <pane ySplit="1" topLeftCell="A228" activePane="bottomLeft" state="frozen"/>
      <selection pane="bottomLeft" activeCell="L215" sqref="L215"/>
    </sheetView>
  </sheetViews>
  <sheetFormatPr baseColWidth="10" defaultColWidth="11.1640625" defaultRowHeight="15" customHeight="1" x14ac:dyDescent="0.2"/>
  <cols>
    <col min="1" max="5" width="10.5" customWidth="1"/>
    <col min="6" max="8" width="10.83203125" customWidth="1"/>
    <col min="9" max="24" width="10.5" customWidth="1"/>
  </cols>
  <sheetData>
    <row r="1" spans="1:24" ht="33.75" customHeight="1" x14ac:dyDescent="0.2">
      <c r="A1" s="3"/>
      <c r="B1" s="3" t="s">
        <v>49</v>
      </c>
      <c r="C1" s="3" t="s">
        <v>50</v>
      </c>
      <c r="D1" s="3" t="s">
        <v>51</v>
      </c>
      <c r="E1" s="3" t="s">
        <v>52</v>
      </c>
      <c r="F1" s="2" t="s">
        <v>53</v>
      </c>
      <c r="G1" s="3" t="s">
        <v>54</v>
      </c>
      <c r="H1" s="2" t="s">
        <v>55</v>
      </c>
      <c r="I1" s="2" t="s">
        <v>56</v>
      </c>
      <c r="J1" s="2" t="s">
        <v>57</v>
      </c>
      <c r="K1" s="2" t="s">
        <v>58</v>
      </c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.75" customHeight="1" x14ac:dyDescent="0.2">
      <c r="A2" s="4"/>
      <c r="B2" s="4" t="s">
        <v>27</v>
      </c>
      <c r="C2" s="3"/>
      <c r="D2" s="3"/>
      <c r="E2" s="3"/>
      <c r="F2" s="2"/>
      <c r="G2" s="3"/>
      <c r="H2" s="2"/>
      <c r="I2" s="2"/>
      <c r="J2" s="2"/>
      <c r="K2" s="2"/>
      <c r="L2" s="2"/>
      <c r="M2" s="2"/>
      <c r="N2" s="3"/>
    </row>
    <row r="3" spans="1:24" ht="15.75" customHeight="1" x14ac:dyDescent="0.2">
      <c r="A3" s="4"/>
      <c r="B3" s="4" t="s">
        <v>59</v>
      </c>
      <c r="C3" s="3"/>
      <c r="D3" s="3"/>
      <c r="E3" s="3"/>
      <c r="F3" s="2"/>
      <c r="G3" s="3"/>
      <c r="H3" s="2"/>
      <c r="I3" s="2"/>
      <c r="J3" s="2"/>
      <c r="K3" s="2"/>
      <c r="L3" s="2"/>
      <c r="M3" s="2"/>
      <c r="N3" s="3"/>
    </row>
    <row r="4" spans="1:24" ht="15.75" customHeight="1" x14ac:dyDescent="0.2">
      <c r="A4" s="4" t="s">
        <v>60</v>
      </c>
      <c r="B4" s="4" t="s">
        <v>99</v>
      </c>
      <c r="C4" s="3"/>
      <c r="D4" s="3"/>
      <c r="E4" s="3"/>
      <c r="F4" s="2"/>
      <c r="G4" s="3"/>
      <c r="H4" s="2"/>
      <c r="I4" s="2"/>
      <c r="J4" s="2"/>
      <c r="K4" s="2"/>
      <c r="L4" s="2"/>
      <c r="M4" s="2"/>
      <c r="N4" s="3"/>
    </row>
    <row r="5" spans="1:24" ht="15.75" customHeight="1" x14ac:dyDescent="0.2">
      <c r="A5" s="4"/>
      <c r="B5" s="5" t="s">
        <v>62</v>
      </c>
      <c r="C5" s="3"/>
      <c r="D5" s="3"/>
      <c r="E5" s="3"/>
      <c r="F5" s="2"/>
      <c r="G5" s="3"/>
      <c r="H5" s="2"/>
      <c r="I5" s="2"/>
      <c r="J5" s="2"/>
      <c r="K5" s="2"/>
      <c r="L5" s="2"/>
      <c r="M5" s="2"/>
      <c r="N5" s="3"/>
    </row>
    <row r="6" spans="1:24" ht="15.75" customHeight="1" x14ac:dyDescent="0.2">
      <c r="A6" s="4"/>
      <c r="B6" s="4"/>
      <c r="C6" s="4"/>
      <c r="D6" s="4"/>
      <c r="E6" s="4"/>
      <c r="F6" s="22"/>
      <c r="G6" s="23"/>
      <c r="H6" s="23"/>
      <c r="I6" s="4"/>
      <c r="J6" s="4"/>
      <c r="K6" s="4"/>
      <c r="L6" s="4"/>
      <c r="M6" s="4"/>
    </row>
    <row r="7" spans="1:24" ht="15.75" customHeight="1" x14ac:dyDescent="0.2">
      <c r="A7" s="4"/>
      <c r="B7" s="4"/>
      <c r="C7" s="6">
        <v>45463</v>
      </c>
      <c r="D7" s="8">
        <v>0.69444444444444453</v>
      </c>
      <c r="E7" s="4"/>
      <c r="F7" s="22"/>
      <c r="G7" s="23"/>
      <c r="H7" s="23"/>
      <c r="I7" s="4"/>
      <c r="J7" s="4">
        <v>9.5</v>
      </c>
      <c r="K7" s="4">
        <v>10</v>
      </c>
      <c r="L7" s="4"/>
      <c r="M7" s="4"/>
    </row>
    <row r="8" spans="1:24" ht="15.75" customHeight="1" x14ac:dyDescent="0.2">
      <c r="A8" s="4"/>
      <c r="B8" s="4"/>
      <c r="C8" s="6">
        <v>45463</v>
      </c>
      <c r="D8" s="8">
        <v>0.70138888888888884</v>
      </c>
      <c r="E8" s="4">
        <v>0.1</v>
      </c>
      <c r="F8" s="22">
        <v>10.43</v>
      </c>
      <c r="G8" s="23">
        <v>112.7</v>
      </c>
      <c r="H8" s="23">
        <v>19</v>
      </c>
      <c r="I8" s="4"/>
      <c r="J8" s="4"/>
      <c r="K8" s="4"/>
      <c r="L8" s="4"/>
      <c r="M8" s="4"/>
    </row>
    <row r="9" spans="1:24" ht="15.75" customHeight="1" x14ac:dyDescent="0.2">
      <c r="A9" s="4"/>
      <c r="B9" s="4"/>
      <c r="C9" s="6">
        <v>45463</v>
      </c>
      <c r="D9" s="8">
        <v>0.70138888888888884</v>
      </c>
      <c r="E9" s="4">
        <v>1</v>
      </c>
      <c r="F9" s="22">
        <v>10.48</v>
      </c>
      <c r="G9" s="23">
        <v>109.4</v>
      </c>
      <c r="H9" s="23">
        <v>17.600000000000001</v>
      </c>
      <c r="I9" s="4"/>
      <c r="J9" s="4"/>
      <c r="K9" s="4"/>
      <c r="L9" s="4"/>
      <c r="M9" s="4"/>
    </row>
    <row r="10" spans="1:24" ht="15.75" customHeight="1" x14ac:dyDescent="0.2">
      <c r="A10" s="4"/>
      <c r="B10" s="4"/>
      <c r="C10" s="6">
        <v>45463</v>
      </c>
      <c r="D10" s="8">
        <v>0.70138888888888884</v>
      </c>
      <c r="E10" s="4">
        <v>2</v>
      </c>
      <c r="F10" s="22">
        <v>10.58</v>
      </c>
      <c r="G10" s="23">
        <v>106.1</v>
      </c>
      <c r="H10" s="23">
        <v>15.5</v>
      </c>
      <c r="I10" s="4"/>
      <c r="J10" s="4"/>
      <c r="K10" s="4"/>
      <c r="L10" s="4"/>
      <c r="M10" s="4"/>
    </row>
    <row r="11" spans="1:24" ht="15.75" customHeight="1" x14ac:dyDescent="0.2">
      <c r="A11" s="4"/>
      <c r="B11" s="4"/>
      <c r="C11" s="6">
        <v>45463</v>
      </c>
      <c r="D11" s="8">
        <v>0.70138888888888884</v>
      </c>
      <c r="E11" s="4">
        <v>3</v>
      </c>
      <c r="F11" s="22">
        <v>10.69</v>
      </c>
      <c r="G11" s="23">
        <v>105.5</v>
      </c>
      <c r="H11" s="23">
        <v>14.8</v>
      </c>
      <c r="I11" s="4"/>
      <c r="J11" s="4"/>
      <c r="K11" s="4"/>
      <c r="L11" s="4"/>
      <c r="M11" s="4"/>
    </row>
    <row r="12" spans="1:24" ht="15.75" customHeight="1" x14ac:dyDescent="0.2">
      <c r="A12" s="4"/>
      <c r="B12" s="4"/>
      <c r="C12" s="6">
        <v>45463</v>
      </c>
      <c r="D12" s="8">
        <v>0.70138888888888884</v>
      </c>
      <c r="E12" s="4">
        <v>4</v>
      </c>
      <c r="F12" s="22">
        <v>10.72</v>
      </c>
      <c r="G12" s="23">
        <v>105.4</v>
      </c>
      <c r="H12" s="23">
        <v>14.6</v>
      </c>
      <c r="I12" s="4"/>
      <c r="J12" s="4"/>
      <c r="K12" s="4"/>
      <c r="L12" s="4"/>
      <c r="M12" s="4"/>
    </row>
    <row r="13" spans="1:24" ht="15.75" customHeight="1" x14ac:dyDescent="0.2">
      <c r="A13" s="4"/>
      <c r="B13" s="4"/>
      <c r="C13" s="6">
        <v>45463</v>
      </c>
      <c r="D13" s="8">
        <v>0.70138888888888884</v>
      </c>
      <c r="E13" s="4">
        <v>5</v>
      </c>
      <c r="F13" s="22">
        <v>10.72</v>
      </c>
      <c r="G13" s="23">
        <v>105.3</v>
      </c>
      <c r="H13" s="23">
        <v>14.5</v>
      </c>
      <c r="I13" s="4"/>
      <c r="J13" s="4"/>
      <c r="K13" s="4"/>
      <c r="L13" s="4"/>
      <c r="M13" s="4"/>
    </row>
    <row r="14" spans="1:24" ht="15.75" customHeight="1" x14ac:dyDescent="0.2">
      <c r="A14" s="4"/>
      <c r="B14" s="4"/>
      <c r="C14" s="6">
        <v>45463</v>
      </c>
      <c r="D14" s="8">
        <v>0.70138888888888884</v>
      </c>
      <c r="E14" s="4">
        <v>6</v>
      </c>
      <c r="F14" s="22">
        <v>10.83</v>
      </c>
      <c r="G14" s="23">
        <v>105</v>
      </c>
      <c r="H14" s="23">
        <v>13.9</v>
      </c>
      <c r="I14" s="4"/>
      <c r="J14" s="4"/>
      <c r="K14" s="4"/>
      <c r="L14" s="4"/>
      <c r="M14" s="4"/>
    </row>
    <row r="15" spans="1:24" ht="15.75" customHeight="1" x14ac:dyDescent="0.2">
      <c r="A15" s="4"/>
      <c r="B15" s="4"/>
      <c r="C15" s="6">
        <v>45463</v>
      </c>
      <c r="D15" s="8">
        <v>0.70138888888888884</v>
      </c>
      <c r="E15" s="4">
        <v>7</v>
      </c>
      <c r="F15" s="22">
        <v>10.92</v>
      </c>
      <c r="G15" s="23">
        <v>105.4</v>
      </c>
      <c r="H15" s="23">
        <v>13.7</v>
      </c>
      <c r="I15" s="4"/>
      <c r="J15" s="4"/>
      <c r="K15" s="4"/>
      <c r="L15" s="4"/>
      <c r="M15" s="4"/>
    </row>
    <row r="16" spans="1:24" ht="15.75" customHeight="1" x14ac:dyDescent="0.2">
      <c r="A16" s="4"/>
      <c r="B16" s="4"/>
      <c r="C16" s="6">
        <v>45463</v>
      </c>
      <c r="D16" s="8">
        <v>0.70138888888888884</v>
      </c>
      <c r="E16" s="4">
        <v>8</v>
      </c>
      <c r="F16" s="22">
        <v>10.95</v>
      </c>
      <c r="G16" s="23">
        <v>105.1</v>
      </c>
      <c r="H16" s="23">
        <v>13.5</v>
      </c>
      <c r="I16" s="4"/>
      <c r="J16" s="4"/>
      <c r="K16" s="4"/>
      <c r="L16" s="4"/>
      <c r="M16" s="4"/>
    </row>
    <row r="17" spans="1:13" ht="15.75" customHeight="1" x14ac:dyDescent="0.2">
      <c r="A17" s="4"/>
      <c r="B17" s="4"/>
      <c r="C17" s="6">
        <v>45463</v>
      </c>
      <c r="D17" s="8">
        <v>0.70138888888888884</v>
      </c>
      <c r="E17" s="4">
        <v>9</v>
      </c>
      <c r="F17" s="22">
        <v>11</v>
      </c>
      <c r="G17" s="23">
        <v>104.4</v>
      </c>
      <c r="H17" s="23">
        <v>13.1</v>
      </c>
      <c r="I17" s="4"/>
      <c r="J17" s="4"/>
      <c r="K17" s="4"/>
      <c r="L17" s="4"/>
      <c r="M17" s="4"/>
    </row>
    <row r="18" spans="1:13" ht="15.75" customHeight="1" x14ac:dyDescent="0.2">
      <c r="A18" s="4"/>
      <c r="B18" s="4"/>
      <c r="C18" s="6">
        <v>45463</v>
      </c>
      <c r="D18" s="8">
        <v>0.70138888888888884</v>
      </c>
      <c r="E18" s="4">
        <v>10</v>
      </c>
      <c r="F18" s="22">
        <v>11.04</v>
      </c>
      <c r="G18" s="23">
        <v>104.6</v>
      </c>
      <c r="H18" s="23">
        <v>12.9</v>
      </c>
      <c r="I18" s="4"/>
      <c r="J18" s="4"/>
      <c r="K18" s="4"/>
      <c r="L18" s="4"/>
      <c r="M18" s="4"/>
    </row>
    <row r="19" spans="1:13" ht="15.75" customHeight="1" x14ac:dyDescent="0.2">
      <c r="A19" s="4"/>
      <c r="B19" s="4"/>
      <c r="C19" s="6">
        <v>45463</v>
      </c>
      <c r="D19" s="8">
        <v>0.70138888888888884</v>
      </c>
      <c r="E19" s="4">
        <v>11</v>
      </c>
      <c r="F19" s="22">
        <v>11.03</v>
      </c>
      <c r="G19" s="23">
        <v>104.1</v>
      </c>
      <c r="H19" s="23">
        <v>12.8</v>
      </c>
      <c r="I19" s="4"/>
      <c r="J19" s="4"/>
      <c r="K19" s="4"/>
      <c r="L19" s="4"/>
      <c r="M19" s="4"/>
    </row>
    <row r="20" spans="1:13" ht="15.75" customHeight="1" x14ac:dyDescent="0.2">
      <c r="A20" s="4"/>
      <c r="B20" s="4"/>
      <c r="C20" s="6">
        <v>45463</v>
      </c>
      <c r="D20" s="8">
        <v>0.70138888888888884</v>
      </c>
      <c r="E20" s="4">
        <v>12</v>
      </c>
      <c r="F20" s="22">
        <v>10.98</v>
      </c>
      <c r="G20" s="23">
        <v>103.7</v>
      </c>
      <c r="H20" s="23">
        <v>12.8</v>
      </c>
      <c r="I20" s="4"/>
      <c r="J20" s="4"/>
      <c r="K20" s="4"/>
      <c r="L20" s="4"/>
      <c r="M20" s="4"/>
    </row>
    <row r="21" spans="1:13" ht="15.75" customHeight="1" x14ac:dyDescent="0.2">
      <c r="A21" s="4"/>
      <c r="B21" s="4"/>
      <c r="C21" s="6">
        <v>45463</v>
      </c>
      <c r="D21" s="8">
        <v>0.70138888888888884</v>
      </c>
      <c r="E21" s="4">
        <v>13</v>
      </c>
      <c r="F21" s="22">
        <v>10.92</v>
      </c>
      <c r="G21" s="23">
        <v>103.4</v>
      </c>
      <c r="H21" s="23">
        <v>12.9</v>
      </c>
      <c r="I21" s="4"/>
      <c r="J21" s="4"/>
      <c r="K21" s="4"/>
      <c r="L21" s="4"/>
      <c r="M21" s="4"/>
    </row>
    <row r="22" spans="1:13" ht="15.75" customHeight="1" x14ac:dyDescent="0.2">
      <c r="A22" s="4"/>
      <c r="B22" s="4"/>
      <c r="C22" s="4"/>
      <c r="D22" s="4"/>
      <c r="E22" s="4"/>
      <c r="F22" s="22"/>
      <c r="G22" s="23"/>
      <c r="H22" s="23"/>
      <c r="I22" s="4"/>
      <c r="J22" s="4"/>
      <c r="K22" s="4"/>
      <c r="L22" s="4"/>
      <c r="M22" s="4"/>
    </row>
    <row r="23" spans="1:13" ht="15.75" customHeight="1" x14ac:dyDescent="0.2">
      <c r="A23" s="4"/>
      <c r="B23" s="4"/>
      <c r="C23" s="6">
        <v>45496</v>
      </c>
      <c r="D23" s="8">
        <v>0.57291666666666663</v>
      </c>
      <c r="E23" s="4"/>
      <c r="F23" s="22"/>
      <c r="G23" s="23"/>
      <c r="H23" s="23"/>
      <c r="I23" s="4"/>
      <c r="J23" s="4">
        <v>10.5</v>
      </c>
      <c r="K23" s="4">
        <v>12</v>
      </c>
      <c r="L23" s="4"/>
      <c r="M23" s="4"/>
    </row>
    <row r="24" spans="1:13" ht="15.75" customHeight="1" x14ac:dyDescent="0.2">
      <c r="A24" s="4"/>
      <c r="B24" s="4"/>
      <c r="C24" s="6">
        <v>45496</v>
      </c>
      <c r="D24" s="8">
        <v>0.57638888888888895</v>
      </c>
      <c r="E24" s="4">
        <v>0.1</v>
      </c>
      <c r="F24" s="22">
        <v>8.77</v>
      </c>
      <c r="G24" s="23">
        <v>106.4</v>
      </c>
      <c r="H24" s="23">
        <v>25.1</v>
      </c>
      <c r="I24" s="4"/>
      <c r="J24" s="4"/>
      <c r="K24" s="4"/>
      <c r="L24" s="4"/>
      <c r="M24" s="4"/>
    </row>
    <row r="25" spans="1:13" ht="15.75" customHeight="1" x14ac:dyDescent="0.2">
      <c r="A25" s="4"/>
      <c r="B25" s="4"/>
      <c r="C25" s="6">
        <v>45496</v>
      </c>
      <c r="D25" s="8">
        <v>0.57638888888888895</v>
      </c>
      <c r="E25" s="4">
        <v>1</v>
      </c>
      <c r="F25" s="22">
        <v>8.73</v>
      </c>
      <c r="G25" s="23">
        <v>106.1</v>
      </c>
      <c r="H25" s="23">
        <v>25.2</v>
      </c>
      <c r="I25" s="4"/>
      <c r="J25" s="4"/>
      <c r="K25" s="4"/>
      <c r="L25" s="4"/>
      <c r="M25" s="4"/>
    </row>
    <row r="26" spans="1:13" ht="15.75" customHeight="1" x14ac:dyDescent="0.2">
      <c r="A26" s="4"/>
      <c r="B26" s="4"/>
      <c r="C26" s="6">
        <v>45496</v>
      </c>
      <c r="D26" s="8">
        <v>0.57638888888888895</v>
      </c>
      <c r="E26" s="4">
        <v>2</v>
      </c>
      <c r="F26" s="22">
        <v>8.69</v>
      </c>
      <c r="G26" s="23">
        <v>105.5</v>
      </c>
      <c r="H26" s="23">
        <v>25.1</v>
      </c>
      <c r="I26" s="4"/>
      <c r="J26" s="4"/>
      <c r="K26" s="4"/>
      <c r="L26" s="4"/>
      <c r="M26" s="4"/>
    </row>
    <row r="27" spans="1:13" ht="15.75" customHeight="1" x14ac:dyDescent="0.2">
      <c r="A27" s="4"/>
      <c r="B27" s="4"/>
      <c r="C27" s="6">
        <v>45496</v>
      </c>
      <c r="D27" s="8">
        <v>0.57638888888888895</v>
      </c>
      <c r="E27" s="4">
        <v>3</v>
      </c>
      <c r="F27" s="22">
        <v>8.67</v>
      </c>
      <c r="G27" s="23">
        <v>104.6</v>
      </c>
      <c r="H27" s="23">
        <v>24.9</v>
      </c>
      <c r="I27" s="4"/>
      <c r="J27" s="4"/>
      <c r="K27" s="4"/>
      <c r="L27" s="4"/>
      <c r="M27" s="4"/>
    </row>
    <row r="28" spans="1:13" ht="15.75" customHeight="1" x14ac:dyDescent="0.2">
      <c r="A28" s="4"/>
      <c r="B28" s="4"/>
      <c r="C28" s="6">
        <v>45496</v>
      </c>
      <c r="D28" s="8">
        <v>0.57638888888888895</v>
      </c>
      <c r="E28" s="4">
        <v>4</v>
      </c>
      <c r="F28" s="22">
        <v>8.66</v>
      </c>
      <c r="G28" s="23">
        <v>104.4</v>
      </c>
      <c r="H28" s="23">
        <v>24.8</v>
      </c>
      <c r="I28" s="4"/>
      <c r="J28" s="4"/>
      <c r="K28" s="4"/>
      <c r="L28" s="4"/>
      <c r="M28" s="4"/>
    </row>
    <row r="29" spans="1:13" ht="15.75" customHeight="1" x14ac:dyDescent="0.2">
      <c r="A29" s="4"/>
      <c r="B29" s="4"/>
      <c r="C29" s="6">
        <v>45496</v>
      </c>
      <c r="D29" s="8">
        <v>0.57638888888888895</v>
      </c>
      <c r="E29" s="4">
        <v>5</v>
      </c>
      <c r="F29" s="22">
        <v>8.65</v>
      </c>
      <c r="G29" s="23">
        <v>104.3</v>
      </c>
      <c r="H29" s="23">
        <v>24.8</v>
      </c>
      <c r="I29" s="4"/>
      <c r="J29" s="4"/>
      <c r="K29" s="4"/>
      <c r="L29" s="4"/>
      <c r="M29" s="4"/>
    </row>
    <row r="30" spans="1:13" ht="15.75" customHeight="1" x14ac:dyDescent="0.2">
      <c r="A30" s="4"/>
      <c r="B30" s="4"/>
      <c r="C30" s="6">
        <v>45496</v>
      </c>
      <c r="D30" s="8">
        <v>0.57638888888888895</v>
      </c>
      <c r="E30" s="4">
        <v>6</v>
      </c>
      <c r="F30" s="22">
        <v>8.64</v>
      </c>
      <c r="G30" s="23">
        <v>104.2</v>
      </c>
      <c r="H30" s="23">
        <v>24.8</v>
      </c>
      <c r="I30" s="4"/>
      <c r="J30" s="4"/>
      <c r="K30" s="4"/>
      <c r="L30" s="4"/>
      <c r="M30" s="4"/>
    </row>
    <row r="31" spans="1:13" ht="15.75" customHeight="1" x14ac:dyDescent="0.2">
      <c r="A31" s="4"/>
      <c r="B31" s="4"/>
      <c r="C31" s="6">
        <v>45496</v>
      </c>
      <c r="D31" s="8">
        <v>0.57638888888888895</v>
      </c>
      <c r="E31" s="4">
        <v>7</v>
      </c>
      <c r="F31" s="22">
        <v>8.6199999999999992</v>
      </c>
      <c r="G31" s="23">
        <v>104</v>
      </c>
      <c r="H31" s="23">
        <v>24.8</v>
      </c>
      <c r="I31" s="4"/>
      <c r="J31" s="4"/>
      <c r="K31" s="4"/>
      <c r="L31" s="4"/>
      <c r="M31" s="4"/>
    </row>
    <row r="32" spans="1:13" ht="15.75" customHeight="1" x14ac:dyDescent="0.2">
      <c r="A32" s="4"/>
      <c r="B32" s="4"/>
      <c r="C32" s="6">
        <v>45496</v>
      </c>
      <c r="D32" s="8">
        <v>0.57638888888888895</v>
      </c>
      <c r="E32" s="4">
        <v>8</v>
      </c>
      <c r="F32" s="22">
        <v>8.6999999999999993</v>
      </c>
      <c r="G32" s="23">
        <v>103.8</v>
      </c>
      <c r="H32" s="23">
        <v>24.1</v>
      </c>
      <c r="I32" s="4"/>
      <c r="J32" s="4"/>
      <c r="K32" s="4"/>
      <c r="L32" s="4"/>
      <c r="M32" s="4"/>
    </row>
    <row r="33" spans="1:13" ht="15.75" customHeight="1" x14ac:dyDescent="0.2">
      <c r="A33" s="4"/>
      <c r="B33" s="4"/>
      <c r="C33" s="6">
        <v>45496</v>
      </c>
      <c r="D33" s="8">
        <v>0.57638888888888895</v>
      </c>
      <c r="E33" s="4">
        <v>9</v>
      </c>
      <c r="F33" s="22">
        <v>9.9700000000000006</v>
      </c>
      <c r="G33" s="23">
        <v>107.9</v>
      </c>
      <c r="H33" s="23">
        <v>19.399999999999999</v>
      </c>
      <c r="I33" s="4"/>
      <c r="J33" s="4"/>
      <c r="K33" s="4"/>
      <c r="L33" s="4"/>
      <c r="M33" s="4"/>
    </row>
    <row r="34" spans="1:13" ht="15.75" customHeight="1" x14ac:dyDescent="0.2">
      <c r="A34" s="4"/>
      <c r="B34" s="4"/>
      <c r="C34" s="6">
        <v>45496</v>
      </c>
      <c r="D34" s="8">
        <v>0.57638888888888895</v>
      </c>
      <c r="E34" s="4">
        <v>10</v>
      </c>
      <c r="F34" s="22">
        <v>10.66</v>
      </c>
      <c r="G34" s="23">
        <v>103.5</v>
      </c>
      <c r="H34" s="23">
        <v>14.5</v>
      </c>
      <c r="I34" s="4"/>
      <c r="J34" s="4"/>
      <c r="K34" s="4"/>
      <c r="L34" s="4"/>
      <c r="M34" s="4"/>
    </row>
    <row r="35" spans="1:13" ht="15.75" customHeight="1" x14ac:dyDescent="0.2">
      <c r="A35" s="4"/>
      <c r="B35" s="4"/>
      <c r="C35" s="6">
        <v>45496</v>
      </c>
      <c r="D35" s="8">
        <v>0.57638888888888895</v>
      </c>
      <c r="E35" s="4">
        <v>11</v>
      </c>
      <c r="F35" s="22">
        <v>11.08</v>
      </c>
      <c r="G35" s="23">
        <v>103.7</v>
      </c>
      <c r="H35" s="23">
        <v>12.6</v>
      </c>
      <c r="I35" s="4"/>
      <c r="J35" s="4"/>
      <c r="K35" s="4"/>
      <c r="L35" s="4"/>
      <c r="M35" s="4"/>
    </row>
    <row r="36" spans="1:13" ht="15.75" customHeight="1" x14ac:dyDescent="0.2">
      <c r="A36" s="4"/>
      <c r="B36" s="4"/>
      <c r="C36" s="4"/>
      <c r="D36" s="4"/>
      <c r="E36" s="4"/>
      <c r="F36" s="22"/>
      <c r="G36" s="23"/>
      <c r="H36" s="23"/>
      <c r="I36" s="4"/>
      <c r="J36" s="4"/>
      <c r="K36" s="4"/>
      <c r="L36" s="4"/>
      <c r="M36" s="4"/>
    </row>
    <row r="37" spans="1:13" ht="15.75" customHeight="1" x14ac:dyDescent="0.2">
      <c r="A37" s="4"/>
      <c r="B37" s="4"/>
      <c r="C37" s="6">
        <v>45524</v>
      </c>
      <c r="D37" s="8">
        <v>0.56944444444444442</v>
      </c>
      <c r="E37" s="4"/>
      <c r="F37" s="22"/>
      <c r="G37" s="23"/>
      <c r="H37" s="23"/>
      <c r="I37" s="4"/>
      <c r="J37" s="4">
        <v>9</v>
      </c>
      <c r="K37" s="4">
        <v>11.5</v>
      </c>
      <c r="L37" s="4"/>
      <c r="M37" s="4"/>
    </row>
    <row r="38" spans="1:13" ht="15.75" customHeight="1" x14ac:dyDescent="0.2">
      <c r="A38" s="4"/>
      <c r="B38" s="4"/>
      <c r="C38" s="6">
        <v>45524</v>
      </c>
      <c r="D38" s="8">
        <v>0.57986111111111105</v>
      </c>
      <c r="E38" s="4">
        <v>0.1</v>
      </c>
      <c r="F38" s="22">
        <v>8.89</v>
      </c>
      <c r="G38" s="23">
        <v>103.6</v>
      </c>
      <c r="H38" s="23">
        <v>23</v>
      </c>
      <c r="I38" s="4"/>
      <c r="J38" s="4"/>
      <c r="K38" s="4"/>
      <c r="L38" s="4"/>
      <c r="M38" s="4"/>
    </row>
    <row r="39" spans="1:13" ht="15.75" customHeight="1" x14ac:dyDescent="0.2">
      <c r="A39" s="4"/>
      <c r="B39" s="4"/>
      <c r="C39" s="6">
        <v>45524</v>
      </c>
      <c r="D39" s="8">
        <v>0.57986111111111105</v>
      </c>
      <c r="E39" s="4">
        <v>1</v>
      </c>
      <c r="F39" s="22">
        <v>8.89</v>
      </c>
      <c r="G39" s="23">
        <v>103.6</v>
      </c>
      <c r="H39" s="23">
        <v>23</v>
      </c>
      <c r="I39" s="4"/>
      <c r="J39" s="4"/>
      <c r="K39" s="4"/>
      <c r="L39" s="4"/>
      <c r="M39" s="4"/>
    </row>
    <row r="40" spans="1:13" ht="15.75" customHeight="1" x14ac:dyDescent="0.2">
      <c r="A40" s="4"/>
      <c r="B40" s="4"/>
      <c r="C40" s="6">
        <v>45524</v>
      </c>
      <c r="D40" s="8">
        <v>0.57986111111111105</v>
      </c>
      <c r="E40" s="4">
        <v>2</v>
      </c>
      <c r="F40" s="22">
        <v>8.9</v>
      </c>
      <c r="G40" s="23">
        <v>103.4</v>
      </c>
      <c r="H40" s="23">
        <v>22.8</v>
      </c>
      <c r="I40" s="4"/>
      <c r="J40" s="4"/>
      <c r="K40" s="4"/>
      <c r="L40" s="4"/>
      <c r="M40" s="4"/>
    </row>
    <row r="41" spans="1:13" ht="15.75" customHeight="1" x14ac:dyDescent="0.2">
      <c r="A41" s="4"/>
      <c r="B41" s="4"/>
      <c r="C41" s="6">
        <v>45524</v>
      </c>
      <c r="D41" s="8">
        <v>0.57986111111111105</v>
      </c>
      <c r="E41" s="4">
        <v>3</v>
      </c>
      <c r="F41" s="22">
        <v>8.9</v>
      </c>
      <c r="G41" s="23">
        <v>103.3</v>
      </c>
      <c r="H41" s="23">
        <v>22.8</v>
      </c>
      <c r="I41" s="4"/>
      <c r="J41" s="4"/>
      <c r="K41" s="4"/>
      <c r="L41" s="4"/>
      <c r="M41" s="4"/>
    </row>
    <row r="42" spans="1:13" ht="15.75" customHeight="1" x14ac:dyDescent="0.2">
      <c r="A42" s="4"/>
      <c r="B42" s="4"/>
      <c r="C42" s="6">
        <v>45524</v>
      </c>
      <c r="D42" s="8">
        <v>0.57986111111111105</v>
      </c>
      <c r="E42" s="4">
        <v>4</v>
      </c>
      <c r="F42" s="22">
        <v>8.89</v>
      </c>
      <c r="G42" s="23">
        <v>103.1</v>
      </c>
      <c r="H42" s="23">
        <v>22.8</v>
      </c>
      <c r="I42" s="4"/>
      <c r="J42" s="4"/>
      <c r="K42" s="4"/>
      <c r="L42" s="4"/>
      <c r="M42" s="4"/>
    </row>
    <row r="43" spans="1:13" ht="15.75" customHeight="1" x14ac:dyDescent="0.2">
      <c r="A43" s="4"/>
      <c r="B43" s="4"/>
      <c r="C43" s="6">
        <v>45524</v>
      </c>
      <c r="D43" s="8">
        <v>0.57986111111111105</v>
      </c>
      <c r="E43" s="4">
        <v>5</v>
      </c>
      <c r="F43" s="22">
        <v>8.8800000000000008</v>
      </c>
      <c r="G43" s="23">
        <v>103.1</v>
      </c>
      <c r="H43" s="23">
        <v>22.8</v>
      </c>
      <c r="I43" s="4"/>
      <c r="J43" s="4"/>
      <c r="K43" s="4"/>
      <c r="L43" s="4"/>
      <c r="M43" s="4"/>
    </row>
    <row r="44" spans="1:13" ht="15.75" customHeight="1" x14ac:dyDescent="0.2">
      <c r="A44" s="4"/>
      <c r="B44" s="4"/>
      <c r="C44" s="6">
        <v>45524</v>
      </c>
      <c r="D44" s="8">
        <v>0.57986111111111105</v>
      </c>
      <c r="E44" s="4">
        <v>6</v>
      </c>
      <c r="F44" s="22">
        <v>8.8699999999999992</v>
      </c>
      <c r="G44" s="23">
        <v>102.8</v>
      </c>
      <c r="H44" s="23">
        <v>22.7</v>
      </c>
      <c r="I44" s="4"/>
      <c r="J44" s="4"/>
      <c r="K44" s="4"/>
      <c r="L44" s="4"/>
      <c r="M44" s="4"/>
    </row>
    <row r="45" spans="1:13" ht="15.75" customHeight="1" x14ac:dyDescent="0.2">
      <c r="A45" s="4"/>
      <c r="B45" s="4"/>
      <c r="C45" s="6">
        <v>45524</v>
      </c>
      <c r="D45" s="8">
        <v>0.57986111111111105</v>
      </c>
      <c r="E45" s="4">
        <v>7</v>
      </c>
      <c r="F45" s="22">
        <v>8.83</v>
      </c>
      <c r="G45" s="23">
        <v>102.1</v>
      </c>
      <c r="H45" s="23">
        <v>22.6</v>
      </c>
      <c r="I45" s="4"/>
      <c r="J45" s="4"/>
      <c r="K45" s="4"/>
      <c r="L45" s="4"/>
      <c r="M45" s="4"/>
    </row>
    <row r="46" spans="1:13" ht="15.75" customHeight="1" x14ac:dyDescent="0.2">
      <c r="A46" s="4"/>
      <c r="B46" s="4"/>
      <c r="C46" s="6">
        <v>45524</v>
      </c>
      <c r="D46" s="8">
        <v>0.57986111111111105</v>
      </c>
      <c r="E46" s="4">
        <v>8</v>
      </c>
      <c r="F46" s="22">
        <v>8.89</v>
      </c>
      <c r="G46" s="23">
        <v>101.7</v>
      </c>
      <c r="H46" s="23">
        <v>22.3</v>
      </c>
      <c r="I46" s="4"/>
      <c r="J46" s="4"/>
      <c r="K46" s="4"/>
      <c r="L46" s="4"/>
      <c r="M46" s="4"/>
    </row>
    <row r="47" spans="1:13" ht="15.75" customHeight="1" x14ac:dyDescent="0.2">
      <c r="A47" s="4"/>
      <c r="B47" s="4"/>
      <c r="C47" s="6">
        <v>45524</v>
      </c>
      <c r="D47" s="8">
        <v>0.57986111111111105</v>
      </c>
      <c r="E47" s="4">
        <v>9</v>
      </c>
      <c r="F47" s="22">
        <v>8.9499999999999993</v>
      </c>
      <c r="G47" s="23">
        <v>102.2</v>
      </c>
      <c r="H47" s="23">
        <v>21.9</v>
      </c>
      <c r="I47" s="4"/>
      <c r="J47" s="4"/>
      <c r="K47" s="4"/>
      <c r="L47" s="4"/>
      <c r="M47" s="4"/>
    </row>
    <row r="48" spans="1:13" ht="15.75" customHeight="1" x14ac:dyDescent="0.2">
      <c r="A48" s="4"/>
      <c r="B48" s="4"/>
      <c r="C48" s="6">
        <v>45524</v>
      </c>
      <c r="D48" s="8">
        <v>0.57986111111111105</v>
      </c>
      <c r="E48" s="4">
        <v>10</v>
      </c>
      <c r="F48" s="22">
        <v>10.8</v>
      </c>
      <c r="G48" s="23">
        <v>111.4</v>
      </c>
      <c r="H48" s="23">
        <v>18.5</v>
      </c>
      <c r="I48" s="4"/>
      <c r="J48" s="4"/>
      <c r="K48" s="4"/>
      <c r="L48" s="4"/>
      <c r="M48" s="4"/>
    </row>
    <row r="49" spans="1:13" ht="15.75" customHeight="1" x14ac:dyDescent="0.2">
      <c r="A49" s="4"/>
      <c r="B49" s="4"/>
      <c r="C49" s="4"/>
      <c r="D49" s="4"/>
      <c r="E49" s="4"/>
      <c r="F49" s="22"/>
      <c r="G49" s="23"/>
      <c r="H49" s="23"/>
      <c r="I49" s="4"/>
      <c r="J49" s="4"/>
      <c r="K49" s="4"/>
      <c r="L49" s="4"/>
      <c r="M49" s="4"/>
    </row>
    <row r="50" spans="1:13" ht="15.75" customHeight="1" x14ac:dyDescent="0.2">
      <c r="A50" s="4"/>
      <c r="B50" s="4"/>
      <c r="C50" s="4"/>
      <c r="D50" s="4"/>
      <c r="E50" s="4"/>
      <c r="F50" s="22"/>
      <c r="G50" s="23"/>
      <c r="H50" s="23"/>
      <c r="I50" s="4"/>
      <c r="J50" s="4"/>
      <c r="K50" s="4"/>
      <c r="L50" s="4"/>
      <c r="M50" s="4"/>
    </row>
    <row r="51" spans="1:13" ht="15.75" customHeight="1" x14ac:dyDescent="0.2">
      <c r="A51" s="4"/>
      <c r="B51" s="4"/>
      <c r="C51" s="6">
        <v>44007</v>
      </c>
      <c r="D51" s="11">
        <v>0.61111111111111105</v>
      </c>
      <c r="E51" s="4"/>
      <c r="F51" s="22"/>
      <c r="G51" s="23"/>
      <c r="H51" s="23"/>
      <c r="J51" s="4">
        <v>7.5</v>
      </c>
      <c r="K51" s="4">
        <v>8.5</v>
      </c>
      <c r="L51" s="4"/>
      <c r="M51" s="4"/>
    </row>
    <row r="52" spans="1:13" ht="15.75" customHeight="1" x14ac:dyDescent="0.2">
      <c r="A52" s="4"/>
      <c r="B52" s="4"/>
      <c r="C52" s="6">
        <v>44007</v>
      </c>
      <c r="D52" s="8">
        <v>0.61805555555555558</v>
      </c>
      <c r="E52" s="1">
        <v>0.1</v>
      </c>
      <c r="F52" s="22">
        <v>7.82</v>
      </c>
      <c r="G52" s="23">
        <v>88.7</v>
      </c>
      <c r="H52" s="23">
        <v>21.6</v>
      </c>
      <c r="I52" s="4"/>
      <c r="J52" s="4"/>
      <c r="K52" s="4"/>
      <c r="L52" s="4"/>
      <c r="M52" s="4"/>
    </row>
    <row r="53" spans="1:13" ht="15.75" customHeight="1" x14ac:dyDescent="0.2">
      <c r="A53" s="4"/>
      <c r="B53" s="4"/>
      <c r="C53" s="6">
        <v>44007</v>
      </c>
      <c r="D53" s="8">
        <v>0.61805555555555558</v>
      </c>
      <c r="E53" s="1">
        <v>1</v>
      </c>
      <c r="F53" s="22">
        <v>7.96</v>
      </c>
      <c r="G53" s="23">
        <v>88</v>
      </c>
      <c r="H53" s="23">
        <v>20.100000000000001</v>
      </c>
      <c r="I53" s="4"/>
      <c r="J53" s="4"/>
      <c r="K53" s="4"/>
      <c r="L53" s="4"/>
      <c r="M53" s="4"/>
    </row>
    <row r="54" spans="1:13" ht="15.75" customHeight="1" x14ac:dyDescent="0.2">
      <c r="A54" s="4"/>
      <c r="B54" s="4"/>
      <c r="C54" s="6">
        <v>44007</v>
      </c>
      <c r="D54" s="8">
        <v>0.61805555555555558</v>
      </c>
      <c r="E54" s="1">
        <v>2</v>
      </c>
      <c r="F54" s="22">
        <v>8.15</v>
      </c>
      <c r="G54" s="23">
        <v>85.9</v>
      </c>
      <c r="H54" s="23">
        <v>18</v>
      </c>
      <c r="I54" s="4"/>
      <c r="J54" s="4"/>
      <c r="K54" s="4"/>
      <c r="L54" s="4"/>
      <c r="M54" s="4"/>
    </row>
    <row r="55" spans="1:13" ht="15.75" customHeight="1" x14ac:dyDescent="0.2">
      <c r="A55" s="4"/>
      <c r="B55" s="4"/>
      <c r="C55" s="6">
        <v>44007</v>
      </c>
      <c r="D55" s="8">
        <v>0.61805555555555558</v>
      </c>
      <c r="E55" s="1">
        <v>3</v>
      </c>
      <c r="F55" s="22">
        <v>8.17</v>
      </c>
      <c r="G55" s="23"/>
      <c r="H55" s="23">
        <v>17.5</v>
      </c>
      <c r="I55" s="4"/>
      <c r="J55" s="4"/>
      <c r="K55" s="4"/>
      <c r="L55" s="4"/>
      <c r="M55" s="4"/>
    </row>
    <row r="56" spans="1:13" ht="15.75" customHeight="1" x14ac:dyDescent="0.2">
      <c r="A56" s="4"/>
      <c r="B56" s="4"/>
      <c r="C56" s="6">
        <v>44007</v>
      </c>
      <c r="D56" s="8">
        <v>0.61805555555555558</v>
      </c>
      <c r="E56" s="1">
        <v>4</v>
      </c>
      <c r="F56" s="22">
        <v>8.39</v>
      </c>
      <c r="G56" s="23"/>
      <c r="H56" s="23">
        <v>16</v>
      </c>
      <c r="I56" s="4"/>
      <c r="J56" s="4"/>
      <c r="K56" s="4"/>
      <c r="L56" s="4"/>
      <c r="M56" s="4"/>
    </row>
    <row r="57" spans="1:13" ht="15.75" customHeight="1" x14ac:dyDescent="0.2">
      <c r="A57" s="4"/>
      <c r="B57" s="4"/>
      <c r="C57" s="6">
        <v>44007</v>
      </c>
      <c r="D57" s="8">
        <v>0.61805555555555558</v>
      </c>
      <c r="E57" s="1">
        <v>5</v>
      </c>
      <c r="F57" s="22">
        <v>8.6199999999999992</v>
      </c>
      <c r="G57" s="23"/>
      <c r="H57" s="23">
        <v>14.1</v>
      </c>
      <c r="I57" s="4"/>
      <c r="J57" s="4"/>
      <c r="K57" s="4"/>
      <c r="L57" s="4"/>
      <c r="M57" s="4"/>
    </row>
    <row r="58" spans="1:13" ht="15.75" customHeight="1" x14ac:dyDescent="0.2">
      <c r="A58" s="4"/>
      <c r="B58" s="4"/>
      <c r="C58" s="6">
        <v>44007</v>
      </c>
      <c r="D58" s="8">
        <v>0.61805555555555558</v>
      </c>
      <c r="E58" s="1">
        <v>6</v>
      </c>
      <c r="F58" s="22">
        <v>8.67</v>
      </c>
      <c r="G58" s="23"/>
      <c r="H58" s="23">
        <v>13.6</v>
      </c>
      <c r="I58" s="4"/>
      <c r="J58" s="4"/>
      <c r="K58" s="4"/>
      <c r="L58" s="4"/>
      <c r="M58" s="4"/>
    </row>
    <row r="59" spans="1:13" ht="15.75" customHeight="1" x14ac:dyDescent="0.2">
      <c r="A59" s="4"/>
      <c r="B59" s="4"/>
      <c r="C59" s="6">
        <v>44007</v>
      </c>
      <c r="D59" s="8">
        <v>0.61805555555555558</v>
      </c>
      <c r="E59" s="1">
        <v>7</v>
      </c>
      <c r="F59" s="22">
        <v>8.82</v>
      </c>
      <c r="G59" s="23"/>
      <c r="H59" s="23">
        <v>12.7</v>
      </c>
      <c r="I59" s="4"/>
      <c r="J59" s="4"/>
      <c r="K59" s="4"/>
      <c r="L59" s="4"/>
      <c r="M59" s="4"/>
    </row>
    <row r="60" spans="1:13" ht="15.75" customHeight="1" x14ac:dyDescent="0.2">
      <c r="A60" s="4"/>
      <c r="B60" s="4"/>
      <c r="C60" s="6">
        <v>44007</v>
      </c>
      <c r="D60" s="8">
        <v>0.61805555555555558</v>
      </c>
      <c r="E60" s="1">
        <v>8</v>
      </c>
      <c r="F60" s="22">
        <v>8.91</v>
      </c>
      <c r="G60" s="23"/>
      <c r="H60" s="23">
        <v>12.4</v>
      </c>
      <c r="I60" s="4"/>
      <c r="J60" s="4"/>
      <c r="K60" s="4"/>
      <c r="L60" s="4"/>
      <c r="M60" s="4"/>
    </row>
    <row r="61" spans="1:13" ht="15.75" customHeight="1" x14ac:dyDescent="0.2">
      <c r="A61" s="4"/>
      <c r="B61" s="4"/>
      <c r="C61" s="6">
        <v>44007</v>
      </c>
      <c r="D61" s="8">
        <v>0.61805555555555558</v>
      </c>
      <c r="E61" s="1">
        <v>9</v>
      </c>
      <c r="F61" s="22">
        <v>8.94</v>
      </c>
      <c r="G61" s="23"/>
      <c r="H61" s="23">
        <v>12.2</v>
      </c>
      <c r="I61" s="4"/>
      <c r="J61" s="4"/>
      <c r="K61" s="4"/>
      <c r="L61" s="4"/>
      <c r="M61" s="4"/>
    </row>
    <row r="62" spans="1:13" ht="15.75" customHeight="1" x14ac:dyDescent="0.2">
      <c r="A62" s="4"/>
      <c r="B62" s="4"/>
      <c r="C62" s="6">
        <v>44007</v>
      </c>
      <c r="D62" s="8">
        <v>0.61805555555555558</v>
      </c>
      <c r="E62" s="1">
        <v>10</v>
      </c>
      <c r="F62" s="22">
        <v>8.8699999999999992</v>
      </c>
      <c r="G62" s="23">
        <v>82.8</v>
      </c>
      <c r="H62" s="23">
        <v>11.8</v>
      </c>
      <c r="I62" s="4"/>
      <c r="J62" s="4"/>
      <c r="K62" s="4"/>
      <c r="L62" s="4"/>
      <c r="M62" s="4"/>
    </row>
    <row r="63" spans="1:13" ht="15.75" customHeight="1" x14ac:dyDescent="0.2">
      <c r="A63" s="4"/>
      <c r="B63" s="4"/>
      <c r="C63" s="6"/>
      <c r="D63" s="4"/>
      <c r="F63" s="22"/>
      <c r="G63" s="23"/>
      <c r="H63" s="23"/>
      <c r="I63" s="4"/>
      <c r="J63" s="4"/>
      <c r="K63" s="4"/>
      <c r="L63" s="4"/>
      <c r="M63" s="4"/>
    </row>
    <row r="64" spans="1:13" ht="15.75" customHeight="1" x14ac:dyDescent="0.2">
      <c r="A64" s="4"/>
      <c r="B64" s="4"/>
      <c r="C64" s="6">
        <v>44039</v>
      </c>
      <c r="D64" s="4"/>
      <c r="E64" s="4"/>
      <c r="F64" s="22"/>
      <c r="G64" s="23"/>
      <c r="H64" s="23"/>
      <c r="I64" s="4"/>
      <c r="J64" s="4">
        <v>10</v>
      </c>
      <c r="K64" s="4">
        <v>11</v>
      </c>
      <c r="L64" s="4"/>
      <c r="M64" s="4"/>
    </row>
    <row r="65" spans="1:13" ht="15.75" customHeight="1" x14ac:dyDescent="0.2">
      <c r="A65" s="4"/>
      <c r="B65" s="4"/>
      <c r="C65" s="6">
        <v>44039</v>
      </c>
      <c r="D65" s="8">
        <v>0.57291666666666663</v>
      </c>
      <c r="E65" s="1">
        <v>0.1</v>
      </c>
      <c r="F65" s="22">
        <v>7.18</v>
      </c>
      <c r="G65" s="23">
        <v>85.1</v>
      </c>
      <c r="H65" s="23">
        <v>24</v>
      </c>
      <c r="I65" s="4"/>
      <c r="K65" s="4"/>
      <c r="L65" s="4"/>
      <c r="M65" s="4"/>
    </row>
    <row r="66" spans="1:13" ht="15.75" customHeight="1" x14ac:dyDescent="0.2">
      <c r="A66" s="4"/>
      <c r="B66" s="4"/>
      <c r="C66" s="6">
        <v>44039</v>
      </c>
      <c r="D66" s="8">
        <v>0.57291666666666663</v>
      </c>
      <c r="E66" s="1">
        <v>1</v>
      </c>
      <c r="F66" s="22">
        <v>7.32</v>
      </c>
      <c r="G66" s="23"/>
      <c r="H66" s="23">
        <v>22.3</v>
      </c>
      <c r="I66" s="4"/>
      <c r="K66" s="4"/>
      <c r="L66" s="4"/>
      <c r="M66" s="4"/>
    </row>
    <row r="67" spans="1:13" ht="15.75" customHeight="1" x14ac:dyDescent="0.2">
      <c r="A67" s="4"/>
      <c r="B67" s="4"/>
      <c r="C67" s="6">
        <v>44039</v>
      </c>
      <c r="D67" s="8">
        <v>0.57291666666666663</v>
      </c>
      <c r="E67" s="1">
        <v>2</v>
      </c>
      <c r="F67" s="22">
        <v>7.42</v>
      </c>
      <c r="G67" s="23"/>
      <c r="H67" s="23">
        <v>21.7</v>
      </c>
      <c r="I67" s="4"/>
      <c r="K67" s="4"/>
      <c r="L67" s="4"/>
      <c r="M67" s="4"/>
    </row>
    <row r="68" spans="1:13" ht="15.75" customHeight="1" x14ac:dyDescent="0.2">
      <c r="A68" s="4"/>
      <c r="B68" s="4"/>
      <c r="C68" s="6">
        <v>44039</v>
      </c>
      <c r="D68" s="8">
        <v>0.57291666666666663</v>
      </c>
      <c r="E68" s="1">
        <v>3</v>
      </c>
      <c r="F68" s="22">
        <v>7.48</v>
      </c>
      <c r="G68" s="23"/>
      <c r="H68" s="23">
        <v>21.5</v>
      </c>
      <c r="I68" s="4"/>
      <c r="K68" s="4"/>
      <c r="L68" s="4"/>
      <c r="M68" s="4"/>
    </row>
    <row r="69" spans="1:13" ht="15.75" customHeight="1" x14ac:dyDescent="0.2">
      <c r="A69" s="4"/>
      <c r="B69" s="4"/>
      <c r="C69" s="6">
        <v>44039</v>
      </c>
      <c r="D69" s="8">
        <v>0.57291666666666663</v>
      </c>
      <c r="E69" s="1">
        <v>4</v>
      </c>
      <c r="F69" s="22">
        <v>7.63</v>
      </c>
      <c r="G69" s="23"/>
      <c r="H69" s="23">
        <v>20.8</v>
      </c>
      <c r="I69" s="4"/>
      <c r="K69" s="4"/>
      <c r="L69" s="4"/>
      <c r="M69" s="4"/>
    </row>
    <row r="70" spans="1:13" ht="15.75" customHeight="1" x14ac:dyDescent="0.2">
      <c r="A70" s="4"/>
      <c r="B70" s="4"/>
      <c r="C70" s="6">
        <v>44039</v>
      </c>
      <c r="D70" s="8">
        <v>0.57291666666666663</v>
      </c>
      <c r="E70" s="1">
        <v>5</v>
      </c>
      <c r="F70" s="22">
        <v>7.77</v>
      </c>
      <c r="G70" s="23"/>
      <c r="H70" s="23">
        <v>20.2</v>
      </c>
      <c r="I70" s="4"/>
      <c r="K70" s="4"/>
      <c r="L70" s="4"/>
      <c r="M70" s="4"/>
    </row>
    <row r="71" spans="1:13" ht="15.75" customHeight="1" x14ac:dyDescent="0.2">
      <c r="A71" s="4"/>
      <c r="B71" s="4"/>
      <c r="C71" s="6">
        <v>44039</v>
      </c>
      <c r="D71" s="8">
        <v>0.57291666666666663</v>
      </c>
      <c r="E71" s="1">
        <v>6</v>
      </c>
      <c r="F71" s="22">
        <v>7.84</v>
      </c>
      <c r="G71" s="23"/>
      <c r="H71" s="23">
        <v>19.7</v>
      </c>
      <c r="I71" s="4"/>
      <c r="K71" s="4"/>
      <c r="L71" s="4"/>
      <c r="M71" s="4"/>
    </row>
    <row r="72" spans="1:13" ht="15.75" customHeight="1" x14ac:dyDescent="0.2">
      <c r="A72" s="4"/>
      <c r="B72" s="4"/>
      <c r="C72" s="6">
        <v>44039</v>
      </c>
      <c r="D72" s="8">
        <v>0.57291666666666663</v>
      </c>
      <c r="E72" s="1">
        <v>7</v>
      </c>
      <c r="F72" s="22">
        <v>8.15</v>
      </c>
      <c r="G72" s="23"/>
      <c r="H72" s="23">
        <v>18.8</v>
      </c>
      <c r="I72" s="4"/>
      <c r="K72" s="4"/>
      <c r="L72" s="4"/>
      <c r="M72" s="4"/>
    </row>
    <row r="73" spans="1:13" ht="15.75" customHeight="1" x14ac:dyDescent="0.2">
      <c r="C73" s="6">
        <v>44039</v>
      </c>
      <c r="D73" s="8">
        <v>0.57291666666666663</v>
      </c>
      <c r="E73" s="1">
        <v>8</v>
      </c>
      <c r="F73" s="22">
        <v>8.27</v>
      </c>
      <c r="G73" s="23"/>
      <c r="H73" s="23">
        <v>18.2</v>
      </c>
      <c r="I73" s="4"/>
      <c r="K73" s="4"/>
      <c r="L73" s="4"/>
      <c r="M73" s="4"/>
    </row>
    <row r="74" spans="1:13" ht="15.75" customHeight="1" x14ac:dyDescent="0.2">
      <c r="A74" s="4"/>
      <c r="B74" s="4"/>
      <c r="C74" s="6">
        <v>44039</v>
      </c>
      <c r="D74" s="8">
        <v>0.57291666666666663</v>
      </c>
      <c r="E74" s="1">
        <v>9</v>
      </c>
      <c r="F74" s="22">
        <v>8.4499999999999993</v>
      </c>
      <c r="G74" s="23">
        <v>88.3</v>
      </c>
      <c r="H74" s="23">
        <v>17.399999999999999</v>
      </c>
      <c r="I74" s="4"/>
      <c r="K74" s="4"/>
      <c r="L74" s="4"/>
      <c r="M74" s="4"/>
    </row>
    <row r="75" spans="1:13" ht="15.75" customHeight="1" x14ac:dyDescent="0.2">
      <c r="A75" s="4"/>
      <c r="B75" s="4"/>
      <c r="C75" s="6">
        <v>44039</v>
      </c>
      <c r="D75" s="8">
        <v>0.57291666666666663</v>
      </c>
      <c r="E75" s="1">
        <v>10</v>
      </c>
      <c r="F75" s="22">
        <v>8.5</v>
      </c>
      <c r="G75" s="23">
        <v>87.7</v>
      </c>
      <c r="H75" s="23">
        <v>16.899999999999999</v>
      </c>
      <c r="I75" s="4"/>
      <c r="K75" s="4"/>
      <c r="L75" s="4"/>
      <c r="M75" s="4"/>
    </row>
    <row r="76" spans="1:13" ht="15.75" customHeight="1" x14ac:dyDescent="0.2">
      <c r="A76" s="4"/>
      <c r="B76" s="4"/>
      <c r="C76" s="6"/>
      <c r="D76" s="4"/>
      <c r="E76" s="4"/>
      <c r="F76" s="22"/>
      <c r="G76" s="23"/>
      <c r="H76" s="23"/>
      <c r="I76" s="4"/>
      <c r="J76" s="4"/>
      <c r="K76" s="4"/>
      <c r="L76" s="4"/>
      <c r="M76" s="4"/>
    </row>
    <row r="77" spans="1:13" ht="15.75" customHeight="1" x14ac:dyDescent="0.2">
      <c r="A77" s="4"/>
      <c r="B77" s="4"/>
      <c r="F77" s="24"/>
      <c r="G77" s="7"/>
      <c r="H77" s="7"/>
    </row>
    <row r="78" spans="1:13" ht="15.75" customHeight="1" x14ac:dyDescent="0.2">
      <c r="A78" s="4"/>
      <c r="B78" s="4"/>
      <c r="C78" s="6">
        <v>44068</v>
      </c>
      <c r="D78" s="4"/>
      <c r="E78" s="4"/>
      <c r="F78" s="22"/>
      <c r="G78" s="23"/>
      <c r="H78" s="23"/>
      <c r="I78" s="4"/>
      <c r="J78" s="4">
        <v>9</v>
      </c>
      <c r="K78" s="4">
        <v>11</v>
      </c>
      <c r="L78" s="4"/>
      <c r="M78" s="4"/>
    </row>
    <row r="79" spans="1:13" ht="15.75" customHeight="1" x14ac:dyDescent="0.2">
      <c r="A79" s="4"/>
      <c r="B79" s="4"/>
      <c r="C79" s="6">
        <v>44068</v>
      </c>
      <c r="D79" s="8">
        <v>0.55694444444444446</v>
      </c>
      <c r="E79" s="1">
        <v>0.1</v>
      </c>
      <c r="F79" s="22">
        <v>7.29</v>
      </c>
      <c r="G79" s="23">
        <v>83.8</v>
      </c>
      <c r="H79" s="23">
        <v>22.2</v>
      </c>
      <c r="I79" s="4"/>
      <c r="J79" s="4"/>
      <c r="K79" s="4"/>
      <c r="L79" s="4"/>
      <c r="M79" s="4"/>
    </row>
    <row r="80" spans="1:13" ht="15.75" customHeight="1" x14ac:dyDescent="0.2">
      <c r="A80" s="4"/>
      <c r="B80" s="4"/>
      <c r="C80" s="6">
        <v>44068</v>
      </c>
      <c r="D80" s="8">
        <v>0.55694444444444446</v>
      </c>
      <c r="E80" s="1">
        <v>1</v>
      </c>
      <c r="F80" s="22">
        <v>7.3</v>
      </c>
      <c r="G80" s="23"/>
      <c r="H80" s="23">
        <v>22.2</v>
      </c>
      <c r="I80" s="4"/>
      <c r="J80" s="4"/>
      <c r="K80" s="4"/>
      <c r="L80" s="4"/>
      <c r="M80" s="4"/>
    </row>
    <row r="81" spans="1:13" ht="15.75" customHeight="1" x14ac:dyDescent="0.2">
      <c r="A81" s="4"/>
      <c r="B81" s="4"/>
      <c r="C81" s="6">
        <v>44068</v>
      </c>
      <c r="D81" s="8">
        <v>0.55694444444444446</v>
      </c>
      <c r="E81" s="1">
        <v>2</v>
      </c>
      <c r="F81" s="22">
        <v>7.3</v>
      </c>
      <c r="G81" s="23"/>
      <c r="H81" s="23">
        <v>22.1</v>
      </c>
      <c r="I81" s="4"/>
      <c r="J81" s="4"/>
      <c r="K81" s="4"/>
      <c r="L81" s="4"/>
      <c r="M81" s="4"/>
    </row>
    <row r="82" spans="1:13" ht="15.75" customHeight="1" x14ac:dyDescent="0.2">
      <c r="A82" s="4"/>
      <c r="B82" s="4"/>
      <c r="C82" s="6">
        <v>44068</v>
      </c>
      <c r="D82" s="8">
        <v>0.55694444444444446</v>
      </c>
      <c r="E82" s="1">
        <v>3</v>
      </c>
      <c r="F82" s="22">
        <v>7.3</v>
      </c>
      <c r="G82" s="23"/>
      <c r="H82" s="23">
        <v>22.1</v>
      </c>
      <c r="I82" s="4"/>
      <c r="J82" s="4"/>
      <c r="K82" s="4"/>
      <c r="L82" s="4"/>
      <c r="M82" s="4"/>
    </row>
    <row r="83" spans="1:13" ht="15.75" customHeight="1" x14ac:dyDescent="0.2">
      <c r="A83" s="4"/>
      <c r="B83" s="4"/>
      <c r="C83" s="6">
        <v>44068</v>
      </c>
      <c r="D83" s="8">
        <v>0.55694444444444446</v>
      </c>
      <c r="E83" s="1">
        <v>4</v>
      </c>
      <c r="F83" s="22">
        <v>7.3</v>
      </c>
      <c r="G83" s="23"/>
      <c r="H83" s="23">
        <v>22</v>
      </c>
      <c r="I83" s="4"/>
      <c r="J83" s="4"/>
      <c r="K83" s="4"/>
      <c r="L83" s="4"/>
      <c r="M83" s="4"/>
    </row>
    <row r="84" spans="1:13" ht="15.75" customHeight="1" x14ac:dyDescent="0.2">
      <c r="A84" s="4"/>
      <c r="B84" s="4"/>
      <c r="C84" s="6">
        <v>44068</v>
      </c>
      <c r="D84" s="8">
        <v>0.55694444444444446</v>
      </c>
      <c r="E84" s="1">
        <v>5</v>
      </c>
      <c r="F84" s="22">
        <v>7.3</v>
      </c>
      <c r="G84" s="23"/>
      <c r="H84" s="23">
        <v>21.8</v>
      </c>
      <c r="I84" s="4"/>
      <c r="J84" s="4"/>
      <c r="K84" s="4"/>
      <c r="L84" s="4"/>
      <c r="M84" s="4"/>
    </row>
    <row r="85" spans="1:13" ht="15.75" customHeight="1" x14ac:dyDescent="0.2">
      <c r="A85" s="4"/>
      <c r="B85" s="4"/>
      <c r="C85" s="6">
        <v>44068</v>
      </c>
      <c r="D85" s="8">
        <v>0.55694444444444446</v>
      </c>
      <c r="E85" s="1">
        <v>6</v>
      </c>
      <c r="F85" s="22">
        <v>7.3</v>
      </c>
      <c r="G85" s="23"/>
      <c r="H85" s="23">
        <v>21.7</v>
      </c>
      <c r="I85" s="4"/>
      <c r="J85" s="4"/>
      <c r="K85" s="4"/>
      <c r="L85" s="4"/>
      <c r="M85" s="4"/>
    </row>
    <row r="86" spans="1:13" ht="15.75" customHeight="1" x14ac:dyDescent="0.2">
      <c r="A86" s="4"/>
      <c r="B86" s="4"/>
      <c r="C86" s="6">
        <v>44068</v>
      </c>
      <c r="D86" s="8">
        <v>0.55694444444444446</v>
      </c>
      <c r="E86" s="1">
        <v>7</v>
      </c>
      <c r="F86" s="22">
        <v>7.28</v>
      </c>
      <c r="G86" s="23"/>
      <c r="H86" s="23">
        <v>21.7</v>
      </c>
      <c r="I86" s="4"/>
      <c r="J86" s="4"/>
      <c r="K86" s="4"/>
      <c r="L86" s="4"/>
      <c r="M86" s="4"/>
    </row>
    <row r="87" spans="1:13" ht="15.75" customHeight="1" x14ac:dyDescent="0.2">
      <c r="A87" s="4"/>
      <c r="B87" s="4"/>
      <c r="C87" s="6">
        <v>44068</v>
      </c>
      <c r="D87" s="8">
        <v>0.55694444444444446</v>
      </c>
      <c r="E87" s="1">
        <v>8</v>
      </c>
      <c r="F87" s="22">
        <v>7.32</v>
      </c>
      <c r="G87" s="23"/>
      <c r="H87" s="23">
        <v>21.6</v>
      </c>
      <c r="I87" s="4"/>
      <c r="J87" s="4"/>
      <c r="K87" s="4"/>
      <c r="L87" s="4"/>
      <c r="M87" s="4"/>
    </row>
    <row r="88" spans="1:13" ht="15.75" customHeight="1" x14ac:dyDescent="0.2">
      <c r="A88" s="4"/>
      <c r="B88" s="4"/>
      <c r="C88" s="6">
        <v>44068</v>
      </c>
      <c r="D88" s="8">
        <v>0.55694444444444446</v>
      </c>
      <c r="E88" s="1">
        <v>9</v>
      </c>
      <c r="F88" s="22">
        <v>7.39</v>
      </c>
      <c r="G88" s="23">
        <v>83</v>
      </c>
      <c r="H88" s="23">
        <v>21.1</v>
      </c>
      <c r="I88" s="4"/>
      <c r="J88" s="4"/>
      <c r="K88" s="4"/>
      <c r="L88" s="4"/>
      <c r="M88" s="4"/>
    </row>
    <row r="89" spans="1:13" ht="15.75" customHeight="1" x14ac:dyDescent="0.2">
      <c r="A89" s="4"/>
      <c r="B89" s="4"/>
      <c r="C89" s="6">
        <v>44068</v>
      </c>
      <c r="D89" s="8">
        <v>0.55694444444444446</v>
      </c>
      <c r="E89" s="1">
        <v>10</v>
      </c>
      <c r="F89" s="22">
        <v>7.79</v>
      </c>
      <c r="G89" s="23">
        <v>85.5</v>
      </c>
      <c r="H89" s="23">
        <v>19.600000000000001</v>
      </c>
      <c r="I89" s="4"/>
      <c r="J89" s="4"/>
      <c r="K89" s="4"/>
      <c r="L89" s="4"/>
      <c r="M89" s="4"/>
    </row>
    <row r="90" spans="1:13" ht="15.75" customHeight="1" x14ac:dyDescent="0.2">
      <c r="C90" s="6"/>
      <c r="D90" s="4"/>
      <c r="E90" s="4"/>
      <c r="F90" s="22"/>
      <c r="G90" s="23"/>
      <c r="H90" s="23"/>
      <c r="I90" s="4"/>
      <c r="J90" s="4"/>
      <c r="K90" s="4"/>
      <c r="L90" s="4"/>
      <c r="M90" s="4"/>
    </row>
    <row r="91" spans="1:13" ht="15.75" customHeight="1" x14ac:dyDescent="0.2">
      <c r="C91" s="6"/>
      <c r="D91" s="4"/>
      <c r="E91" s="4"/>
      <c r="F91" s="22"/>
      <c r="G91" s="23"/>
      <c r="H91" s="23"/>
      <c r="I91" s="4"/>
      <c r="J91" s="4"/>
      <c r="K91" s="4"/>
      <c r="L91" s="4"/>
      <c r="M91" s="4"/>
    </row>
    <row r="92" spans="1:13" ht="15.75" customHeight="1" x14ac:dyDescent="0.2">
      <c r="C92" s="6"/>
      <c r="D92" s="4"/>
      <c r="E92" s="4"/>
      <c r="F92" s="22"/>
      <c r="G92" s="23"/>
      <c r="H92" s="23"/>
      <c r="I92" s="4"/>
      <c r="J92" s="4"/>
      <c r="K92" s="4"/>
      <c r="L92" s="4"/>
      <c r="M92" s="4"/>
    </row>
    <row r="93" spans="1:13" ht="15.75" customHeight="1" x14ac:dyDescent="0.2">
      <c r="C93" s="6">
        <v>44102</v>
      </c>
      <c r="D93" s="4"/>
      <c r="E93" s="4"/>
      <c r="F93" s="22"/>
      <c r="G93" s="23"/>
      <c r="H93" s="23"/>
      <c r="I93" s="4"/>
      <c r="J93" s="4">
        <v>8.5</v>
      </c>
      <c r="K93" s="4">
        <v>9</v>
      </c>
      <c r="L93" s="4"/>
      <c r="M93" s="4"/>
    </row>
    <row r="94" spans="1:13" ht="15.75" customHeight="1" x14ac:dyDescent="0.2">
      <c r="C94" s="6">
        <v>44102</v>
      </c>
      <c r="D94" s="12">
        <v>0.56736111111111109</v>
      </c>
      <c r="E94" s="1">
        <v>0.1</v>
      </c>
      <c r="F94" s="24">
        <v>8.09</v>
      </c>
      <c r="G94" s="7">
        <v>85.7</v>
      </c>
      <c r="H94" s="7">
        <v>18.2</v>
      </c>
    </row>
    <row r="95" spans="1:13" ht="15.75" customHeight="1" x14ac:dyDescent="0.2">
      <c r="C95" s="6">
        <v>44102</v>
      </c>
      <c r="D95" s="12">
        <v>0.56736111111111109</v>
      </c>
      <c r="E95" s="1">
        <v>1</v>
      </c>
      <c r="F95" s="24">
        <v>8.0500000000000007</v>
      </c>
      <c r="G95" s="7"/>
      <c r="H95" s="7">
        <v>17.899999999999999</v>
      </c>
    </row>
    <row r="96" spans="1:13" ht="15.75" customHeight="1" x14ac:dyDescent="0.2">
      <c r="C96" s="6">
        <v>44102</v>
      </c>
      <c r="D96" s="12">
        <v>0.56736111111111109</v>
      </c>
      <c r="E96" s="1">
        <v>2</v>
      </c>
      <c r="F96" s="24">
        <v>8.02</v>
      </c>
      <c r="G96" s="7"/>
      <c r="H96" s="7">
        <v>17.5</v>
      </c>
    </row>
    <row r="97" spans="3:11" ht="15.75" customHeight="1" x14ac:dyDescent="0.2">
      <c r="C97" s="6">
        <v>44102</v>
      </c>
      <c r="D97" s="12">
        <v>0.56736111111111109</v>
      </c>
      <c r="E97" s="1">
        <v>3</v>
      </c>
      <c r="F97" s="24">
        <v>8</v>
      </c>
      <c r="G97" s="7"/>
      <c r="H97" s="7">
        <v>17.3</v>
      </c>
    </row>
    <row r="98" spans="3:11" ht="15.75" customHeight="1" x14ac:dyDescent="0.2">
      <c r="C98" s="6">
        <v>44102</v>
      </c>
      <c r="D98" s="12">
        <v>0.56736111111111109</v>
      </c>
      <c r="E98" s="1">
        <v>4</v>
      </c>
      <c r="F98" s="24">
        <v>8.01</v>
      </c>
      <c r="G98" s="7"/>
      <c r="H98" s="7">
        <v>17</v>
      </c>
    </row>
    <row r="99" spans="3:11" ht="15.75" customHeight="1" x14ac:dyDescent="0.2">
      <c r="C99" s="6">
        <v>44102</v>
      </c>
      <c r="D99" s="12">
        <v>0.56736111111111109</v>
      </c>
      <c r="E99" s="1">
        <v>5</v>
      </c>
      <c r="F99" s="24">
        <v>7.99</v>
      </c>
      <c r="G99" s="7"/>
      <c r="H99" s="7">
        <v>17</v>
      </c>
    </row>
    <row r="100" spans="3:11" ht="15.75" customHeight="1" x14ac:dyDescent="0.2">
      <c r="C100" s="6">
        <v>44102</v>
      </c>
      <c r="D100" s="12">
        <v>0.56736111111111109</v>
      </c>
      <c r="E100" s="1">
        <v>6</v>
      </c>
      <c r="F100" s="24">
        <v>7.97</v>
      </c>
      <c r="G100" s="7"/>
      <c r="H100" s="7">
        <v>17</v>
      </c>
    </row>
    <row r="101" spans="3:11" ht="15.75" customHeight="1" x14ac:dyDescent="0.2">
      <c r="C101" s="6">
        <v>44102</v>
      </c>
      <c r="D101" s="12">
        <v>0.56736111111111109</v>
      </c>
      <c r="E101" s="1">
        <v>7</v>
      </c>
      <c r="F101" s="24">
        <v>7.97</v>
      </c>
      <c r="G101" s="7"/>
      <c r="H101" s="7">
        <v>16.899999999999999</v>
      </c>
    </row>
    <row r="102" spans="3:11" ht="15.75" customHeight="1" x14ac:dyDescent="0.2">
      <c r="C102" s="6">
        <v>44102</v>
      </c>
      <c r="D102" s="12">
        <v>0.56736111111111109</v>
      </c>
      <c r="E102" s="1">
        <v>8</v>
      </c>
      <c r="F102" s="24">
        <v>7.96</v>
      </c>
      <c r="G102" s="7"/>
      <c r="H102" s="7">
        <v>16.899999999999999</v>
      </c>
    </row>
    <row r="103" spans="3:11" ht="15.75" customHeight="1" x14ac:dyDescent="0.2">
      <c r="C103" s="6">
        <v>44102</v>
      </c>
      <c r="D103" s="12">
        <v>0.56736111111111109</v>
      </c>
      <c r="E103" s="1">
        <v>9</v>
      </c>
      <c r="F103" s="24">
        <v>7.93</v>
      </c>
      <c r="G103" s="7"/>
      <c r="H103" s="7">
        <v>16.899999999999999</v>
      </c>
    </row>
    <row r="104" spans="3:11" ht="15.75" customHeight="1" x14ac:dyDescent="0.2">
      <c r="C104" s="6">
        <v>44102</v>
      </c>
      <c r="D104" s="12">
        <v>0.56736111111111109</v>
      </c>
      <c r="E104" s="1">
        <v>10</v>
      </c>
      <c r="F104" s="24">
        <v>7.88</v>
      </c>
      <c r="G104" s="7">
        <v>81</v>
      </c>
      <c r="H104" s="7">
        <v>16.8</v>
      </c>
    </row>
    <row r="105" spans="3:11" ht="15.75" customHeight="1" x14ac:dyDescent="0.2">
      <c r="F105" s="24"/>
      <c r="G105" s="7"/>
      <c r="H105" s="7"/>
    </row>
    <row r="106" spans="3:11" ht="15.75" customHeight="1" x14ac:dyDescent="0.2">
      <c r="C106" s="16">
        <v>43634</v>
      </c>
      <c r="F106" s="24"/>
      <c r="G106" s="7"/>
      <c r="H106" s="7"/>
      <c r="J106" s="1">
        <v>7</v>
      </c>
      <c r="K106" s="1">
        <v>8</v>
      </c>
    </row>
    <row r="107" spans="3:11" ht="15.75" customHeight="1" x14ac:dyDescent="0.2">
      <c r="C107" s="16">
        <v>43634</v>
      </c>
      <c r="D107" s="12">
        <v>0.52083333333333337</v>
      </c>
      <c r="E107" s="1">
        <v>0.1</v>
      </c>
      <c r="F107" s="24">
        <v>7.85</v>
      </c>
      <c r="G107" s="7">
        <v>85.7</v>
      </c>
      <c r="H107" s="7">
        <v>19.600000000000001</v>
      </c>
    </row>
    <row r="108" spans="3:11" ht="15.75" customHeight="1" x14ac:dyDescent="0.2">
      <c r="C108" s="16">
        <v>43634</v>
      </c>
      <c r="D108" s="12">
        <v>0.52083333333333337</v>
      </c>
      <c r="E108" s="1">
        <v>1</v>
      </c>
      <c r="F108" s="24">
        <v>7.83</v>
      </c>
      <c r="G108" s="7">
        <v>85.2</v>
      </c>
      <c r="H108" s="7">
        <v>19.5</v>
      </c>
    </row>
    <row r="109" spans="3:11" ht="15.75" customHeight="1" x14ac:dyDescent="0.2">
      <c r="C109" s="16">
        <v>43634</v>
      </c>
      <c r="D109" s="12">
        <v>0.52083333333333337</v>
      </c>
      <c r="E109" s="1">
        <v>2</v>
      </c>
      <c r="F109" s="24">
        <v>7.8</v>
      </c>
      <c r="G109" s="7">
        <v>85</v>
      </c>
      <c r="H109" s="7">
        <v>19.5</v>
      </c>
    </row>
    <row r="110" spans="3:11" ht="15.75" customHeight="1" x14ac:dyDescent="0.2">
      <c r="C110" s="16">
        <v>43634</v>
      </c>
      <c r="D110" s="12">
        <v>0.52083333333333337</v>
      </c>
      <c r="E110" s="1">
        <v>3</v>
      </c>
      <c r="F110" s="24">
        <v>7.82</v>
      </c>
      <c r="G110" s="7">
        <v>84.8</v>
      </c>
      <c r="H110" s="7">
        <v>19.399999999999999</v>
      </c>
    </row>
    <row r="111" spans="3:11" ht="15.75" customHeight="1" x14ac:dyDescent="0.2">
      <c r="C111" s="16">
        <v>43634</v>
      </c>
      <c r="D111" s="12">
        <v>0.52083333333333337</v>
      </c>
      <c r="E111" s="1">
        <v>4</v>
      </c>
      <c r="F111" s="24">
        <v>8.3000000000000007</v>
      </c>
      <c r="G111" s="7">
        <v>87.1</v>
      </c>
      <c r="H111" s="7">
        <v>17.600000000000001</v>
      </c>
    </row>
    <row r="112" spans="3:11" ht="15.75" customHeight="1" x14ac:dyDescent="0.2">
      <c r="C112" s="16">
        <v>43634</v>
      </c>
      <c r="D112" s="12">
        <v>0.52083333333333337</v>
      </c>
      <c r="E112" s="1">
        <v>6</v>
      </c>
      <c r="F112" s="24">
        <v>8.49</v>
      </c>
      <c r="G112" s="7">
        <v>85.3</v>
      </c>
      <c r="H112" s="7">
        <v>15.6</v>
      </c>
    </row>
    <row r="113" spans="3:11" ht="15.75" customHeight="1" x14ac:dyDescent="0.2">
      <c r="C113" s="16">
        <v>43634</v>
      </c>
      <c r="D113" s="12">
        <v>0.52083333333333337</v>
      </c>
      <c r="E113" s="1">
        <v>8</v>
      </c>
      <c r="F113" s="24">
        <v>8.61</v>
      </c>
      <c r="G113" s="7">
        <v>85.6</v>
      </c>
      <c r="H113" s="7">
        <v>15</v>
      </c>
    </row>
    <row r="114" spans="3:11" ht="15.75" customHeight="1" x14ac:dyDescent="0.2">
      <c r="C114" s="16">
        <v>43634</v>
      </c>
      <c r="D114" s="12">
        <v>0.52083333333333337</v>
      </c>
      <c r="E114" s="1">
        <v>10</v>
      </c>
      <c r="F114" s="24">
        <v>8.84</v>
      </c>
      <c r="G114" s="7">
        <v>84.7</v>
      </c>
      <c r="H114" s="7">
        <v>13.4</v>
      </c>
    </row>
    <row r="115" spans="3:11" ht="15.75" customHeight="1" x14ac:dyDescent="0.2">
      <c r="F115" s="24"/>
      <c r="G115" s="7"/>
      <c r="H115" s="7"/>
    </row>
    <row r="116" spans="3:11" ht="15.75" customHeight="1" x14ac:dyDescent="0.2">
      <c r="F116" s="24"/>
      <c r="G116" s="7"/>
      <c r="H116" s="7"/>
    </row>
    <row r="117" spans="3:11" ht="15.75" customHeight="1" x14ac:dyDescent="0.2">
      <c r="C117" s="205">
        <v>42870</v>
      </c>
      <c r="D117" s="185">
        <v>0.3666666666666667</v>
      </c>
      <c r="F117" s="24"/>
      <c r="G117" s="7"/>
      <c r="H117" s="7"/>
      <c r="J117">
        <v>9</v>
      </c>
      <c r="K117">
        <v>11</v>
      </c>
    </row>
    <row r="118" spans="3:11" ht="15.75" customHeight="1" x14ac:dyDescent="0.2">
      <c r="C118" s="205">
        <v>42870</v>
      </c>
      <c r="D118" s="185">
        <v>0.375</v>
      </c>
      <c r="E118">
        <v>0.1</v>
      </c>
      <c r="F118" s="24">
        <v>9.3699999999999992</v>
      </c>
      <c r="G118" s="7">
        <v>84.4</v>
      </c>
      <c r="H118" s="7">
        <v>9.1</v>
      </c>
    </row>
    <row r="119" spans="3:11" ht="15.75" customHeight="1" x14ac:dyDescent="0.2">
      <c r="C119" s="205">
        <v>42870</v>
      </c>
      <c r="D119" s="185">
        <v>0.375</v>
      </c>
      <c r="E119">
        <v>1</v>
      </c>
      <c r="F119" s="24">
        <v>9.6999999999999993</v>
      </c>
      <c r="G119" s="7">
        <v>84.1</v>
      </c>
      <c r="H119" s="7">
        <v>9.1</v>
      </c>
    </row>
    <row r="120" spans="3:11" ht="15.75" customHeight="1" x14ac:dyDescent="0.2">
      <c r="C120" s="205">
        <v>42870</v>
      </c>
      <c r="D120" s="185">
        <v>0.375</v>
      </c>
      <c r="E120">
        <v>2</v>
      </c>
      <c r="F120" s="24">
        <v>9.6999999999999993</v>
      </c>
      <c r="G120" s="7">
        <v>83.9</v>
      </c>
      <c r="H120" s="7">
        <v>9.1</v>
      </c>
    </row>
    <row r="121" spans="3:11" ht="15.75" customHeight="1" x14ac:dyDescent="0.2">
      <c r="C121" s="205">
        <v>42870</v>
      </c>
      <c r="D121" s="185">
        <v>0.375</v>
      </c>
      <c r="E121">
        <v>3</v>
      </c>
      <c r="F121" s="24">
        <v>9.68</v>
      </c>
      <c r="G121" s="7">
        <v>83.7</v>
      </c>
      <c r="H121" s="7">
        <v>9</v>
      </c>
    </row>
    <row r="122" spans="3:11" ht="15.75" customHeight="1" x14ac:dyDescent="0.2">
      <c r="C122" s="205">
        <v>42870</v>
      </c>
      <c r="D122" s="185">
        <v>0.375</v>
      </c>
      <c r="E122">
        <v>4</v>
      </c>
      <c r="F122" s="24">
        <v>9.6300000000000008</v>
      </c>
      <c r="G122" s="7">
        <v>82.8</v>
      </c>
      <c r="H122" s="7">
        <v>8.8000000000000007</v>
      </c>
    </row>
    <row r="123" spans="3:11" ht="15.75" customHeight="1" x14ac:dyDescent="0.2">
      <c r="C123" s="205">
        <v>42870</v>
      </c>
      <c r="D123" s="185">
        <v>0.375</v>
      </c>
      <c r="E123">
        <v>5</v>
      </c>
      <c r="F123" s="24">
        <v>9.65</v>
      </c>
      <c r="G123" s="7">
        <v>81.099999999999994</v>
      </c>
      <c r="H123" s="7">
        <v>7.8</v>
      </c>
    </row>
    <row r="124" spans="3:11" ht="15.75" customHeight="1" x14ac:dyDescent="0.2">
      <c r="C124" s="205">
        <v>42870</v>
      </c>
      <c r="D124" s="185">
        <v>0.375</v>
      </c>
      <c r="E124">
        <v>6</v>
      </c>
      <c r="F124" s="24">
        <v>9.64</v>
      </c>
      <c r="G124" s="7">
        <v>80.400000000000006</v>
      </c>
      <c r="H124" s="7">
        <v>7.5</v>
      </c>
    </row>
    <row r="125" spans="3:11" ht="15.75" customHeight="1" x14ac:dyDescent="0.2">
      <c r="C125" s="205">
        <v>42870</v>
      </c>
      <c r="D125" s="185">
        <v>0.375</v>
      </c>
      <c r="E125">
        <v>7</v>
      </c>
      <c r="F125" s="24">
        <v>9.56</v>
      </c>
      <c r="G125" s="7">
        <v>78.900000000000006</v>
      </c>
      <c r="H125" s="7">
        <v>7.1</v>
      </c>
    </row>
    <row r="126" spans="3:11" ht="15.75" customHeight="1" x14ac:dyDescent="0.2">
      <c r="C126" s="205">
        <v>42870</v>
      </c>
      <c r="D126" s="185">
        <v>0.375</v>
      </c>
      <c r="E126">
        <v>8</v>
      </c>
      <c r="F126" s="24">
        <v>9.5500000000000007</v>
      </c>
      <c r="G126" s="7">
        <v>77.599999999999994</v>
      </c>
      <c r="H126" s="7">
        <v>6.6</v>
      </c>
    </row>
    <row r="127" spans="3:11" ht="15.75" customHeight="1" x14ac:dyDescent="0.2">
      <c r="C127" s="205">
        <v>42870</v>
      </c>
      <c r="D127" s="185">
        <v>0.375</v>
      </c>
      <c r="E127">
        <v>9</v>
      </c>
      <c r="F127" s="24">
        <v>9.51</v>
      </c>
      <c r="G127" s="7">
        <v>77</v>
      </c>
      <c r="H127" s="7">
        <v>6.3</v>
      </c>
    </row>
    <row r="128" spans="3:11" ht="15.75" customHeight="1" x14ac:dyDescent="0.2">
      <c r="C128" s="205">
        <v>42870</v>
      </c>
      <c r="D128" s="185">
        <v>0.375</v>
      </c>
      <c r="E128">
        <v>10</v>
      </c>
      <c r="F128" s="24">
        <v>9.4600000000000009</v>
      </c>
      <c r="G128" s="7">
        <v>76.5</v>
      </c>
      <c r="H128" s="7">
        <v>6.3</v>
      </c>
    </row>
    <row r="129" spans="3:11" ht="15.75" customHeight="1" x14ac:dyDescent="0.2">
      <c r="C129" s="205">
        <v>42870</v>
      </c>
      <c r="D129" s="185">
        <v>0.375</v>
      </c>
      <c r="E129">
        <v>11</v>
      </c>
      <c r="F129" s="24">
        <v>9.43</v>
      </c>
      <c r="G129" s="7">
        <v>76.400000000000006</v>
      </c>
      <c r="H129" s="7">
        <v>6.3</v>
      </c>
    </row>
    <row r="130" spans="3:11" ht="15.75" customHeight="1" x14ac:dyDescent="0.2">
      <c r="C130" s="205">
        <v>42870</v>
      </c>
      <c r="D130" s="185">
        <v>0.375</v>
      </c>
      <c r="E130">
        <v>12</v>
      </c>
      <c r="F130" s="24">
        <v>9.4</v>
      </c>
      <c r="G130" s="7">
        <v>76.2</v>
      </c>
      <c r="H130" s="7">
        <v>6.4</v>
      </c>
    </row>
    <row r="131" spans="3:11" ht="15.75" customHeight="1" x14ac:dyDescent="0.2">
      <c r="F131" s="24"/>
      <c r="G131" s="7"/>
      <c r="H131" s="7"/>
    </row>
    <row r="132" spans="3:11" ht="15.75" customHeight="1" x14ac:dyDescent="0.2">
      <c r="C132" s="205">
        <v>42898</v>
      </c>
      <c r="D132" s="185">
        <v>0.35416666666666669</v>
      </c>
      <c r="F132" s="24"/>
      <c r="G132" s="7"/>
      <c r="H132" s="7"/>
      <c r="J132">
        <v>8</v>
      </c>
      <c r="K132">
        <v>8.5</v>
      </c>
    </row>
    <row r="133" spans="3:11" ht="15.75" customHeight="1" x14ac:dyDescent="0.2">
      <c r="C133" s="205">
        <v>42898</v>
      </c>
      <c r="D133" s="185">
        <v>0.36458333333333331</v>
      </c>
      <c r="E133">
        <v>0.1</v>
      </c>
      <c r="F133" s="24">
        <v>8.42</v>
      </c>
      <c r="G133" s="7">
        <v>84.1</v>
      </c>
      <c r="H133" s="7">
        <v>15.3</v>
      </c>
    </row>
    <row r="134" spans="3:11" ht="15.75" customHeight="1" x14ac:dyDescent="0.2">
      <c r="C134" s="205">
        <v>42898</v>
      </c>
      <c r="D134" s="185">
        <v>0.36458333333333331</v>
      </c>
      <c r="E134">
        <v>1</v>
      </c>
      <c r="F134" s="24">
        <v>8.4499999999999993</v>
      </c>
      <c r="G134" s="7">
        <v>84.2</v>
      </c>
      <c r="H134" s="7">
        <v>15.2</v>
      </c>
    </row>
    <row r="135" spans="3:11" ht="15.75" customHeight="1" x14ac:dyDescent="0.2">
      <c r="C135" s="205">
        <v>42898</v>
      </c>
      <c r="D135" s="185">
        <v>0.36458333333333331</v>
      </c>
      <c r="E135">
        <v>2</v>
      </c>
      <c r="F135" s="24">
        <v>8.57</v>
      </c>
      <c r="G135" s="7">
        <v>83.9</v>
      </c>
      <c r="H135" s="7">
        <v>14.4</v>
      </c>
    </row>
    <row r="136" spans="3:11" ht="15.75" customHeight="1" x14ac:dyDescent="0.2">
      <c r="C136" s="205">
        <v>42898</v>
      </c>
      <c r="D136" s="185">
        <v>0.36458333333333331</v>
      </c>
      <c r="E136">
        <v>3</v>
      </c>
      <c r="F136" s="24">
        <v>8.67</v>
      </c>
      <c r="G136" s="7">
        <v>84.1</v>
      </c>
      <c r="H136" s="7">
        <v>14</v>
      </c>
    </row>
    <row r="137" spans="3:11" ht="15.75" customHeight="1" x14ac:dyDescent="0.2">
      <c r="C137" s="205">
        <v>42898</v>
      </c>
      <c r="D137" s="185">
        <v>0.36458333333333331</v>
      </c>
      <c r="E137">
        <v>4</v>
      </c>
      <c r="F137" s="24">
        <v>8.76</v>
      </c>
      <c r="G137" s="7">
        <v>83.5</v>
      </c>
      <c r="H137" s="7">
        <v>13.2</v>
      </c>
    </row>
    <row r="138" spans="3:11" ht="15.75" customHeight="1" x14ac:dyDescent="0.2">
      <c r="C138" s="205">
        <v>42898</v>
      </c>
      <c r="D138" s="185">
        <v>0.36458333333333331</v>
      </c>
      <c r="E138">
        <v>5</v>
      </c>
      <c r="F138" s="24">
        <v>8.89</v>
      </c>
      <c r="G138" s="7">
        <v>83.2</v>
      </c>
      <c r="H138" s="7">
        <v>12.4</v>
      </c>
    </row>
    <row r="139" spans="3:11" ht="15.75" customHeight="1" x14ac:dyDescent="0.2">
      <c r="C139" s="205">
        <v>42898</v>
      </c>
      <c r="D139" s="185">
        <v>0.36458333333333331</v>
      </c>
      <c r="E139">
        <v>6</v>
      </c>
      <c r="F139" s="24">
        <v>8.98</v>
      </c>
      <c r="G139" s="7">
        <v>83.3</v>
      </c>
      <c r="H139" s="7">
        <v>12</v>
      </c>
    </row>
    <row r="140" spans="3:11" ht="15.75" customHeight="1" x14ac:dyDescent="0.2">
      <c r="C140" s="205">
        <v>42898</v>
      </c>
      <c r="D140" s="185">
        <v>0.36458333333333331</v>
      </c>
      <c r="E140">
        <v>7</v>
      </c>
      <c r="F140" s="24">
        <v>9.02</v>
      </c>
      <c r="G140" s="7">
        <v>82.6</v>
      </c>
      <c r="H140" s="7">
        <v>11.5</v>
      </c>
    </row>
    <row r="141" spans="3:11" ht="15.75" customHeight="1" x14ac:dyDescent="0.2">
      <c r="C141" s="205">
        <v>42898</v>
      </c>
      <c r="D141" s="185">
        <v>0.36458333333333331</v>
      </c>
      <c r="E141">
        <v>8</v>
      </c>
      <c r="F141" s="24">
        <v>9.08</v>
      </c>
      <c r="G141" s="7">
        <v>82.4</v>
      </c>
      <c r="H141" s="7">
        <v>11</v>
      </c>
    </row>
    <row r="142" spans="3:11" ht="15.75" customHeight="1" x14ac:dyDescent="0.2">
      <c r="F142" s="24"/>
      <c r="G142" s="7"/>
      <c r="H142" s="7"/>
    </row>
    <row r="143" spans="3:11" ht="15.75" customHeight="1" x14ac:dyDescent="0.2">
      <c r="C143" s="205">
        <v>42926</v>
      </c>
      <c r="D143" s="185">
        <v>0.36458333333333331</v>
      </c>
      <c r="F143" s="24"/>
      <c r="G143" s="7"/>
      <c r="H143" s="7"/>
      <c r="J143">
        <v>9.5</v>
      </c>
      <c r="K143">
        <v>12</v>
      </c>
    </row>
    <row r="144" spans="3:11" ht="15.75" customHeight="1" x14ac:dyDescent="0.2">
      <c r="C144" s="205">
        <v>42926</v>
      </c>
      <c r="D144" s="185">
        <v>0.375</v>
      </c>
      <c r="E144">
        <v>0.1</v>
      </c>
      <c r="F144" s="24">
        <v>7.54</v>
      </c>
      <c r="G144" s="7">
        <v>88.7</v>
      </c>
      <c r="H144" s="7">
        <v>23.5</v>
      </c>
    </row>
    <row r="145" spans="3:8" ht="15.75" customHeight="1" x14ac:dyDescent="0.2">
      <c r="C145" s="205">
        <v>42926</v>
      </c>
      <c r="D145" s="185">
        <v>0.375</v>
      </c>
      <c r="E145">
        <v>1</v>
      </c>
      <c r="F145" s="24">
        <v>7.51</v>
      </c>
      <c r="G145" s="7">
        <v>88.4</v>
      </c>
      <c r="H145" s="7">
        <v>23.5</v>
      </c>
    </row>
    <row r="146" spans="3:8" ht="15.75" customHeight="1" x14ac:dyDescent="0.2">
      <c r="C146" s="205">
        <v>42926</v>
      </c>
      <c r="D146" s="185">
        <v>0.375</v>
      </c>
      <c r="E146">
        <v>2</v>
      </c>
      <c r="F146" s="24">
        <v>7.48</v>
      </c>
      <c r="G146" s="7">
        <v>87.9</v>
      </c>
      <c r="H146" s="7">
        <v>23.5</v>
      </c>
    </row>
    <row r="147" spans="3:8" ht="15.75" customHeight="1" x14ac:dyDescent="0.2">
      <c r="C147" s="205">
        <v>42926</v>
      </c>
      <c r="D147" s="185">
        <v>0.375</v>
      </c>
      <c r="E147">
        <v>3</v>
      </c>
      <c r="F147" s="24">
        <v>7.42</v>
      </c>
      <c r="G147" s="7">
        <v>87.3</v>
      </c>
      <c r="H147" s="7">
        <v>23.5</v>
      </c>
    </row>
    <row r="148" spans="3:8" ht="15.75" customHeight="1" x14ac:dyDescent="0.2">
      <c r="C148" s="205">
        <v>42926</v>
      </c>
      <c r="D148" s="185">
        <v>0.375</v>
      </c>
      <c r="E148">
        <v>4</v>
      </c>
      <c r="F148" s="24">
        <v>7.68</v>
      </c>
      <c r="G148" s="7">
        <v>87.7</v>
      </c>
      <c r="H148" s="7">
        <v>22</v>
      </c>
    </row>
    <row r="149" spans="3:8" ht="15.75" customHeight="1" x14ac:dyDescent="0.2">
      <c r="C149" s="205">
        <v>42926</v>
      </c>
      <c r="D149" s="185">
        <v>0.375</v>
      </c>
      <c r="E149">
        <v>5</v>
      </c>
      <c r="F149" s="24">
        <v>8.6199999999999992</v>
      </c>
      <c r="G149" s="7">
        <v>91.5</v>
      </c>
      <c r="H149" s="7">
        <v>18.2</v>
      </c>
    </row>
    <row r="150" spans="3:8" ht="15.75" customHeight="1" x14ac:dyDescent="0.2">
      <c r="C150" s="205">
        <v>42926</v>
      </c>
      <c r="D150" s="185">
        <v>0.375</v>
      </c>
      <c r="E150">
        <v>6</v>
      </c>
      <c r="F150" s="24">
        <v>8.83</v>
      </c>
      <c r="G150" s="7">
        <v>91.9</v>
      </c>
      <c r="H150" s="7">
        <v>17.2</v>
      </c>
    </row>
    <row r="151" spans="3:8" ht="15.75" customHeight="1" x14ac:dyDescent="0.2">
      <c r="C151" s="205">
        <v>42926</v>
      </c>
      <c r="D151" s="185">
        <v>0.375</v>
      </c>
      <c r="E151">
        <v>7</v>
      </c>
      <c r="F151" s="24">
        <v>9.01</v>
      </c>
      <c r="G151" s="7">
        <v>92.1</v>
      </c>
      <c r="H151" s="7">
        <v>16.399999999999999</v>
      </c>
    </row>
    <row r="152" spans="3:8" ht="15.75" customHeight="1" x14ac:dyDescent="0.2">
      <c r="C152" s="205">
        <v>42926</v>
      </c>
      <c r="D152" s="185">
        <v>0.375</v>
      </c>
      <c r="E152">
        <v>8</v>
      </c>
      <c r="F152" s="24">
        <v>9.15</v>
      </c>
      <c r="G152" s="7">
        <v>91.5</v>
      </c>
      <c r="H152" s="7">
        <v>15.4</v>
      </c>
    </row>
    <row r="153" spans="3:8" ht="15.75" customHeight="1" x14ac:dyDescent="0.2">
      <c r="C153" s="205">
        <v>42926</v>
      </c>
      <c r="D153" s="185">
        <v>0.375</v>
      </c>
      <c r="E153">
        <v>9</v>
      </c>
      <c r="F153" s="24">
        <v>9.14</v>
      </c>
      <c r="G153" s="7">
        <v>88.7</v>
      </c>
      <c r="H153" s="7">
        <v>14</v>
      </c>
    </row>
    <row r="154" spans="3:8" ht="15.75" customHeight="1" x14ac:dyDescent="0.2">
      <c r="C154" s="205">
        <v>42926</v>
      </c>
      <c r="D154" s="185">
        <v>0.375</v>
      </c>
      <c r="E154">
        <v>10</v>
      </c>
      <c r="F154" s="24">
        <v>9.52</v>
      </c>
      <c r="G154" s="7">
        <v>86.7</v>
      </c>
      <c r="H154" s="7">
        <v>11.2</v>
      </c>
    </row>
    <row r="155" spans="3:8" ht="15.75" customHeight="1" x14ac:dyDescent="0.2">
      <c r="C155" s="205">
        <v>42926</v>
      </c>
      <c r="D155" s="185">
        <v>0.375</v>
      </c>
      <c r="E155">
        <v>11</v>
      </c>
      <c r="F155" s="24">
        <v>9.5500000000000007</v>
      </c>
      <c r="G155" s="7">
        <v>83.6</v>
      </c>
      <c r="H155" s="7">
        <v>9.5</v>
      </c>
    </row>
    <row r="156" spans="3:8" ht="15.75" customHeight="1" x14ac:dyDescent="0.2">
      <c r="C156" s="205">
        <v>42926</v>
      </c>
      <c r="D156" s="185">
        <v>0.375</v>
      </c>
      <c r="E156">
        <v>12</v>
      </c>
      <c r="F156" s="24">
        <v>9.57</v>
      </c>
      <c r="G156" s="7">
        <v>82.7</v>
      </c>
      <c r="H156" s="7">
        <v>9</v>
      </c>
    </row>
    <row r="157" spans="3:8" ht="15.75" customHeight="1" x14ac:dyDescent="0.2">
      <c r="C157" s="205">
        <v>42926</v>
      </c>
      <c r="D157" s="185">
        <v>0.375</v>
      </c>
      <c r="E157">
        <v>13</v>
      </c>
      <c r="F157" s="24">
        <v>9.59</v>
      </c>
      <c r="G157" s="7">
        <v>82.7</v>
      </c>
      <c r="H157" s="7">
        <v>8.9</v>
      </c>
    </row>
    <row r="158" spans="3:8" ht="15.75" customHeight="1" x14ac:dyDescent="0.2">
      <c r="C158" s="205">
        <v>42926</v>
      </c>
      <c r="D158" s="185">
        <v>0.375</v>
      </c>
      <c r="E158">
        <v>14</v>
      </c>
      <c r="F158" s="24">
        <v>9.57</v>
      </c>
      <c r="G158" s="7">
        <v>82.7</v>
      </c>
      <c r="H158" s="7">
        <v>9</v>
      </c>
    </row>
    <row r="159" spans="3:8" ht="15.75" customHeight="1" x14ac:dyDescent="0.2">
      <c r="C159" s="205">
        <v>42926</v>
      </c>
      <c r="D159" s="185">
        <v>0.375</v>
      </c>
      <c r="E159">
        <v>15</v>
      </c>
      <c r="F159" s="24">
        <v>9.44</v>
      </c>
      <c r="G159" s="7">
        <v>81.400000000000006</v>
      </c>
      <c r="H159" s="7">
        <v>8.8000000000000007</v>
      </c>
    </row>
    <row r="160" spans="3:8" ht="15.75" customHeight="1" x14ac:dyDescent="0.2">
      <c r="F160" s="24"/>
      <c r="G160" s="7"/>
      <c r="H160" s="7"/>
    </row>
    <row r="161" spans="3:11" ht="15.75" customHeight="1" x14ac:dyDescent="0.2">
      <c r="C161" s="205">
        <v>42954</v>
      </c>
      <c r="D161" s="185">
        <v>0.375</v>
      </c>
      <c r="F161" s="24"/>
      <c r="G161" s="7"/>
      <c r="H161" s="7"/>
      <c r="J161">
        <v>11</v>
      </c>
      <c r="K161">
        <v>13</v>
      </c>
    </row>
    <row r="162" spans="3:11" ht="15.75" customHeight="1" x14ac:dyDescent="0.2">
      <c r="C162" s="205">
        <v>42954</v>
      </c>
      <c r="D162" s="185">
        <v>0.38194444444444442</v>
      </c>
      <c r="E162">
        <v>0.1</v>
      </c>
      <c r="F162" s="24">
        <v>7.24</v>
      </c>
      <c r="G162" s="7">
        <v>85.5</v>
      </c>
      <c r="H162" s="7">
        <v>23.7</v>
      </c>
    </row>
    <row r="163" spans="3:11" ht="15.75" customHeight="1" x14ac:dyDescent="0.2">
      <c r="C163" s="205">
        <v>42954</v>
      </c>
      <c r="D163" s="185">
        <v>0.38194444444444442</v>
      </c>
      <c r="E163">
        <v>1</v>
      </c>
      <c r="F163" s="24">
        <v>7.21</v>
      </c>
      <c r="G163" s="7">
        <v>85.4</v>
      </c>
      <c r="H163" s="7">
        <v>23.8</v>
      </c>
    </row>
    <row r="164" spans="3:11" ht="15.75" customHeight="1" x14ac:dyDescent="0.2">
      <c r="C164" s="205">
        <v>42954</v>
      </c>
      <c r="D164" s="185">
        <v>0.38194444444444442</v>
      </c>
      <c r="E164">
        <v>2</v>
      </c>
      <c r="F164" s="24">
        <v>7.33</v>
      </c>
      <c r="G164" s="7">
        <v>86.6</v>
      </c>
      <c r="H164" s="7">
        <v>23.7</v>
      </c>
    </row>
    <row r="165" spans="3:11" ht="15.75" customHeight="1" x14ac:dyDescent="0.2">
      <c r="C165" s="205">
        <v>42954</v>
      </c>
      <c r="D165" s="185">
        <v>0.38194444444444442</v>
      </c>
      <c r="E165">
        <v>3</v>
      </c>
      <c r="F165" s="24">
        <v>7.43</v>
      </c>
      <c r="G165" s="7">
        <v>87.8</v>
      </c>
      <c r="H165" s="7">
        <v>23.7</v>
      </c>
    </row>
    <row r="166" spans="3:11" ht="15.75" customHeight="1" x14ac:dyDescent="0.2">
      <c r="C166" s="205">
        <v>42954</v>
      </c>
      <c r="D166" s="185">
        <v>0.38194444444444442</v>
      </c>
      <c r="E166">
        <v>4</v>
      </c>
      <c r="F166" s="24">
        <v>7.54</v>
      </c>
      <c r="G166" s="7">
        <v>88.6</v>
      </c>
      <c r="H166" s="7">
        <v>23.4</v>
      </c>
    </row>
    <row r="167" spans="3:11" ht="15.75" customHeight="1" x14ac:dyDescent="0.2">
      <c r="C167" s="205">
        <v>42954</v>
      </c>
      <c r="D167" s="185">
        <v>0.38194444444444442</v>
      </c>
      <c r="E167">
        <v>5</v>
      </c>
      <c r="F167" s="24">
        <v>7.72</v>
      </c>
      <c r="G167" s="7">
        <v>89.9</v>
      </c>
      <c r="H167" s="7">
        <v>23</v>
      </c>
    </row>
    <row r="168" spans="3:11" ht="15.75" customHeight="1" x14ac:dyDescent="0.2">
      <c r="C168" s="205">
        <v>42954</v>
      </c>
      <c r="D168" s="185">
        <v>0.38194444444444442</v>
      </c>
      <c r="E168">
        <v>6</v>
      </c>
      <c r="F168" s="24">
        <v>7.77</v>
      </c>
      <c r="G168" s="7">
        <v>89.9</v>
      </c>
      <c r="H168" s="7">
        <v>22.6</v>
      </c>
    </row>
    <row r="169" spans="3:11" ht="15.75" customHeight="1" x14ac:dyDescent="0.2">
      <c r="C169" s="205">
        <v>42954</v>
      </c>
      <c r="D169" s="185">
        <v>0.38194444444444442</v>
      </c>
      <c r="E169">
        <v>7</v>
      </c>
      <c r="F169" s="24">
        <v>7.75</v>
      </c>
      <c r="G169" s="7">
        <v>89.3</v>
      </c>
      <c r="H169" s="7">
        <v>22.4</v>
      </c>
    </row>
    <row r="170" spans="3:11" ht="15.75" customHeight="1" x14ac:dyDescent="0.2">
      <c r="C170" s="205">
        <v>42954</v>
      </c>
      <c r="D170" s="185">
        <v>0.38194444444444442</v>
      </c>
      <c r="E170">
        <v>8</v>
      </c>
      <c r="F170" s="24">
        <v>7.5</v>
      </c>
      <c r="G170" s="7">
        <v>89.6</v>
      </c>
      <c r="H170" s="7">
        <v>21.6</v>
      </c>
    </row>
    <row r="171" spans="3:11" ht="15.75" customHeight="1" x14ac:dyDescent="0.2">
      <c r="C171" s="205">
        <v>42954</v>
      </c>
      <c r="D171" s="185">
        <v>0.38194444444444442</v>
      </c>
      <c r="E171">
        <v>9</v>
      </c>
      <c r="F171" s="24">
        <v>7.99</v>
      </c>
      <c r="G171" s="7">
        <v>88.8</v>
      </c>
      <c r="H171" s="7">
        <v>20.5</v>
      </c>
    </row>
    <row r="172" spans="3:11" ht="15.75" customHeight="1" x14ac:dyDescent="0.2">
      <c r="C172" s="205">
        <v>42954</v>
      </c>
      <c r="D172" s="185">
        <v>0.38194444444444442</v>
      </c>
      <c r="E172">
        <v>10</v>
      </c>
      <c r="F172" s="24">
        <v>9.1</v>
      </c>
      <c r="G172" s="7">
        <v>90.1</v>
      </c>
      <c r="H172" s="7">
        <v>15.9</v>
      </c>
    </row>
    <row r="173" spans="3:11" ht="15.75" customHeight="1" x14ac:dyDescent="0.2">
      <c r="C173" s="205">
        <v>42954</v>
      </c>
      <c r="D173" s="185">
        <v>0.38194444444444442</v>
      </c>
      <c r="E173">
        <v>11</v>
      </c>
      <c r="F173" s="24">
        <v>9.33</v>
      </c>
      <c r="G173" s="7">
        <v>89.6</v>
      </c>
      <c r="H173" s="7">
        <v>13.5</v>
      </c>
    </row>
    <row r="174" spans="3:11" ht="15.75" customHeight="1" x14ac:dyDescent="0.2">
      <c r="C174" s="205">
        <v>42954</v>
      </c>
      <c r="D174" s="185">
        <v>0.38194444444444442</v>
      </c>
      <c r="E174">
        <v>12</v>
      </c>
      <c r="F174" s="24">
        <v>9.6300000000000008</v>
      </c>
      <c r="G174" s="7">
        <v>86.5</v>
      </c>
      <c r="H174" s="7">
        <v>10.6</v>
      </c>
    </row>
    <row r="175" spans="3:11" ht="15.75" customHeight="1" x14ac:dyDescent="0.2">
      <c r="C175" s="205">
        <v>42954</v>
      </c>
      <c r="D175" s="185">
        <v>0.38194444444444442</v>
      </c>
      <c r="E175">
        <v>13</v>
      </c>
      <c r="F175" s="24">
        <v>9.75</v>
      </c>
      <c r="G175" s="7">
        <v>85.3</v>
      </c>
      <c r="H175" s="7">
        <v>9.5</v>
      </c>
    </row>
    <row r="176" spans="3:11" ht="15.75" customHeight="1" x14ac:dyDescent="0.2">
      <c r="C176" s="205">
        <v>42954</v>
      </c>
      <c r="D176" s="185">
        <v>0.38194444444444442</v>
      </c>
      <c r="E176">
        <v>14</v>
      </c>
      <c r="F176" s="24">
        <v>9.7100000000000009</v>
      </c>
      <c r="G176" s="7">
        <v>84.1</v>
      </c>
      <c r="H176" s="7">
        <v>9.1</v>
      </c>
    </row>
    <row r="177" spans="3:11" ht="15.75" customHeight="1" x14ac:dyDescent="0.2">
      <c r="C177" s="205">
        <v>42954</v>
      </c>
      <c r="D177" s="185">
        <v>0.38194444444444442</v>
      </c>
      <c r="E177">
        <v>15</v>
      </c>
      <c r="F177" s="24">
        <v>9.6999999999999993</v>
      </c>
      <c r="G177" s="7">
        <v>84.1</v>
      </c>
      <c r="H177" s="7">
        <v>9.1</v>
      </c>
    </row>
    <row r="178" spans="3:11" ht="15.75" customHeight="1" x14ac:dyDescent="0.2">
      <c r="F178" s="24"/>
      <c r="G178" s="7"/>
      <c r="H178" s="7"/>
    </row>
    <row r="179" spans="3:11" ht="15.75" customHeight="1" x14ac:dyDescent="0.2">
      <c r="C179" s="205">
        <v>42989</v>
      </c>
      <c r="D179" s="185">
        <v>0.41111111111111115</v>
      </c>
      <c r="F179" s="24"/>
      <c r="G179" s="7"/>
      <c r="H179" s="7"/>
      <c r="J179">
        <v>12</v>
      </c>
      <c r="K179">
        <v>13.5</v>
      </c>
    </row>
    <row r="180" spans="3:11" ht="15.75" customHeight="1" x14ac:dyDescent="0.2">
      <c r="C180" s="205">
        <v>42989</v>
      </c>
      <c r="D180" s="185">
        <v>0.41111111111111115</v>
      </c>
      <c r="E180">
        <v>0.1</v>
      </c>
      <c r="F180" s="24">
        <v>7.67</v>
      </c>
      <c r="G180" s="7">
        <v>85.4</v>
      </c>
      <c r="H180" s="7">
        <v>20.6</v>
      </c>
    </row>
    <row r="181" spans="3:11" ht="15.75" customHeight="1" x14ac:dyDescent="0.2">
      <c r="C181" s="205">
        <v>42989</v>
      </c>
      <c r="D181" s="185">
        <v>0.41111111111111115</v>
      </c>
      <c r="E181">
        <v>1</v>
      </c>
      <c r="F181" s="24">
        <v>7.67</v>
      </c>
      <c r="G181" s="7">
        <v>85.3</v>
      </c>
      <c r="H181" s="7">
        <v>20.6</v>
      </c>
    </row>
    <row r="182" spans="3:11" ht="15.75" customHeight="1" x14ac:dyDescent="0.2">
      <c r="C182" s="205">
        <v>42989</v>
      </c>
      <c r="D182" s="185">
        <v>0.41111111111111115</v>
      </c>
      <c r="E182">
        <v>2</v>
      </c>
      <c r="F182" s="24">
        <v>7.66</v>
      </c>
      <c r="G182" s="7">
        <v>85.2</v>
      </c>
      <c r="H182" s="7">
        <v>20.6</v>
      </c>
    </row>
    <row r="183" spans="3:11" ht="15.75" customHeight="1" x14ac:dyDescent="0.2">
      <c r="C183" s="205">
        <v>42989</v>
      </c>
      <c r="D183" s="185">
        <v>0.41111111111111115</v>
      </c>
      <c r="E183">
        <v>3</v>
      </c>
      <c r="F183" s="24">
        <v>7.65</v>
      </c>
      <c r="G183" s="7">
        <v>85.1</v>
      </c>
      <c r="H183" s="7">
        <v>20.6</v>
      </c>
    </row>
    <row r="184" spans="3:11" ht="15.75" customHeight="1" x14ac:dyDescent="0.2">
      <c r="C184" s="205">
        <v>42989</v>
      </c>
      <c r="D184" s="185">
        <v>0.41111111111111115</v>
      </c>
      <c r="E184">
        <v>4</v>
      </c>
      <c r="F184" s="24">
        <v>7.63</v>
      </c>
      <c r="G184" s="7">
        <v>85</v>
      </c>
      <c r="H184" s="7">
        <v>20.6</v>
      </c>
    </row>
    <row r="185" spans="3:11" ht="15.75" customHeight="1" x14ac:dyDescent="0.2">
      <c r="C185" s="205">
        <v>42989</v>
      </c>
      <c r="D185" s="185">
        <v>0.41111111111111115</v>
      </c>
      <c r="E185">
        <v>5</v>
      </c>
      <c r="F185" s="24">
        <v>7.62</v>
      </c>
      <c r="G185" s="7">
        <v>84.8</v>
      </c>
      <c r="H185" s="7">
        <v>20.6</v>
      </c>
    </row>
    <row r="186" spans="3:11" ht="15.75" customHeight="1" x14ac:dyDescent="0.2">
      <c r="C186" s="205">
        <v>42989</v>
      </c>
      <c r="D186" s="185">
        <v>0.41111111111111115</v>
      </c>
      <c r="E186">
        <v>6</v>
      </c>
      <c r="F186" s="24">
        <v>7.61</v>
      </c>
      <c r="G186" s="7">
        <v>84.7</v>
      </c>
      <c r="H186" s="7">
        <v>20.6</v>
      </c>
    </row>
    <row r="187" spans="3:11" ht="15.75" customHeight="1" x14ac:dyDescent="0.2">
      <c r="C187" s="205">
        <v>42989</v>
      </c>
      <c r="D187" s="185">
        <v>0.41111111111111115</v>
      </c>
      <c r="E187">
        <v>7</v>
      </c>
      <c r="F187" s="24">
        <v>7.6</v>
      </c>
      <c r="G187" s="7">
        <v>84.5</v>
      </c>
      <c r="H187" s="7">
        <v>20.6</v>
      </c>
    </row>
    <row r="188" spans="3:11" ht="15.75" customHeight="1" x14ac:dyDescent="0.2">
      <c r="C188" s="205">
        <v>42989</v>
      </c>
      <c r="D188" s="185">
        <v>0.41111111111111115</v>
      </c>
      <c r="E188">
        <v>8</v>
      </c>
      <c r="F188" s="24">
        <v>7.58</v>
      </c>
      <c r="G188" s="7">
        <v>84.4</v>
      </c>
      <c r="H188" s="7">
        <v>20.6</v>
      </c>
    </row>
    <row r="189" spans="3:11" ht="15.75" customHeight="1" x14ac:dyDescent="0.2">
      <c r="C189" s="205">
        <v>42989</v>
      </c>
      <c r="D189" s="185">
        <v>0.41111111111111115</v>
      </c>
      <c r="E189">
        <v>9</v>
      </c>
      <c r="F189" s="24">
        <v>7.57</v>
      </c>
      <c r="G189" s="7">
        <v>84.2</v>
      </c>
      <c r="H189" s="7">
        <v>20.6</v>
      </c>
    </row>
    <row r="190" spans="3:11" ht="15.75" customHeight="1" x14ac:dyDescent="0.2">
      <c r="C190" s="205">
        <v>42989</v>
      </c>
      <c r="D190" s="185">
        <v>0.41111111111111115</v>
      </c>
      <c r="E190">
        <v>10</v>
      </c>
      <c r="F190" s="24">
        <v>7.55</v>
      </c>
      <c r="G190" s="7">
        <v>84.1</v>
      </c>
      <c r="H190" s="7">
        <v>20.6</v>
      </c>
    </row>
    <row r="191" spans="3:11" ht="15.75" customHeight="1" x14ac:dyDescent="0.2">
      <c r="C191" s="205">
        <v>42989</v>
      </c>
      <c r="D191" s="185">
        <v>0.41111111111111115</v>
      </c>
      <c r="E191">
        <v>11</v>
      </c>
      <c r="F191" s="24">
        <v>7.78</v>
      </c>
      <c r="G191" s="7">
        <v>84.2</v>
      </c>
      <c r="H191" s="7">
        <v>19.2</v>
      </c>
    </row>
    <row r="192" spans="3:11" ht="15.75" customHeight="1" x14ac:dyDescent="0.2">
      <c r="C192" s="205">
        <v>42989</v>
      </c>
      <c r="D192" s="185">
        <v>0.41111111111111115</v>
      </c>
      <c r="E192">
        <v>12</v>
      </c>
      <c r="F192" s="24">
        <v>9.49</v>
      </c>
      <c r="G192" s="7">
        <v>88</v>
      </c>
      <c r="H192" s="7">
        <v>12</v>
      </c>
    </row>
    <row r="193" spans="3:11" ht="15.75" customHeight="1" x14ac:dyDescent="0.2">
      <c r="C193" s="205">
        <v>42989</v>
      </c>
      <c r="D193" s="185">
        <v>0.41111111111111115</v>
      </c>
      <c r="E193">
        <v>13</v>
      </c>
      <c r="F193" s="24">
        <v>9.49</v>
      </c>
      <c r="G193" s="7">
        <v>84.6</v>
      </c>
      <c r="H193" s="7">
        <v>10.4</v>
      </c>
    </row>
    <row r="194" spans="3:11" ht="15.75" customHeight="1" x14ac:dyDescent="0.2">
      <c r="C194" s="205">
        <v>42989</v>
      </c>
      <c r="D194" s="185">
        <v>0.41111111111111115</v>
      </c>
      <c r="E194">
        <v>14</v>
      </c>
      <c r="F194" s="24">
        <v>9.49</v>
      </c>
      <c r="G194" s="7">
        <v>82.3</v>
      </c>
      <c r="H194" s="7">
        <v>9.3000000000000007</v>
      </c>
    </row>
    <row r="195" spans="3:11" ht="15.75" customHeight="1" x14ac:dyDescent="0.2">
      <c r="C195" s="205">
        <v>42989</v>
      </c>
      <c r="D195" s="185">
        <v>0.41111111111111115</v>
      </c>
      <c r="E195">
        <v>15</v>
      </c>
      <c r="F195" s="24">
        <v>9.43</v>
      </c>
      <c r="G195" s="7">
        <v>81.7</v>
      </c>
      <c r="H195" s="7">
        <v>9.1</v>
      </c>
    </row>
    <row r="196" spans="3:11" ht="15.75" customHeight="1" x14ac:dyDescent="0.2">
      <c r="C196" s="205">
        <v>42989</v>
      </c>
      <c r="D196" s="185">
        <v>0.41111111111111115</v>
      </c>
      <c r="E196">
        <v>16</v>
      </c>
      <c r="F196" s="24">
        <v>9.42</v>
      </c>
      <c r="G196" s="7">
        <v>81.5</v>
      </c>
      <c r="H196" s="7">
        <v>9</v>
      </c>
    </row>
    <row r="197" spans="3:11" ht="15.75" customHeight="1" x14ac:dyDescent="0.2">
      <c r="F197" s="24"/>
      <c r="G197" s="7"/>
      <c r="H197" s="7"/>
    </row>
    <row r="198" spans="3:11" ht="15.75" customHeight="1" x14ac:dyDescent="0.2">
      <c r="C198" s="205">
        <v>43018</v>
      </c>
      <c r="D198" s="185">
        <v>0.37152777777777773</v>
      </c>
      <c r="F198" s="24"/>
      <c r="G198" s="7"/>
      <c r="H198" s="7"/>
      <c r="J198">
        <v>10</v>
      </c>
      <c r="K198">
        <v>13.5</v>
      </c>
    </row>
    <row r="199" spans="3:11" ht="15.75" customHeight="1" x14ac:dyDescent="0.2">
      <c r="C199" s="205">
        <v>43018</v>
      </c>
      <c r="D199" s="185">
        <v>0.38194444444444442</v>
      </c>
      <c r="E199">
        <v>0.1</v>
      </c>
      <c r="F199" s="24">
        <v>8.74</v>
      </c>
      <c r="G199" s="7">
        <v>84.1</v>
      </c>
      <c r="H199" s="7">
        <v>13.6</v>
      </c>
    </row>
    <row r="200" spans="3:11" ht="15.75" customHeight="1" x14ac:dyDescent="0.2">
      <c r="C200" s="205">
        <v>43018</v>
      </c>
      <c r="D200" s="185">
        <v>0.38194444444444442</v>
      </c>
      <c r="E200">
        <v>1</v>
      </c>
      <c r="F200" s="24">
        <v>8.67</v>
      </c>
      <c r="G200" s="7">
        <v>83.7</v>
      </c>
      <c r="H200" s="7">
        <v>13.8</v>
      </c>
    </row>
    <row r="201" spans="3:11" ht="15.75" customHeight="1" x14ac:dyDescent="0.2">
      <c r="C201" s="205">
        <v>43018</v>
      </c>
      <c r="D201" s="185">
        <v>0.38194444444444442</v>
      </c>
      <c r="E201">
        <v>2</v>
      </c>
      <c r="F201" s="24">
        <v>8.6199999999999992</v>
      </c>
      <c r="G201" s="7">
        <v>83.5</v>
      </c>
      <c r="H201" s="7">
        <v>13.9</v>
      </c>
    </row>
    <row r="202" spans="3:11" ht="15.75" customHeight="1" x14ac:dyDescent="0.2">
      <c r="C202" s="205">
        <v>43018</v>
      </c>
      <c r="D202" s="185">
        <v>0.38194444444444442</v>
      </c>
      <c r="E202">
        <v>3</v>
      </c>
      <c r="F202" s="24">
        <v>8.6</v>
      </c>
      <c r="G202" s="7">
        <v>83.2</v>
      </c>
      <c r="H202" s="7">
        <v>13.9</v>
      </c>
    </row>
    <row r="203" spans="3:11" ht="15.75" customHeight="1" x14ac:dyDescent="0.2">
      <c r="C203" s="205">
        <v>43018</v>
      </c>
      <c r="D203" s="185">
        <v>0.38194444444444442</v>
      </c>
      <c r="E203">
        <v>4</v>
      </c>
      <c r="F203" s="24">
        <v>8.5500000000000007</v>
      </c>
      <c r="G203" s="7">
        <v>83</v>
      </c>
      <c r="H203" s="7">
        <v>14</v>
      </c>
    </row>
    <row r="204" spans="3:11" ht="15.75" customHeight="1" x14ac:dyDescent="0.2">
      <c r="C204" s="205">
        <v>43018</v>
      </c>
      <c r="D204" s="185">
        <v>0.38194444444444442</v>
      </c>
      <c r="E204">
        <v>5</v>
      </c>
      <c r="F204" s="24">
        <v>8.5299999999999994</v>
      </c>
      <c r="G204" s="7">
        <v>82.8</v>
      </c>
      <c r="H204" s="7">
        <v>14</v>
      </c>
    </row>
    <row r="205" spans="3:11" ht="15.75" customHeight="1" x14ac:dyDescent="0.2">
      <c r="C205" s="205">
        <v>43018</v>
      </c>
      <c r="D205" s="185">
        <v>0.38194444444444442</v>
      </c>
      <c r="E205">
        <v>6</v>
      </c>
      <c r="F205" s="24">
        <v>8.52</v>
      </c>
      <c r="G205" s="7">
        <v>82.6</v>
      </c>
      <c r="H205" s="7">
        <v>14</v>
      </c>
    </row>
    <row r="206" spans="3:11" ht="15.75" customHeight="1" x14ac:dyDescent="0.2">
      <c r="C206" s="205">
        <v>43018</v>
      </c>
      <c r="D206" s="185">
        <v>0.38194444444444442</v>
      </c>
      <c r="E206">
        <v>7</v>
      </c>
      <c r="F206" s="24">
        <v>8.5</v>
      </c>
      <c r="G206" s="7">
        <v>82.5</v>
      </c>
      <c r="H206" s="7">
        <v>14</v>
      </c>
    </row>
    <row r="207" spans="3:11" ht="15.75" customHeight="1" x14ac:dyDescent="0.2">
      <c r="C207" s="205">
        <v>43018</v>
      </c>
      <c r="D207" s="185">
        <v>0.38194444444444442</v>
      </c>
      <c r="E207">
        <v>8</v>
      </c>
      <c r="F207" s="24">
        <v>8.49</v>
      </c>
      <c r="G207" s="7">
        <v>82.3</v>
      </c>
      <c r="H207" s="7">
        <v>14</v>
      </c>
    </row>
    <row r="208" spans="3:11" ht="15.75" customHeight="1" x14ac:dyDescent="0.2">
      <c r="C208" s="205">
        <v>43018</v>
      </c>
      <c r="D208" s="185">
        <v>0.38194444444444442</v>
      </c>
      <c r="E208">
        <v>9</v>
      </c>
      <c r="F208" s="24">
        <v>8.4700000000000006</v>
      </c>
      <c r="G208" s="7">
        <v>82.2</v>
      </c>
      <c r="H208" s="7">
        <v>14</v>
      </c>
    </row>
    <row r="209" spans="2:10" ht="15.75" customHeight="1" x14ac:dyDescent="0.2">
      <c r="C209" s="205">
        <v>43018</v>
      </c>
      <c r="D209" s="185">
        <v>0.38194444444444442</v>
      </c>
      <c r="E209">
        <v>10</v>
      </c>
      <c r="F209" s="24">
        <v>8.4499999999999993</v>
      </c>
      <c r="G209" s="7">
        <v>82</v>
      </c>
      <c r="H209" s="7">
        <v>14</v>
      </c>
    </row>
    <row r="210" spans="2:10" ht="15.75" customHeight="1" x14ac:dyDescent="0.2">
      <c r="C210" s="205">
        <v>43018</v>
      </c>
      <c r="D210" s="185">
        <v>0.38194444444444442</v>
      </c>
      <c r="E210">
        <v>11</v>
      </c>
      <c r="F210" s="24">
        <v>8.44</v>
      </c>
      <c r="G210" s="7">
        <v>81.8</v>
      </c>
      <c r="H210" s="7">
        <v>14</v>
      </c>
    </row>
    <row r="211" spans="2:10" ht="15.75" customHeight="1" x14ac:dyDescent="0.2">
      <c r="C211" s="205">
        <v>43018</v>
      </c>
      <c r="D211" s="185">
        <v>0.38194444444444442</v>
      </c>
      <c r="E211">
        <v>12</v>
      </c>
      <c r="F211" s="24">
        <v>8.4700000000000006</v>
      </c>
      <c r="G211" s="7">
        <v>81.8</v>
      </c>
      <c r="H211" s="7">
        <v>13.8</v>
      </c>
    </row>
    <row r="212" spans="2:10" ht="15.75" customHeight="1" x14ac:dyDescent="0.2">
      <c r="C212" s="205">
        <v>43018</v>
      </c>
      <c r="D212" s="185">
        <v>0.38194444444444442</v>
      </c>
      <c r="E212">
        <v>13</v>
      </c>
      <c r="F212" s="24">
        <v>8.7899999999999991</v>
      </c>
      <c r="G212" s="7">
        <v>82.4</v>
      </c>
      <c r="H212" s="7">
        <v>12.4</v>
      </c>
    </row>
    <row r="213" spans="2:10" ht="15.75" customHeight="1" x14ac:dyDescent="0.2">
      <c r="F213" s="24"/>
      <c r="G213" s="7"/>
      <c r="H213" s="7"/>
    </row>
    <row r="214" spans="2:10" ht="16" x14ac:dyDescent="0.2">
      <c r="B214" t="s">
        <v>599</v>
      </c>
      <c r="C214" s="205">
        <v>34535</v>
      </c>
      <c r="D214" s="185">
        <v>0.41666666666666669</v>
      </c>
      <c r="F214" s="221"/>
      <c r="G214" s="191"/>
      <c r="H214" s="191"/>
      <c r="J214" t="s">
        <v>599</v>
      </c>
    </row>
    <row r="215" spans="2:10" ht="16" x14ac:dyDescent="0.2">
      <c r="C215" s="205">
        <v>34535</v>
      </c>
      <c r="D215" s="185">
        <v>0.41666666666666669</v>
      </c>
      <c r="E215">
        <v>1</v>
      </c>
      <c r="F215" s="221">
        <v>8.9</v>
      </c>
      <c r="G215" s="191"/>
      <c r="H215" s="191">
        <v>21.9</v>
      </c>
    </row>
    <row r="216" spans="2:10" ht="16" x14ac:dyDescent="0.2">
      <c r="F216" s="221"/>
      <c r="G216" s="191"/>
      <c r="H216" s="191"/>
    </row>
    <row r="217" spans="2:10" ht="16" x14ac:dyDescent="0.2">
      <c r="B217">
        <v>9.9</v>
      </c>
      <c r="C217" s="205">
        <v>34255</v>
      </c>
      <c r="D217" s="185">
        <v>0.3888888888888889</v>
      </c>
      <c r="F217" s="221"/>
      <c r="G217" s="191"/>
      <c r="H217" s="191"/>
      <c r="J217">
        <v>13.3</v>
      </c>
    </row>
    <row r="218" spans="2:10" ht="16" x14ac:dyDescent="0.2">
      <c r="C218" s="205">
        <v>34255</v>
      </c>
      <c r="D218" s="185">
        <v>0.3888888888888889</v>
      </c>
      <c r="E218">
        <v>1</v>
      </c>
      <c r="F218" s="221">
        <v>9.1999999999999993</v>
      </c>
      <c r="G218" s="191"/>
      <c r="H218" s="191">
        <v>14.6</v>
      </c>
    </row>
    <row r="219" spans="2:10" ht="16" x14ac:dyDescent="0.2">
      <c r="C219" s="205">
        <v>34255</v>
      </c>
      <c r="D219" s="185">
        <v>0.3888888888888889</v>
      </c>
      <c r="E219">
        <v>9</v>
      </c>
      <c r="F219" s="221">
        <v>9.1</v>
      </c>
      <c r="G219" s="191"/>
      <c r="H219" s="191">
        <v>14.7</v>
      </c>
    </row>
    <row r="220" spans="2:10" ht="16" x14ac:dyDescent="0.2">
      <c r="F220" s="221"/>
      <c r="G220" s="191"/>
      <c r="H220" s="191"/>
    </row>
    <row r="221" spans="2:10" ht="16" x14ac:dyDescent="0.2">
      <c r="B221">
        <v>6.8</v>
      </c>
      <c r="C221" s="205">
        <v>34227</v>
      </c>
      <c r="D221" s="185">
        <v>0.41666666666666669</v>
      </c>
      <c r="F221" s="221"/>
      <c r="G221" s="191"/>
      <c r="H221" s="191"/>
      <c r="J221">
        <v>6.8</v>
      </c>
    </row>
    <row r="222" spans="2:10" ht="16" x14ac:dyDescent="0.2">
      <c r="C222" s="205">
        <v>34227</v>
      </c>
      <c r="D222" s="185">
        <v>0.41666666666666669</v>
      </c>
      <c r="E222">
        <v>1</v>
      </c>
      <c r="F222" s="221">
        <v>8.52</v>
      </c>
      <c r="G222" s="191"/>
      <c r="H222" s="191">
        <v>17.43</v>
      </c>
    </row>
    <row r="223" spans="2:10" ht="16" x14ac:dyDescent="0.2">
      <c r="C223" s="205">
        <v>34227</v>
      </c>
      <c r="D223" s="185">
        <v>0.41666666666666669</v>
      </c>
      <c r="E223">
        <v>5.8</v>
      </c>
      <c r="F223" s="221">
        <v>8.4600000000000009</v>
      </c>
      <c r="G223" s="191"/>
      <c r="H223" s="191">
        <v>17.510000000000002</v>
      </c>
    </row>
    <row r="224" spans="2:10" ht="16" x14ac:dyDescent="0.2">
      <c r="F224" s="221"/>
      <c r="G224" s="191"/>
      <c r="H224" s="191"/>
    </row>
    <row r="225" spans="2:10" ht="16" x14ac:dyDescent="0.2">
      <c r="B225">
        <v>12.3</v>
      </c>
      <c r="C225" s="205">
        <v>34199</v>
      </c>
      <c r="D225" s="185">
        <v>0.39583333333333331</v>
      </c>
      <c r="F225" s="221"/>
      <c r="G225" s="191"/>
      <c r="H225" s="191"/>
      <c r="J225">
        <v>12</v>
      </c>
    </row>
    <row r="226" spans="2:10" ht="16" x14ac:dyDescent="0.2">
      <c r="C226" s="205">
        <v>34199</v>
      </c>
      <c r="D226" s="185">
        <v>0.39583333333333331</v>
      </c>
      <c r="E226">
        <v>1</v>
      </c>
      <c r="F226" s="221">
        <v>8.5</v>
      </c>
      <c r="G226" s="191"/>
      <c r="H226" s="191">
        <v>19.3</v>
      </c>
    </row>
    <row r="227" spans="2:10" ht="16" x14ac:dyDescent="0.2">
      <c r="C227" s="205">
        <v>34199</v>
      </c>
      <c r="D227" s="185">
        <v>0.39583333333333331</v>
      </c>
      <c r="E227">
        <v>11</v>
      </c>
      <c r="F227" s="221">
        <v>10</v>
      </c>
      <c r="G227" s="191"/>
      <c r="H227" s="191">
        <v>11.6</v>
      </c>
    </row>
    <row r="228" spans="2:10" ht="16" x14ac:dyDescent="0.2">
      <c r="F228" s="221"/>
      <c r="G228" s="191"/>
      <c r="H228" s="191"/>
    </row>
    <row r="229" spans="2:10" ht="16" x14ac:dyDescent="0.2">
      <c r="B229">
        <v>8.4</v>
      </c>
      <c r="C229" s="205">
        <v>34178</v>
      </c>
      <c r="D229" s="185">
        <v>0.41666666666666669</v>
      </c>
      <c r="F229" s="221"/>
      <c r="G229" s="191"/>
      <c r="H229" s="191"/>
      <c r="J229">
        <v>11.4</v>
      </c>
    </row>
    <row r="230" spans="2:10" ht="16" x14ac:dyDescent="0.2">
      <c r="C230" s="205">
        <v>34178</v>
      </c>
      <c r="D230" s="185">
        <v>0.41666666666666669</v>
      </c>
      <c r="E230">
        <v>1</v>
      </c>
      <c r="F230" s="221">
        <v>9.1</v>
      </c>
      <c r="G230" s="191"/>
      <c r="H230" s="191">
        <v>19.7</v>
      </c>
    </row>
    <row r="231" spans="2:10" ht="16" x14ac:dyDescent="0.2">
      <c r="C231" s="205">
        <v>34178</v>
      </c>
      <c r="D231" s="185">
        <v>0.41666666666666669</v>
      </c>
      <c r="E231">
        <v>8</v>
      </c>
      <c r="F231" s="221">
        <v>9.6999999999999993</v>
      </c>
      <c r="G231" s="191"/>
      <c r="H231" s="191">
        <v>16.100000000000001</v>
      </c>
    </row>
    <row r="232" spans="2:10" ht="16" x14ac:dyDescent="0.2">
      <c r="F232" s="221"/>
      <c r="G232" s="191"/>
      <c r="H232" s="191"/>
    </row>
    <row r="233" spans="2:10" ht="16" x14ac:dyDescent="0.2">
      <c r="F233" s="221"/>
      <c r="G233" s="191"/>
      <c r="H233" s="191"/>
    </row>
    <row r="234" spans="2:10" ht="16" x14ac:dyDescent="0.2">
      <c r="B234">
        <v>8.5</v>
      </c>
      <c r="C234" s="205">
        <v>34158</v>
      </c>
      <c r="D234" s="185">
        <v>0.375</v>
      </c>
      <c r="F234" s="221"/>
      <c r="G234" s="191"/>
      <c r="H234" s="191"/>
      <c r="J234">
        <v>7.5</v>
      </c>
    </row>
    <row r="235" spans="2:10" ht="16" x14ac:dyDescent="0.2">
      <c r="C235" s="205">
        <v>34158</v>
      </c>
      <c r="D235" s="185">
        <v>0.375</v>
      </c>
      <c r="E235">
        <v>0</v>
      </c>
      <c r="F235" s="221">
        <v>9.1999999999999993</v>
      </c>
      <c r="G235" s="191"/>
      <c r="H235" s="191">
        <v>17</v>
      </c>
    </row>
    <row r="236" spans="2:10" ht="16" x14ac:dyDescent="0.2">
      <c r="C236" s="205">
        <v>34158</v>
      </c>
      <c r="D236" s="185">
        <v>0.375</v>
      </c>
      <c r="E236">
        <v>2</v>
      </c>
      <c r="F236" s="221">
        <v>9.1999999999999993</v>
      </c>
      <c r="G236" s="191"/>
      <c r="H236" s="191">
        <v>16.899999999999999</v>
      </c>
    </row>
    <row r="237" spans="2:10" ht="16" x14ac:dyDescent="0.2">
      <c r="C237" s="205">
        <v>34158</v>
      </c>
      <c r="D237" s="185">
        <v>0.375</v>
      </c>
      <c r="E237">
        <v>4</v>
      </c>
      <c r="F237" s="221">
        <v>9.1999999999999993</v>
      </c>
      <c r="G237" s="191"/>
      <c r="H237" s="191">
        <v>16.8</v>
      </c>
    </row>
    <row r="238" spans="2:10" ht="16" x14ac:dyDescent="0.2">
      <c r="C238" s="205">
        <v>34158</v>
      </c>
      <c r="D238" s="185">
        <v>0.375</v>
      </c>
      <c r="E238">
        <v>6</v>
      </c>
      <c r="F238" s="221">
        <v>9.1999999999999993</v>
      </c>
      <c r="G238" s="191"/>
      <c r="H238" s="191">
        <v>16.5</v>
      </c>
    </row>
    <row r="239" spans="2:10" ht="16" x14ac:dyDescent="0.2">
      <c r="C239" s="205">
        <v>34158</v>
      </c>
      <c r="D239" s="185">
        <v>0.375</v>
      </c>
      <c r="E239">
        <v>8</v>
      </c>
      <c r="F239" s="221">
        <v>9.3000000000000007</v>
      </c>
      <c r="G239" s="191"/>
      <c r="H239" s="191">
        <v>15.8</v>
      </c>
    </row>
    <row r="240" spans="2:10" ht="16" x14ac:dyDescent="0.2">
      <c r="F240" s="221"/>
      <c r="G240" s="191"/>
      <c r="H240" s="191"/>
    </row>
    <row r="241" spans="2:11" ht="16" x14ac:dyDescent="0.2">
      <c r="F241" s="221"/>
      <c r="G241" s="191"/>
      <c r="H241" s="191"/>
    </row>
    <row r="242" spans="2:11" ht="16" x14ac:dyDescent="0.2">
      <c r="B242">
        <v>11.7</v>
      </c>
      <c r="C242" s="205">
        <v>34135</v>
      </c>
      <c r="D242" s="185">
        <v>0.54166666666666663</v>
      </c>
      <c r="F242" s="221"/>
      <c r="G242" s="191"/>
      <c r="H242" s="191"/>
      <c r="J242">
        <v>6.5</v>
      </c>
      <c r="K242" t="s">
        <v>604</v>
      </c>
    </row>
    <row r="243" spans="2:11" ht="16" x14ac:dyDescent="0.2">
      <c r="C243" s="205">
        <v>34135</v>
      </c>
      <c r="E243">
        <v>1</v>
      </c>
      <c r="F243" s="221">
        <v>9.6</v>
      </c>
      <c r="G243" s="191"/>
      <c r="H243" s="191">
        <v>15.3</v>
      </c>
    </row>
    <row r="244" spans="2:11" ht="16" x14ac:dyDescent="0.2">
      <c r="C244" s="205">
        <v>34135</v>
      </c>
      <c r="E244">
        <v>11</v>
      </c>
      <c r="F244" s="221">
        <v>11.4</v>
      </c>
      <c r="G244" s="191"/>
      <c r="H244" s="191">
        <v>10.199999999999999</v>
      </c>
    </row>
    <row r="245" spans="2:11" ht="16" x14ac:dyDescent="0.2">
      <c r="F245" s="221"/>
      <c r="G245" s="191"/>
      <c r="H245" s="191"/>
    </row>
    <row r="246" spans="2:11" ht="16" x14ac:dyDescent="0.2">
      <c r="B246">
        <v>14.7</v>
      </c>
      <c r="C246" s="205">
        <v>34107</v>
      </c>
      <c r="D246" s="185">
        <v>0.58333333333333337</v>
      </c>
      <c r="F246" s="221"/>
      <c r="G246" s="191"/>
      <c r="H246" s="191"/>
      <c r="J246">
        <v>7.2</v>
      </c>
    </row>
    <row r="247" spans="2:11" ht="16" x14ac:dyDescent="0.2">
      <c r="C247" s="205">
        <v>34107</v>
      </c>
      <c r="D247" s="185">
        <v>0.58333333333333337</v>
      </c>
      <c r="E247">
        <v>1</v>
      </c>
      <c r="F247" s="221">
        <v>11.9</v>
      </c>
      <c r="G247" s="191"/>
      <c r="H247" s="191">
        <v>15.9</v>
      </c>
    </row>
    <row r="248" spans="2:11" ht="16" x14ac:dyDescent="0.2">
      <c r="C248" s="205">
        <v>34107</v>
      </c>
      <c r="D248" s="185">
        <v>0.58333333333333337</v>
      </c>
      <c r="E248">
        <v>14</v>
      </c>
      <c r="F248" s="221">
        <v>13.1</v>
      </c>
      <c r="G248" s="191"/>
      <c r="H248" s="191">
        <v>6.5</v>
      </c>
    </row>
    <row r="249" spans="2:11" ht="16" x14ac:dyDescent="0.2">
      <c r="F249" s="221"/>
      <c r="G249" s="191"/>
      <c r="H249" s="191"/>
    </row>
    <row r="250" spans="2:11" ht="16" x14ac:dyDescent="0.2">
      <c r="F250" s="221"/>
      <c r="G250" s="191"/>
      <c r="H250" s="191"/>
    </row>
    <row r="251" spans="2:11" ht="16" x14ac:dyDescent="0.2">
      <c r="B251">
        <v>7.2</v>
      </c>
      <c r="C251" s="205">
        <v>34082</v>
      </c>
      <c r="D251" s="185">
        <v>0.53611111111111109</v>
      </c>
      <c r="F251" s="221"/>
      <c r="G251" s="191"/>
      <c r="H251" s="191"/>
      <c r="J251">
        <v>9</v>
      </c>
    </row>
    <row r="252" spans="2:11" ht="16" x14ac:dyDescent="0.2">
      <c r="C252" s="205">
        <v>34082</v>
      </c>
      <c r="E252">
        <v>1</v>
      </c>
      <c r="F252" s="221" t="s">
        <v>599</v>
      </c>
      <c r="G252" s="191"/>
      <c r="H252" s="191" t="s">
        <v>599</v>
      </c>
    </row>
    <row r="253" spans="2:11" ht="15.75" customHeight="1" x14ac:dyDescent="0.2">
      <c r="F253" s="7"/>
    </row>
    <row r="254" spans="2:11" ht="15.75" customHeight="1" x14ac:dyDescent="0.2">
      <c r="F254" s="24"/>
      <c r="G254" s="7"/>
      <c r="H254" s="7"/>
    </row>
    <row r="255" spans="2:11" ht="15.75" customHeight="1" x14ac:dyDescent="0.2">
      <c r="F255" s="24"/>
      <c r="G255" s="7"/>
      <c r="H255" s="7"/>
    </row>
    <row r="256" spans="2:11" ht="15.75" customHeight="1" x14ac:dyDescent="0.2">
      <c r="F256" s="24"/>
      <c r="G256" s="7"/>
      <c r="H256" s="7"/>
    </row>
    <row r="257" spans="6:8" ht="15.75" customHeight="1" x14ac:dyDescent="0.2">
      <c r="F257" s="24"/>
      <c r="G257" s="7"/>
      <c r="H257" s="7"/>
    </row>
    <row r="258" spans="6:8" ht="15.75" customHeight="1" x14ac:dyDescent="0.2">
      <c r="F258" s="24"/>
      <c r="G258" s="7"/>
      <c r="H258" s="7"/>
    </row>
    <row r="259" spans="6:8" ht="15.75" customHeight="1" x14ac:dyDescent="0.2">
      <c r="F259" s="24"/>
      <c r="G259" s="7"/>
      <c r="H259" s="7"/>
    </row>
    <row r="260" spans="6:8" ht="15.75" customHeight="1" x14ac:dyDescent="0.2">
      <c r="F260" s="24"/>
      <c r="G260" s="7"/>
      <c r="H260" s="7"/>
    </row>
    <row r="261" spans="6:8" ht="15.75" customHeight="1" x14ac:dyDescent="0.2">
      <c r="F261" s="24"/>
      <c r="G261" s="7"/>
      <c r="H261" s="7"/>
    </row>
    <row r="262" spans="6:8" ht="15.75" customHeight="1" x14ac:dyDescent="0.2">
      <c r="F262" s="24"/>
      <c r="G262" s="7"/>
      <c r="H262" s="7"/>
    </row>
    <row r="263" spans="6:8" ht="15.75" customHeight="1" x14ac:dyDescent="0.2">
      <c r="F263" s="24"/>
      <c r="G263" s="7"/>
      <c r="H263" s="7"/>
    </row>
    <row r="264" spans="6:8" ht="15.75" customHeight="1" x14ac:dyDescent="0.2">
      <c r="F264" s="24"/>
      <c r="G264" s="7"/>
      <c r="H264" s="7"/>
    </row>
    <row r="265" spans="6:8" ht="15.75" customHeight="1" x14ac:dyDescent="0.2">
      <c r="F265" s="24"/>
      <c r="G265" s="7"/>
      <c r="H265" s="7"/>
    </row>
    <row r="266" spans="6:8" ht="15.75" customHeight="1" x14ac:dyDescent="0.2">
      <c r="F266" s="24"/>
      <c r="G266" s="7"/>
      <c r="H266" s="7"/>
    </row>
    <row r="267" spans="6:8" ht="15.75" customHeight="1" x14ac:dyDescent="0.2">
      <c r="F267" s="24"/>
      <c r="G267" s="7"/>
      <c r="H267" s="7"/>
    </row>
    <row r="268" spans="6:8" ht="15.75" customHeight="1" x14ac:dyDescent="0.2">
      <c r="F268" s="24"/>
      <c r="G268" s="7"/>
      <c r="H268" s="7"/>
    </row>
    <row r="269" spans="6:8" ht="15.75" customHeight="1" x14ac:dyDescent="0.2">
      <c r="F269" s="24"/>
      <c r="G269" s="7"/>
      <c r="H269" s="7"/>
    </row>
    <row r="270" spans="6:8" ht="15.75" customHeight="1" x14ac:dyDescent="0.2">
      <c r="F270" s="24"/>
      <c r="G270" s="7"/>
      <c r="H270" s="7"/>
    </row>
    <row r="271" spans="6:8" ht="15.75" customHeight="1" x14ac:dyDescent="0.2">
      <c r="F271" s="24"/>
      <c r="G271" s="7"/>
      <c r="H271" s="7"/>
    </row>
    <row r="272" spans="6:8" ht="15.75" customHeight="1" x14ac:dyDescent="0.2">
      <c r="F272" s="24"/>
      <c r="G272" s="7"/>
      <c r="H272" s="7"/>
    </row>
    <row r="273" spans="6:8" ht="15.75" customHeight="1" x14ac:dyDescent="0.2">
      <c r="F273" s="24"/>
      <c r="G273" s="7"/>
      <c r="H273" s="7"/>
    </row>
    <row r="274" spans="6:8" ht="15.75" customHeight="1" x14ac:dyDescent="0.2">
      <c r="F274" s="24"/>
      <c r="G274" s="7"/>
      <c r="H274" s="7"/>
    </row>
    <row r="275" spans="6:8" ht="15.75" customHeight="1" x14ac:dyDescent="0.2">
      <c r="F275" s="24"/>
      <c r="G275" s="7"/>
      <c r="H275" s="7"/>
    </row>
    <row r="276" spans="6:8" ht="15.75" customHeight="1" x14ac:dyDescent="0.2">
      <c r="F276" s="24"/>
      <c r="G276" s="7"/>
      <c r="H276" s="7"/>
    </row>
    <row r="277" spans="6:8" ht="15.75" customHeight="1" x14ac:dyDescent="0.2">
      <c r="F277" s="24"/>
      <c r="G277" s="7"/>
      <c r="H277" s="7"/>
    </row>
    <row r="278" spans="6:8" ht="15.75" customHeight="1" x14ac:dyDescent="0.2">
      <c r="F278" s="24"/>
      <c r="G278" s="7"/>
      <c r="H278" s="7"/>
    </row>
    <row r="279" spans="6:8" ht="15.75" customHeight="1" x14ac:dyDescent="0.2">
      <c r="F279" s="24"/>
      <c r="G279" s="7"/>
      <c r="H279" s="7"/>
    </row>
    <row r="280" spans="6:8" ht="15.75" customHeight="1" x14ac:dyDescent="0.2">
      <c r="F280" s="24"/>
      <c r="G280" s="7"/>
      <c r="H280" s="7"/>
    </row>
    <row r="281" spans="6:8" ht="15.75" customHeight="1" x14ac:dyDescent="0.2">
      <c r="F281" s="24"/>
      <c r="G281" s="7"/>
      <c r="H281" s="7"/>
    </row>
    <row r="282" spans="6:8" ht="15.75" customHeight="1" x14ac:dyDescent="0.2">
      <c r="F282" s="24"/>
      <c r="G282" s="7"/>
      <c r="H282" s="7"/>
    </row>
    <row r="283" spans="6:8" ht="15.75" customHeight="1" x14ac:dyDescent="0.2">
      <c r="F283" s="24"/>
      <c r="G283" s="7"/>
      <c r="H283" s="7"/>
    </row>
    <row r="284" spans="6:8" ht="15.75" customHeight="1" x14ac:dyDescent="0.2">
      <c r="F284" s="24"/>
      <c r="G284" s="7"/>
      <c r="H284" s="7"/>
    </row>
    <row r="285" spans="6:8" ht="15.75" customHeight="1" x14ac:dyDescent="0.2">
      <c r="F285" s="24"/>
      <c r="G285" s="7"/>
      <c r="H285" s="7"/>
    </row>
    <row r="286" spans="6:8" ht="15.75" customHeight="1" x14ac:dyDescent="0.2">
      <c r="F286" s="24"/>
      <c r="G286" s="7"/>
      <c r="H286" s="7"/>
    </row>
    <row r="287" spans="6:8" ht="15.75" customHeight="1" x14ac:dyDescent="0.2">
      <c r="F287" s="24"/>
      <c r="G287" s="7"/>
      <c r="H287" s="7"/>
    </row>
    <row r="288" spans="6:8" ht="15.75" customHeight="1" x14ac:dyDescent="0.2">
      <c r="F288" s="24"/>
      <c r="G288" s="7"/>
      <c r="H288" s="7"/>
    </row>
    <row r="289" spans="6:8" ht="15.75" customHeight="1" x14ac:dyDescent="0.2">
      <c r="F289" s="24"/>
      <c r="G289" s="7"/>
      <c r="H289" s="7"/>
    </row>
    <row r="290" spans="6:8" ht="15.75" customHeight="1" x14ac:dyDescent="0.2">
      <c r="F290" s="24"/>
      <c r="G290" s="7"/>
      <c r="H290" s="7"/>
    </row>
    <row r="291" spans="6:8" ht="15.75" customHeight="1" x14ac:dyDescent="0.2">
      <c r="F291" s="24"/>
      <c r="G291" s="7"/>
      <c r="H291" s="7"/>
    </row>
    <row r="292" spans="6:8" ht="15.75" customHeight="1" x14ac:dyDescent="0.2">
      <c r="F292" s="24"/>
      <c r="G292" s="7"/>
      <c r="H292" s="7"/>
    </row>
    <row r="293" spans="6:8" ht="15.75" customHeight="1" x14ac:dyDescent="0.2">
      <c r="F293" s="24"/>
      <c r="G293" s="7"/>
      <c r="H293" s="7"/>
    </row>
    <row r="294" spans="6:8" ht="15.75" customHeight="1" x14ac:dyDescent="0.2">
      <c r="F294" s="24"/>
      <c r="G294" s="7"/>
      <c r="H294" s="7"/>
    </row>
    <row r="295" spans="6:8" ht="15.75" customHeight="1" x14ac:dyDescent="0.2">
      <c r="F295" s="24"/>
      <c r="G295" s="7"/>
      <c r="H295" s="7"/>
    </row>
    <row r="296" spans="6:8" ht="15.75" customHeight="1" x14ac:dyDescent="0.2">
      <c r="F296" s="24"/>
      <c r="G296" s="7"/>
      <c r="H296" s="7"/>
    </row>
    <row r="297" spans="6:8" ht="15.75" customHeight="1" x14ac:dyDescent="0.2">
      <c r="F297" s="24"/>
      <c r="G297" s="7"/>
      <c r="H297" s="7"/>
    </row>
    <row r="298" spans="6:8" ht="15.75" customHeight="1" x14ac:dyDescent="0.2">
      <c r="F298" s="24"/>
      <c r="G298" s="7"/>
      <c r="H298" s="7"/>
    </row>
    <row r="299" spans="6:8" ht="15.75" customHeight="1" x14ac:dyDescent="0.2">
      <c r="F299" s="24"/>
      <c r="G299" s="7"/>
      <c r="H299" s="7"/>
    </row>
    <row r="300" spans="6:8" ht="15.75" customHeight="1" x14ac:dyDescent="0.2">
      <c r="F300" s="24"/>
      <c r="G300" s="7"/>
      <c r="H300" s="7"/>
    </row>
    <row r="301" spans="6:8" ht="15.75" customHeight="1" x14ac:dyDescent="0.2">
      <c r="F301" s="24"/>
      <c r="G301" s="7"/>
      <c r="H301" s="7"/>
    </row>
    <row r="302" spans="6:8" ht="15.75" customHeight="1" x14ac:dyDescent="0.2">
      <c r="F302" s="24"/>
      <c r="G302" s="7"/>
      <c r="H302" s="7"/>
    </row>
    <row r="303" spans="6:8" ht="15.75" customHeight="1" x14ac:dyDescent="0.2">
      <c r="F303" s="24"/>
      <c r="G303" s="7"/>
      <c r="H303" s="7"/>
    </row>
    <row r="304" spans="6:8" ht="15.75" customHeight="1" x14ac:dyDescent="0.2">
      <c r="F304" s="24"/>
      <c r="G304" s="7"/>
      <c r="H304" s="7"/>
    </row>
    <row r="305" spans="6:8" ht="15.75" customHeight="1" x14ac:dyDescent="0.2">
      <c r="F305" s="24"/>
      <c r="G305" s="7"/>
      <c r="H305" s="7"/>
    </row>
    <row r="306" spans="6:8" ht="15.75" customHeight="1" x14ac:dyDescent="0.2">
      <c r="F306" s="24"/>
      <c r="G306" s="7"/>
      <c r="H306" s="7"/>
    </row>
    <row r="307" spans="6:8" ht="15.75" customHeight="1" x14ac:dyDescent="0.2">
      <c r="F307" s="24"/>
      <c r="G307" s="7"/>
      <c r="H307" s="7"/>
    </row>
    <row r="308" spans="6:8" ht="15.75" customHeight="1" x14ac:dyDescent="0.2">
      <c r="F308" s="24"/>
      <c r="G308" s="7"/>
      <c r="H308" s="7"/>
    </row>
    <row r="309" spans="6:8" ht="15.75" customHeight="1" x14ac:dyDescent="0.2">
      <c r="F309" s="24"/>
      <c r="G309" s="7"/>
      <c r="H309" s="7"/>
    </row>
    <row r="310" spans="6:8" ht="15.75" customHeight="1" x14ac:dyDescent="0.2">
      <c r="F310" s="24"/>
      <c r="G310" s="7"/>
      <c r="H310" s="7"/>
    </row>
    <row r="311" spans="6:8" ht="15.75" customHeight="1" x14ac:dyDescent="0.2">
      <c r="F311" s="24"/>
      <c r="G311" s="7"/>
      <c r="H311" s="7"/>
    </row>
    <row r="312" spans="6:8" ht="15.75" customHeight="1" x14ac:dyDescent="0.2">
      <c r="F312" s="24"/>
      <c r="G312" s="7"/>
      <c r="H312" s="7"/>
    </row>
    <row r="313" spans="6:8" ht="15.75" customHeight="1" x14ac:dyDescent="0.2">
      <c r="F313" s="24"/>
      <c r="G313" s="7"/>
      <c r="H313" s="7"/>
    </row>
    <row r="314" spans="6:8" ht="15.75" customHeight="1" x14ac:dyDescent="0.2">
      <c r="F314" s="24"/>
      <c r="G314" s="7"/>
      <c r="H314" s="7"/>
    </row>
    <row r="315" spans="6:8" ht="15.75" customHeight="1" x14ac:dyDescent="0.2">
      <c r="F315" s="24"/>
      <c r="G315" s="7"/>
      <c r="H315" s="7"/>
    </row>
    <row r="316" spans="6:8" ht="15.75" customHeight="1" x14ac:dyDescent="0.2">
      <c r="F316" s="24"/>
      <c r="G316" s="7"/>
      <c r="H316" s="7"/>
    </row>
    <row r="317" spans="6:8" ht="15.75" customHeight="1" x14ac:dyDescent="0.2">
      <c r="F317" s="24"/>
      <c r="G317" s="7"/>
      <c r="H317" s="7"/>
    </row>
    <row r="318" spans="6:8" ht="15.75" customHeight="1" x14ac:dyDescent="0.2">
      <c r="F318" s="24"/>
      <c r="G318" s="7"/>
      <c r="H318" s="7"/>
    </row>
    <row r="319" spans="6:8" ht="15.75" customHeight="1" x14ac:dyDescent="0.2">
      <c r="F319" s="24"/>
      <c r="G319" s="7"/>
      <c r="H319" s="7"/>
    </row>
    <row r="320" spans="6:8" ht="15.75" customHeight="1" x14ac:dyDescent="0.2">
      <c r="F320" s="24"/>
      <c r="G320" s="7"/>
      <c r="H320" s="7"/>
    </row>
    <row r="321" spans="6:8" ht="15.75" customHeight="1" x14ac:dyDescent="0.2">
      <c r="F321" s="24"/>
      <c r="G321" s="7"/>
      <c r="H321" s="7"/>
    </row>
    <row r="322" spans="6:8" ht="15.75" customHeight="1" x14ac:dyDescent="0.2">
      <c r="F322" s="24"/>
      <c r="G322" s="7"/>
      <c r="H322" s="7"/>
    </row>
    <row r="323" spans="6:8" ht="15.75" customHeight="1" x14ac:dyDescent="0.2">
      <c r="F323" s="24"/>
      <c r="G323" s="7"/>
      <c r="H323" s="7"/>
    </row>
    <row r="324" spans="6:8" ht="15.75" customHeight="1" x14ac:dyDescent="0.2">
      <c r="F324" s="24"/>
      <c r="G324" s="7"/>
      <c r="H324" s="7"/>
    </row>
    <row r="325" spans="6:8" ht="15.75" customHeight="1" x14ac:dyDescent="0.2">
      <c r="F325" s="24"/>
      <c r="G325" s="7"/>
      <c r="H325" s="7"/>
    </row>
    <row r="326" spans="6:8" ht="15.75" customHeight="1" x14ac:dyDescent="0.2">
      <c r="F326" s="24"/>
      <c r="G326" s="7"/>
      <c r="H326" s="7"/>
    </row>
    <row r="327" spans="6:8" ht="15.75" customHeight="1" x14ac:dyDescent="0.2">
      <c r="F327" s="24"/>
      <c r="G327" s="7"/>
      <c r="H327" s="7"/>
    </row>
    <row r="328" spans="6:8" ht="15.75" customHeight="1" x14ac:dyDescent="0.2">
      <c r="F328" s="24"/>
      <c r="G328" s="7"/>
      <c r="H328" s="7"/>
    </row>
    <row r="329" spans="6:8" ht="15.75" customHeight="1" x14ac:dyDescent="0.2">
      <c r="F329" s="24"/>
      <c r="G329" s="7"/>
      <c r="H329" s="7"/>
    </row>
    <row r="330" spans="6:8" ht="15.75" customHeight="1" x14ac:dyDescent="0.2">
      <c r="F330" s="24"/>
      <c r="G330" s="7"/>
      <c r="H330" s="7"/>
    </row>
    <row r="331" spans="6:8" ht="15.75" customHeight="1" x14ac:dyDescent="0.2">
      <c r="F331" s="24"/>
      <c r="G331" s="7"/>
      <c r="H331" s="7"/>
    </row>
    <row r="332" spans="6:8" ht="15.75" customHeight="1" x14ac:dyDescent="0.2">
      <c r="F332" s="24"/>
      <c r="G332" s="7"/>
      <c r="H332" s="7"/>
    </row>
    <row r="333" spans="6:8" ht="15.75" customHeight="1" x14ac:dyDescent="0.2">
      <c r="F333" s="24"/>
      <c r="G333" s="7"/>
      <c r="H333" s="7"/>
    </row>
    <row r="334" spans="6:8" ht="15.75" customHeight="1" x14ac:dyDescent="0.2">
      <c r="F334" s="24"/>
      <c r="G334" s="7"/>
      <c r="H334" s="7"/>
    </row>
    <row r="335" spans="6:8" ht="15.75" customHeight="1" x14ac:dyDescent="0.2">
      <c r="F335" s="24"/>
      <c r="G335" s="7"/>
      <c r="H335" s="7"/>
    </row>
    <row r="336" spans="6:8" ht="15.75" customHeight="1" x14ac:dyDescent="0.2">
      <c r="F336" s="24"/>
      <c r="G336" s="7"/>
      <c r="H336" s="7"/>
    </row>
    <row r="337" spans="6:8" ht="15.75" customHeight="1" x14ac:dyDescent="0.2">
      <c r="F337" s="24"/>
      <c r="G337" s="7"/>
      <c r="H337" s="7"/>
    </row>
    <row r="338" spans="6:8" ht="15.75" customHeight="1" x14ac:dyDescent="0.2">
      <c r="F338" s="24"/>
      <c r="G338" s="7"/>
      <c r="H338" s="7"/>
    </row>
    <row r="339" spans="6:8" ht="15.75" customHeight="1" x14ac:dyDescent="0.2">
      <c r="F339" s="24"/>
      <c r="G339" s="7"/>
      <c r="H339" s="7"/>
    </row>
    <row r="340" spans="6:8" ht="15.75" customHeight="1" x14ac:dyDescent="0.2">
      <c r="F340" s="24"/>
      <c r="G340" s="7"/>
      <c r="H340" s="7"/>
    </row>
    <row r="341" spans="6:8" ht="15.75" customHeight="1" x14ac:dyDescent="0.2">
      <c r="F341" s="24"/>
      <c r="G341" s="7"/>
      <c r="H341" s="7"/>
    </row>
    <row r="342" spans="6:8" ht="15.75" customHeight="1" x14ac:dyDescent="0.2">
      <c r="F342" s="24"/>
      <c r="G342" s="7"/>
      <c r="H342" s="7"/>
    </row>
    <row r="343" spans="6:8" ht="15.75" customHeight="1" x14ac:dyDescent="0.2">
      <c r="F343" s="24"/>
      <c r="G343" s="7"/>
      <c r="H343" s="7"/>
    </row>
    <row r="344" spans="6:8" ht="15.75" customHeight="1" x14ac:dyDescent="0.2">
      <c r="F344" s="24"/>
      <c r="G344" s="7"/>
      <c r="H344" s="7"/>
    </row>
    <row r="345" spans="6:8" ht="15.75" customHeight="1" x14ac:dyDescent="0.2">
      <c r="F345" s="24"/>
      <c r="G345" s="7"/>
      <c r="H345" s="7"/>
    </row>
    <row r="346" spans="6:8" ht="15.75" customHeight="1" x14ac:dyDescent="0.2">
      <c r="F346" s="24"/>
      <c r="G346" s="7"/>
      <c r="H346" s="7"/>
    </row>
    <row r="347" spans="6:8" ht="15.75" customHeight="1" x14ac:dyDescent="0.2">
      <c r="F347" s="24"/>
      <c r="G347" s="7"/>
      <c r="H347" s="7"/>
    </row>
    <row r="348" spans="6:8" ht="15.75" customHeight="1" x14ac:dyDescent="0.2">
      <c r="F348" s="24"/>
      <c r="G348" s="7"/>
      <c r="H348" s="7"/>
    </row>
    <row r="349" spans="6:8" ht="15.75" customHeight="1" x14ac:dyDescent="0.2">
      <c r="F349" s="24"/>
      <c r="G349" s="7"/>
      <c r="H349" s="7"/>
    </row>
    <row r="350" spans="6:8" ht="15.75" customHeight="1" x14ac:dyDescent="0.2">
      <c r="F350" s="24"/>
      <c r="G350" s="7"/>
      <c r="H350" s="7"/>
    </row>
    <row r="351" spans="6:8" ht="15.75" customHeight="1" x14ac:dyDescent="0.2">
      <c r="F351" s="24"/>
      <c r="G351" s="7"/>
      <c r="H351" s="7"/>
    </row>
    <row r="352" spans="6:8" ht="15.75" customHeight="1" x14ac:dyDescent="0.2">
      <c r="F352" s="24"/>
      <c r="G352" s="7"/>
      <c r="H352" s="7"/>
    </row>
    <row r="353" spans="6:8" ht="15.75" customHeight="1" x14ac:dyDescent="0.2">
      <c r="F353" s="24"/>
      <c r="G353" s="7"/>
      <c r="H353" s="7"/>
    </row>
    <row r="354" spans="6:8" ht="15.75" customHeight="1" x14ac:dyDescent="0.2">
      <c r="F354" s="24"/>
      <c r="G354" s="7"/>
      <c r="H354" s="7"/>
    </row>
    <row r="355" spans="6:8" ht="15.75" customHeight="1" x14ac:dyDescent="0.2">
      <c r="F355" s="24"/>
      <c r="G355" s="7"/>
      <c r="H355" s="7"/>
    </row>
    <row r="356" spans="6:8" ht="15.75" customHeight="1" x14ac:dyDescent="0.2">
      <c r="F356" s="24"/>
      <c r="G356" s="7"/>
      <c r="H356" s="7"/>
    </row>
    <row r="357" spans="6:8" ht="15.75" customHeight="1" x14ac:dyDescent="0.2">
      <c r="F357" s="24"/>
      <c r="G357" s="7"/>
      <c r="H357" s="7"/>
    </row>
    <row r="358" spans="6:8" ht="15.75" customHeight="1" x14ac:dyDescent="0.2">
      <c r="F358" s="24"/>
      <c r="G358" s="7"/>
      <c r="H358" s="7"/>
    </row>
    <row r="359" spans="6:8" ht="15.75" customHeight="1" x14ac:dyDescent="0.2">
      <c r="F359" s="24"/>
      <c r="G359" s="7"/>
      <c r="H359" s="7"/>
    </row>
    <row r="360" spans="6:8" ht="15.75" customHeight="1" x14ac:dyDescent="0.2">
      <c r="F360" s="24"/>
      <c r="G360" s="7"/>
      <c r="H360" s="7"/>
    </row>
    <row r="361" spans="6:8" ht="15.75" customHeight="1" x14ac:dyDescent="0.2">
      <c r="F361" s="24"/>
      <c r="G361" s="7"/>
      <c r="H361" s="7"/>
    </row>
    <row r="362" spans="6:8" ht="15.75" customHeight="1" x14ac:dyDescent="0.2">
      <c r="F362" s="24"/>
      <c r="G362" s="7"/>
      <c r="H362" s="7"/>
    </row>
    <row r="363" spans="6:8" ht="15.75" customHeight="1" x14ac:dyDescent="0.2">
      <c r="F363" s="24"/>
      <c r="G363" s="7"/>
      <c r="H363" s="7"/>
    </row>
    <row r="364" spans="6:8" ht="15.75" customHeight="1" x14ac:dyDescent="0.2">
      <c r="F364" s="24"/>
      <c r="G364" s="7"/>
      <c r="H364" s="7"/>
    </row>
    <row r="365" spans="6:8" ht="15.75" customHeight="1" x14ac:dyDescent="0.2">
      <c r="F365" s="24"/>
      <c r="G365" s="7"/>
      <c r="H365" s="7"/>
    </row>
    <row r="366" spans="6:8" ht="15.75" customHeight="1" x14ac:dyDescent="0.2">
      <c r="F366" s="24"/>
      <c r="G366" s="7"/>
      <c r="H366" s="7"/>
    </row>
    <row r="367" spans="6:8" ht="15.75" customHeight="1" x14ac:dyDescent="0.2">
      <c r="F367" s="24"/>
      <c r="G367" s="7"/>
      <c r="H367" s="7"/>
    </row>
    <row r="368" spans="6:8" ht="15.75" customHeight="1" x14ac:dyDescent="0.2">
      <c r="F368" s="24"/>
      <c r="G368" s="7"/>
      <c r="H368" s="7"/>
    </row>
    <row r="369" spans="6:8" ht="15.75" customHeight="1" x14ac:dyDescent="0.2">
      <c r="F369" s="24"/>
      <c r="G369" s="7"/>
      <c r="H369" s="7"/>
    </row>
    <row r="370" spans="6:8" ht="15.75" customHeight="1" x14ac:dyDescent="0.2">
      <c r="F370" s="24"/>
      <c r="G370" s="7"/>
      <c r="H370" s="7"/>
    </row>
    <row r="371" spans="6:8" ht="15.75" customHeight="1" x14ac:dyDescent="0.2">
      <c r="F371" s="24"/>
      <c r="G371" s="7"/>
      <c r="H371" s="7"/>
    </row>
    <row r="372" spans="6:8" ht="15.75" customHeight="1" x14ac:dyDescent="0.2">
      <c r="F372" s="24"/>
      <c r="G372" s="7"/>
      <c r="H372" s="7"/>
    </row>
    <row r="373" spans="6:8" ht="15.75" customHeight="1" x14ac:dyDescent="0.2">
      <c r="F373" s="24"/>
      <c r="G373" s="7"/>
      <c r="H373" s="7"/>
    </row>
    <row r="374" spans="6:8" ht="15.75" customHeight="1" x14ac:dyDescent="0.2">
      <c r="F374" s="24"/>
      <c r="G374" s="7"/>
      <c r="H374" s="7"/>
    </row>
    <row r="375" spans="6:8" ht="15.75" customHeight="1" x14ac:dyDescent="0.2">
      <c r="F375" s="24"/>
      <c r="G375" s="7"/>
      <c r="H375" s="7"/>
    </row>
    <row r="376" spans="6:8" ht="15.75" customHeight="1" x14ac:dyDescent="0.2">
      <c r="F376" s="24"/>
      <c r="G376" s="7"/>
      <c r="H376" s="7"/>
    </row>
    <row r="377" spans="6:8" ht="15.75" customHeight="1" x14ac:dyDescent="0.2">
      <c r="F377" s="24"/>
      <c r="G377" s="7"/>
      <c r="H377" s="7"/>
    </row>
    <row r="378" spans="6:8" ht="15.75" customHeight="1" x14ac:dyDescent="0.2">
      <c r="F378" s="24"/>
      <c r="G378" s="7"/>
      <c r="H378" s="7"/>
    </row>
    <row r="379" spans="6:8" ht="15.75" customHeight="1" x14ac:dyDescent="0.2">
      <c r="F379" s="24"/>
      <c r="G379" s="7"/>
      <c r="H379" s="7"/>
    </row>
    <row r="380" spans="6:8" ht="15.75" customHeight="1" x14ac:dyDescent="0.2">
      <c r="F380" s="24"/>
      <c r="G380" s="7"/>
      <c r="H380" s="7"/>
    </row>
    <row r="381" spans="6:8" ht="15.75" customHeight="1" x14ac:dyDescent="0.2">
      <c r="F381" s="24"/>
      <c r="G381" s="7"/>
      <c r="H381" s="7"/>
    </row>
    <row r="382" spans="6:8" ht="15.75" customHeight="1" x14ac:dyDescent="0.2">
      <c r="F382" s="24"/>
      <c r="G382" s="7"/>
      <c r="H382" s="7"/>
    </row>
    <row r="383" spans="6:8" ht="15.75" customHeight="1" x14ac:dyDescent="0.2">
      <c r="F383" s="24"/>
      <c r="G383" s="7"/>
      <c r="H383" s="7"/>
    </row>
    <row r="384" spans="6:8" ht="15.75" customHeight="1" x14ac:dyDescent="0.2">
      <c r="F384" s="24"/>
      <c r="G384" s="7"/>
      <c r="H384" s="7"/>
    </row>
    <row r="385" spans="6:8" ht="15.75" customHeight="1" x14ac:dyDescent="0.2">
      <c r="F385" s="24"/>
      <c r="G385" s="7"/>
      <c r="H385" s="7"/>
    </row>
    <row r="386" spans="6:8" ht="15.75" customHeight="1" x14ac:dyDescent="0.2">
      <c r="F386" s="24"/>
      <c r="G386" s="7"/>
      <c r="H386" s="7"/>
    </row>
    <row r="387" spans="6:8" ht="15.75" customHeight="1" x14ac:dyDescent="0.2">
      <c r="F387" s="24"/>
      <c r="G387" s="7"/>
      <c r="H387" s="7"/>
    </row>
    <row r="388" spans="6:8" ht="15.75" customHeight="1" x14ac:dyDescent="0.2">
      <c r="F388" s="24"/>
      <c r="G388" s="7"/>
      <c r="H388" s="7"/>
    </row>
    <row r="389" spans="6:8" ht="15.75" customHeight="1" x14ac:dyDescent="0.2">
      <c r="F389" s="24"/>
      <c r="G389" s="7"/>
      <c r="H389" s="7"/>
    </row>
    <row r="390" spans="6:8" ht="15.75" customHeight="1" x14ac:dyDescent="0.2">
      <c r="F390" s="24"/>
      <c r="G390" s="7"/>
      <c r="H390" s="7"/>
    </row>
    <row r="391" spans="6:8" ht="15.75" customHeight="1" x14ac:dyDescent="0.2">
      <c r="F391" s="24"/>
      <c r="G391" s="7"/>
      <c r="H391" s="7"/>
    </row>
    <row r="392" spans="6:8" ht="15.75" customHeight="1" x14ac:dyDescent="0.2">
      <c r="F392" s="24"/>
      <c r="G392" s="7"/>
      <c r="H392" s="7"/>
    </row>
    <row r="393" spans="6:8" ht="15.75" customHeight="1" x14ac:dyDescent="0.2">
      <c r="F393" s="24"/>
      <c r="G393" s="7"/>
      <c r="H393" s="7"/>
    </row>
    <row r="394" spans="6:8" ht="15.75" customHeight="1" x14ac:dyDescent="0.2">
      <c r="F394" s="24"/>
      <c r="G394" s="7"/>
      <c r="H394" s="7"/>
    </row>
    <row r="395" spans="6:8" ht="15.75" customHeight="1" x14ac:dyDescent="0.2">
      <c r="F395" s="24"/>
      <c r="G395" s="7"/>
      <c r="H395" s="7"/>
    </row>
    <row r="396" spans="6:8" ht="15.75" customHeight="1" x14ac:dyDescent="0.2">
      <c r="F396" s="24"/>
      <c r="G396" s="7"/>
      <c r="H396" s="7"/>
    </row>
    <row r="397" spans="6:8" ht="15.75" customHeight="1" x14ac:dyDescent="0.2">
      <c r="F397" s="24"/>
      <c r="G397" s="7"/>
      <c r="H397" s="7"/>
    </row>
    <row r="398" spans="6:8" ht="15.75" customHeight="1" x14ac:dyDescent="0.2">
      <c r="F398" s="24"/>
      <c r="G398" s="7"/>
      <c r="H398" s="7"/>
    </row>
    <row r="399" spans="6:8" ht="15.75" customHeight="1" x14ac:dyDescent="0.2">
      <c r="F399" s="24"/>
      <c r="G399" s="7"/>
      <c r="H399" s="7"/>
    </row>
    <row r="400" spans="6:8" ht="15.75" customHeight="1" x14ac:dyDescent="0.2">
      <c r="F400" s="24"/>
      <c r="G400" s="7"/>
      <c r="H400" s="7"/>
    </row>
    <row r="401" spans="6:8" ht="15.75" customHeight="1" x14ac:dyDescent="0.2">
      <c r="F401" s="24"/>
      <c r="G401" s="7"/>
      <c r="H401" s="7"/>
    </row>
    <row r="402" spans="6:8" ht="15.75" customHeight="1" x14ac:dyDescent="0.2">
      <c r="F402" s="24"/>
      <c r="G402" s="7"/>
      <c r="H402" s="7"/>
    </row>
    <row r="403" spans="6:8" ht="15.75" customHeight="1" x14ac:dyDescent="0.2">
      <c r="F403" s="24"/>
      <c r="G403" s="7"/>
      <c r="H403" s="7"/>
    </row>
    <row r="404" spans="6:8" ht="15.75" customHeight="1" x14ac:dyDescent="0.2">
      <c r="F404" s="24"/>
      <c r="G404" s="7"/>
      <c r="H404" s="7"/>
    </row>
    <row r="405" spans="6:8" ht="15.75" customHeight="1" x14ac:dyDescent="0.2">
      <c r="F405" s="24"/>
      <c r="G405" s="7"/>
      <c r="H405" s="7"/>
    </row>
    <row r="406" spans="6:8" ht="15.75" customHeight="1" x14ac:dyDescent="0.2">
      <c r="F406" s="24"/>
      <c r="G406" s="7"/>
      <c r="H406" s="7"/>
    </row>
    <row r="407" spans="6:8" ht="15.75" customHeight="1" x14ac:dyDescent="0.2">
      <c r="F407" s="24"/>
      <c r="G407" s="7"/>
      <c r="H407" s="7"/>
    </row>
    <row r="408" spans="6:8" ht="15.75" customHeight="1" x14ac:dyDescent="0.2">
      <c r="F408" s="24"/>
      <c r="G408" s="7"/>
      <c r="H408" s="7"/>
    </row>
    <row r="409" spans="6:8" ht="15.75" customHeight="1" x14ac:dyDescent="0.2">
      <c r="F409" s="24"/>
      <c r="G409" s="7"/>
      <c r="H409" s="7"/>
    </row>
    <row r="410" spans="6:8" ht="15.75" customHeight="1" x14ac:dyDescent="0.2">
      <c r="F410" s="24"/>
      <c r="G410" s="7"/>
      <c r="H410" s="7"/>
    </row>
    <row r="411" spans="6:8" ht="15.75" customHeight="1" x14ac:dyDescent="0.2">
      <c r="F411" s="24"/>
      <c r="G411" s="7"/>
      <c r="H411" s="7"/>
    </row>
    <row r="412" spans="6:8" ht="15.75" customHeight="1" x14ac:dyDescent="0.2">
      <c r="F412" s="24"/>
      <c r="G412" s="7"/>
      <c r="H412" s="7"/>
    </row>
    <row r="413" spans="6:8" ht="15.75" customHeight="1" x14ac:dyDescent="0.2">
      <c r="F413" s="24"/>
      <c r="G413" s="7"/>
      <c r="H413" s="7"/>
    </row>
    <row r="414" spans="6:8" ht="15.75" customHeight="1" x14ac:dyDescent="0.2">
      <c r="F414" s="24"/>
      <c r="G414" s="7"/>
      <c r="H414" s="7"/>
    </row>
    <row r="415" spans="6:8" ht="15.75" customHeight="1" x14ac:dyDescent="0.2">
      <c r="F415" s="24"/>
      <c r="G415" s="7"/>
      <c r="H415" s="7"/>
    </row>
    <row r="416" spans="6:8" ht="15.75" customHeight="1" x14ac:dyDescent="0.2">
      <c r="F416" s="24"/>
      <c r="G416" s="7"/>
      <c r="H416" s="7"/>
    </row>
    <row r="417" spans="6:8" ht="15.75" customHeight="1" x14ac:dyDescent="0.2">
      <c r="F417" s="24"/>
      <c r="G417" s="7"/>
      <c r="H417" s="7"/>
    </row>
    <row r="418" spans="6:8" ht="15.75" customHeight="1" x14ac:dyDescent="0.2">
      <c r="F418" s="24"/>
      <c r="G418" s="7"/>
      <c r="H418" s="7"/>
    </row>
    <row r="419" spans="6:8" ht="15.75" customHeight="1" x14ac:dyDescent="0.2">
      <c r="F419" s="24"/>
      <c r="G419" s="7"/>
      <c r="H419" s="7"/>
    </row>
    <row r="420" spans="6:8" ht="15.75" customHeight="1" x14ac:dyDescent="0.2">
      <c r="F420" s="24"/>
      <c r="G420" s="7"/>
      <c r="H420" s="7"/>
    </row>
    <row r="421" spans="6:8" ht="15.75" customHeight="1" x14ac:dyDescent="0.2">
      <c r="F421" s="24"/>
      <c r="G421" s="7"/>
      <c r="H421" s="7"/>
    </row>
    <row r="422" spans="6:8" ht="15.75" customHeight="1" x14ac:dyDescent="0.2">
      <c r="F422" s="24"/>
      <c r="G422" s="7"/>
      <c r="H422" s="7"/>
    </row>
    <row r="423" spans="6:8" ht="15.75" customHeight="1" x14ac:dyDescent="0.2">
      <c r="F423" s="24"/>
      <c r="G423" s="7"/>
      <c r="H423" s="7"/>
    </row>
    <row r="424" spans="6:8" ht="15.75" customHeight="1" x14ac:dyDescent="0.2">
      <c r="F424" s="24"/>
      <c r="G424" s="7"/>
      <c r="H424" s="7"/>
    </row>
    <row r="425" spans="6:8" ht="15.75" customHeight="1" x14ac:dyDescent="0.2">
      <c r="F425" s="24"/>
      <c r="G425" s="7"/>
      <c r="H425" s="7"/>
    </row>
    <row r="426" spans="6:8" ht="15.75" customHeight="1" x14ac:dyDescent="0.2">
      <c r="F426" s="24"/>
      <c r="G426" s="7"/>
      <c r="H426" s="7"/>
    </row>
    <row r="427" spans="6:8" ht="15.75" customHeight="1" x14ac:dyDescent="0.2">
      <c r="F427" s="24"/>
      <c r="G427" s="7"/>
      <c r="H427" s="7"/>
    </row>
    <row r="428" spans="6:8" ht="15.75" customHeight="1" x14ac:dyDescent="0.2">
      <c r="F428" s="24"/>
      <c r="G428" s="7"/>
      <c r="H428" s="7"/>
    </row>
    <row r="429" spans="6:8" ht="15.75" customHeight="1" x14ac:dyDescent="0.2">
      <c r="F429" s="24"/>
      <c r="G429" s="7"/>
      <c r="H429" s="7"/>
    </row>
    <row r="430" spans="6:8" ht="15.75" customHeight="1" x14ac:dyDescent="0.2">
      <c r="F430" s="24"/>
      <c r="G430" s="7"/>
      <c r="H430" s="7"/>
    </row>
    <row r="431" spans="6:8" ht="15.75" customHeight="1" x14ac:dyDescent="0.2">
      <c r="F431" s="24"/>
      <c r="G431" s="7"/>
      <c r="H431" s="7"/>
    </row>
    <row r="432" spans="6:8" ht="15.75" customHeight="1" x14ac:dyDescent="0.2">
      <c r="F432" s="24"/>
      <c r="G432" s="7"/>
      <c r="H432" s="7"/>
    </row>
    <row r="433" spans="6:8" ht="15.75" customHeight="1" x14ac:dyDescent="0.2">
      <c r="F433" s="24"/>
      <c r="G433" s="7"/>
      <c r="H433" s="7"/>
    </row>
    <row r="434" spans="6:8" ht="15.75" customHeight="1" x14ac:dyDescent="0.2">
      <c r="F434" s="24"/>
      <c r="G434" s="7"/>
      <c r="H434" s="7"/>
    </row>
    <row r="435" spans="6:8" ht="15.75" customHeight="1" x14ac:dyDescent="0.2">
      <c r="F435" s="24"/>
      <c r="G435" s="7"/>
      <c r="H435" s="7"/>
    </row>
    <row r="436" spans="6:8" ht="15.75" customHeight="1" x14ac:dyDescent="0.2">
      <c r="F436" s="24"/>
      <c r="G436" s="7"/>
      <c r="H436" s="7"/>
    </row>
    <row r="437" spans="6:8" ht="15.75" customHeight="1" x14ac:dyDescent="0.2">
      <c r="F437" s="24"/>
      <c r="G437" s="7"/>
      <c r="H437" s="7"/>
    </row>
    <row r="438" spans="6:8" ht="15.75" customHeight="1" x14ac:dyDescent="0.2">
      <c r="F438" s="24"/>
      <c r="G438" s="7"/>
      <c r="H438" s="7"/>
    </row>
    <row r="439" spans="6:8" ht="15.75" customHeight="1" x14ac:dyDescent="0.2">
      <c r="F439" s="24"/>
      <c r="G439" s="7"/>
      <c r="H439" s="7"/>
    </row>
    <row r="440" spans="6:8" ht="15.75" customHeight="1" x14ac:dyDescent="0.2">
      <c r="F440" s="24"/>
      <c r="G440" s="7"/>
      <c r="H440" s="7"/>
    </row>
    <row r="441" spans="6:8" ht="15.75" customHeight="1" x14ac:dyDescent="0.2">
      <c r="F441" s="24"/>
      <c r="G441" s="7"/>
      <c r="H441" s="7"/>
    </row>
    <row r="442" spans="6:8" ht="15.75" customHeight="1" x14ac:dyDescent="0.2">
      <c r="F442" s="24"/>
      <c r="G442" s="7"/>
      <c r="H442" s="7"/>
    </row>
    <row r="443" spans="6:8" ht="15.75" customHeight="1" x14ac:dyDescent="0.2">
      <c r="F443" s="24"/>
      <c r="G443" s="7"/>
      <c r="H443" s="7"/>
    </row>
    <row r="444" spans="6:8" ht="15.75" customHeight="1" x14ac:dyDescent="0.2">
      <c r="F444" s="24"/>
      <c r="G444" s="7"/>
      <c r="H444" s="7"/>
    </row>
    <row r="445" spans="6:8" ht="15.75" customHeight="1" x14ac:dyDescent="0.2">
      <c r="F445" s="24"/>
      <c r="G445" s="7"/>
      <c r="H445" s="7"/>
    </row>
    <row r="446" spans="6:8" ht="15.75" customHeight="1" x14ac:dyDescent="0.2">
      <c r="F446" s="24"/>
      <c r="G446" s="7"/>
      <c r="H446" s="7"/>
    </row>
    <row r="447" spans="6:8" ht="15.75" customHeight="1" x14ac:dyDescent="0.2">
      <c r="F447" s="24"/>
      <c r="G447" s="7"/>
      <c r="H447" s="7"/>
    </row>
    <row r="448" spans="6:8" ht="15.75" customHeight="1" x14ac:dyDescent="0.2">
      <c r="F448" s="24"/>
      <c r="G448" s="7"/>
      <c r="H448" s="7"/>
    </row>
    <row r="449" spans="6:8" ht="15.75" customHeight="1" x14ac:dyDescent="0.2">
      <c r="F449" s="24"/>
      <c r="G449" s="7"/>
      <c r="H449" s="7"/>
    </row>
    <row r="450" spans="6:8" ht="15.75" customHeight="1" x14ac:dyDescent="0.2">
      <c r="F450" s="24"/>
      <c r="G450" s="7"/>
      <c r="H450" s="7"/>
    </row>
    <row r="451" spans="6:8" ht="15.75" customHeight="1" x14ac:dyDescent="0.2">
      <c r="F451" s="24"/>
      <c r="G451" s="7"/>
      <c r="H451" s="7"/>
    </row>
    <row r="452" spans="6:8" ht="15.75" customHeight="1" x14ac:dyDescent="0.2">
      <c r="F452" s="24"/>
      <c r="G452" s="7"/>
      <c r="H452" s="7"/>
    </row>
    <row r="453" spans="6:8" ht="15.75" customHeight="1" x14ac:dyDescent="0.2">
      <c r="F453" s="24"/>
      <c r="G453" s="7"/>
      <c r="H453" s="7"/>
    </row>
    <row r="454" spans="6:8" ht="15.75" customHeight="1" x14ac:dyDescent="0.2">
      <c r="F454" s="24"/>
      <c r="G454" s="7"/>
      <c r="H454" s="7"/>
    </row>
    <row r="455" spans="6:8" ht="15.75" customHeight="1" x14ac:dyDescent="0.2">
      <c r="F455" s="24"/>
      <c r="G455" s="7"/>
      <c r="H455" s="7"/>
    </row>
    <row r="456" spans="6:8" ht="15.75" customHeight="1" x14ac:dyDescent="0.2">
      <c r="F456" s="24"/>
      <c r="G456" s="7"/>
      <c r="H456" s="7"/>
    </row>
    <row r="457" spans="6:8" ht="15.75" customHeight="1" x14ac:dyDescent="0.2">
      <c r="F457" s="24"/>
      <c r="G457" s="7"/>
      <c r="H457" s="7"/>
    </row>
    <row r="458" spans="6:8" ht="15.75" customHeight="1" x14ac:dyDescent="0.2">
      <c r="F458" s="24"/>
      <c r="G458" s="7"/>
      <c r="H458" s="7"/>
    </row>
    <row r="459" spans="6:8" ht="15.75" customHeight="1" x14ac:dyDescent="0.2">
      <c r="F459" s="24"/>
      <c r="G459" s="7"/>
      <c r="H459" s="7"/>
    </row>
    <row r="460" spans="6:8" ht="15.75" customHeight="1" x14ac:dyDescent="0.2">
      <c r="F460" s="24"/>
      <c r="G460" s="7"/>
      <c r="H460" s="7"/>
    </row>
    <row r="461" spans="6:8" ht="15.75" customHeight="1" x14ac:dyDescent="0.2">
      <c r="F461" s="24"/>
      <c r="G461" s="7"/>
      <c r="H461" s="7"/>
    </row>
    <row r="462" spans="6:8" ht="15.75" customHeight="1" x14ac:dyDescent="0.2">
      <c r="F462" s="24"/>
      <c r="G462" s="7"/>
      <c r="H462" s="7"/>
    </row>
    <row r="463" spans="6:8" ht="15.75" customHeight="1" x14ac:dyDescent="0.2">
      <c r="F463" s="24"/>
      <c r="G463" s="7"/>
      <c r="H463" s="7"/>
    </row>
    <row r="464" spans="6:8" ht="15.75" customHeight="1" x14ac:dyDescent="0.2">
      <c r="F464" s="24"/>
      <c r="G464" s="7"/>
      <c r="H464" s="7"/>
    </row>
    <row r="465" spans="6:8" ht="15.75" customHeight="1" x14ac:dyDescent="0.2">
      <c r="F465" s="24"/>
      <c r="G465" s="7"/>
      <c r="H465" s="7"/>
    </row>
    <row r="466" spans="6:8" ht="15.75" customHeight="1" x14ac:dyDescent="0.2">
      <c r="F466" s="24"/>
      <c r="G466" s="7"/>
      <c r="H466" s="7"/>
    </row>
    <row r="467" spans="6:8" ht="15.75" customHeight="1" x14ac:dyDescent="0.2">
      <c r="F467" s="24"/>
      <c r="G467" s="7"/>
      <c r="H467" s="7"/>
    </row>
    <row r="468" spans="6:8" ht="15.75" customHeight="1" x14ac:dyDescent="0.2">
      <c r="F468" s="24"/>
      <c r="G468" s="7"/>
      <c r="H468" s="7"/>
    </row>
    <row r="469" spans="6:8" ht="15.75" customHeight="1" x14ac:dyDescent="0.2">
      <c r="F469" s="24"/>
      <c r="G469" s="7"/>
      <c r="H469" s="7"/>
    </row>
    <row r="470" spans="6:8" ht="15.75" customHeight="1" x14ac:dyDescent="0.2">
      <c r="F470" s="24"/>
      <c r="G470" s="7"/>
      <c r="H470" s="7"/>
    </row>
    <row r="471" spans="6:8" ht="15.75" customHeight="1" x14ac:dyDescent="0.2">
      <c r="F471" s="24"/>
      <c r="G471" s="7"/>
      <c r="H471" s="7"/>
    </row>
    <row r="472" spans="6:8" ht="15.75" customHeight="1" x14ac:dyDescent="0.2">
      <c r="F472" s="24"/>
      <c r="G472" s="7"/>
      <c r="H472" s="7"/>
    </row>
    <row r="473" spans="6:8" ht="15.75" customHeight="1" x14ac:dyDescent="0.2">
      <c r="F473" s="24"/>
      <c r="G473" s="7"/>
      <c r="H473" s="7"/>
    </row>
    <row r="474" spans="6:8" ht="15.75" customHeight="1" x14ac:dyDescent="0.2">
      <c r="F474" s="24"/>
      <c r="G474" s="7"/>
      <c r="H474" s="7"/>
    </row>
    <row r="475" spans="6:8" ht="15.75" customHeight="1" x14ac:dyDescent="0.2">
      <c r="F475" s="24"/>
      <c r="G475" s="7"/>
      <c r="H475" s="7"/>
    </row>
    <row r="476" spans="6:8" ht="15.75" customHeight="1" x14ac:dyDescent="0.2">
      <c r="F476" s="24"/>
      <c r="G476" s="7"/>
      <c r="H476" s="7"/>
    </row>
    <row r="477" spans="6:8" ht="15.75" customHeight="1" x14ac:dyDescent="0.2">
      <c r="F477" s="24"/>
      <c r="G477" s="7"/>
      <c r="H477" s="7"/>
    </row>
    <row r="478" spans="6:8" ht="15.75" customHeight="1" x14ac:dyDescent="0.2">
      <c r="F478" s="24"/>
      <c r="G478" s="7"/>
      <c r="H478" s="7"/>
    </row>
    <row r="479" spans="6:8" ht="15.75" customHeight="1" x14ac:dyDescent="0.2">
      <c r="F479" s="24"/>
      <c r="G479" s="7"/>
      <c r="H479" s="7"/>
    </row>
    <row r="480" spans="6:8" ht="15.75" customHeight="1" x14ac:dyDescent="0.2">
      <c r="F480" s="24"/>
      <c r="G480" s="7"/>
      <c r="H480" s="7"/>
    </row>
    <row r="481" spans="6:8" ht="15.75" customHeight="1" x14ac:dyDescent="0.2">
      <c r="F481" s="24"/>
      <c r="G481" s="7"/>
      <c r="H481" s="7"/>
    </row>
    <row r="482" spans="6:8" ht="15.75" customHeight="1" x14ac:dyDescent="0.2">
      <c r="F482" s="24"/>
      <c r="G482" s="7"/>
      <c r="H482" s="7"/>
    </row>
    <row r="483" spans="6:8" ht="15.75" customHeight="1" x14ac:dyDescent="0.2">
      <c r="F483" s="24"/>
      <c r="G483" s="7"/>
      <c r="H483" s="7"/>
    </row>
    <row r="484" spans="6:8" ht="15.75" customHeight="1" x14ac:dyDescent="0.2">
      <c r="F484" s="24"/>
      <c r="G484" s="7"/>
      <c r="H484" s="7"/>
    </row>
    <row r="485" spans="6:8" ht="15.75" customHeight="1" x14ac:dyDescent="0.2">
      <c r="F485" s="24"/>
      <c r="G485" s="7"/>
      <c r="H485" s="7"/>
    </row>
    <row r="486" spans="6:8" ht="15.75" customHeight="1" x14ac:dyDescent="0.2">
      <c r="F486" s="24"/>
      <c r="G486" s="7"/>
      <c r="H486" s="7"/>
    </row>
    <row r="487" spans="6:8" ht="15.75" customHeight="1" x14ac:dyDescent="0.2">
      <c r="F487" s="24"/>
      <c r="G487" s="7"/>
      <c r="H487" s="7"/>
    </row>
    <row r="488" spans="6:8" ht="15.75" customHeight="1" x14ac:dyDescent="0.2">
      <c r="F488" s="24"/>
      <c r="G488" s="7"/>
      <c r="H488" s="7"/>
    </row>
    <row r="489" spans="6:8" ht="15.75" customHeight="1" x14ac:dyDescent="0.2">
      <c r="F489" s="24"/>
      <c r="G489" s="7"/>
      <c r="H489" s="7"/>
    </row>
    <row r="490" spans="6:8" ht="15.75" customHeight="1" x14ac:dyDescent="0.2">
      <c r="F490" s="24"/>
      <c r="G490" s="7"/>
      <c r="H490" s="7"/>
    </row>
    <row r="491" spans="6:8" ht="15.75" customHeight="1" x14ac:dyDescent="0.2">
      <c r="F491" s="24"/>
      <c r="G491" s="7"/>
      <c r="H491" s="7"/>
    </row>
    <row r="492" spans="6:8" ht="15.75" customHeight="1" x14ac:dyDescent="0.2">
      <c r="F492" s="24"/>
      <c r="G492" s="7"/>
      <c r="H492" s="7"/>
    </row>
    <row r="493" spans="6:8" ht="15.75" customHeight="1" x14ac:dyDescent="0.2">
      <c r="F493" s="24"/>
      <c r="G493" s="7"/>
      <c r="H493" s="7"/>
    </row>
    <row r="494" spans="6:8" ht="15.75" customHeight="1" x14ac:dyDescent="0.2">
      <c r="F494" s="24"/>
      <c r="G494" s="7"/>
      <c r="H494" s="7"/>
    </row>
    <row r="495" spans="6:8" ht="15.75" customHeight="1" x14ac:dyDescent="0.2">
      <c r="F495" s="24"/>
      <c r="G495" s="7"/>
      <c r="H495" s="7"/>
    </row>
    <row r="496" spans="6:8" ht="15.75" customHeight="1" x14ac:dyDescent="0.2">
      <c r="F496" s="24"/>
      <c r="G496" s="7"/>
      <c r="H496" s="7"/>
    </row>
    <row r="497" spans="6:8" ht="15.75" customHeight="1" x14ac:dyDescent="0.2">
      <c r="F497" s="24"/>
      <c r="G497" s="7"/>
      <c r="H497" s="7"/>
    </row>
    <row r="498" spans="6:8" ht="15.75" customHeight="1" x14ac:dyDescent="0.2">
      <c r="F498" s="24"/>
      <c r="G498" s="7"/>
      <c r="H498" s="7"/>
    </row>
    <row r="499" spans="6:8" ht="15.75" customHeight="1" x14ac:dyDescent="0.2">
      <c r="F499" s="24"/>
      <c r="G499" s="7"/>
      <c r="H499" s="7"/>
    </row>
    <row r="500" spans="6:8" ht="15.75" customHeight="1" x14ac:dyDescent="0.2">
      <c r="F500" s="24"/>
      <c r="G500" s="7"/>
      <c r="H500" s="7"/>
    </row>
    <row r="501" spans="6:8" ht="15.75" customHeight="1" x14ac:dyDescent="0.2">
      <c r="F501" s="24"/>
      <c r="G501" s="7"/>
      <c r="H501" s="7"/>
    </row>
    <row r="502" spans="6:8" ht="15.75" customHeight="1" x14ac:dyDescent="0.2">
      <c r="F502" s="24"/>
      <c r="G502" s="7"/>
      <c r="H502" s="7"/>
    </row>
    <row r="503" spans="6:8" ht="15.75" customHeight="1" x14ac:dyDescent="0.2">
      <c r="F503" s="24"/>
      <c r="G503" s="7"/>
      <c r="H503" s="7"/>
    </row>
    <row r="504" spans="6:8" ht="15.75" customHeight="1" x14ac:dyDescent="0.2">
      <c r="F504" s="24"/>
      <c r="G504" s="7"/>
      <c r="H504" s="7"/>
    </row>
    <row r="505" spans="6:8" ht="15.75" customHeight="1" x14ac:dyDescent="0.2">
      <c r="F505" s="24"/>
      <c r="G505" s="7"/>
      <c r="H505" s="7"/>
    </row>
    <row r="506" spans="6:8" ht="15.75" customHeight="1" x14ac:dyDescent="0.2">
      <c r="F506" s="24"/>
      <c r="G506" s="7"/>
      <c r="H506" s="7"/>
    </row>
    <row r="507" spans="6:8" ht="15.75" customHeight="1" x14ac:dyDescent="0.2">
      <c r="F507" s="24"/>
      <c r="G507" s="7"/>
      <c r="H507" s="7"/>
    </row>
    <row r="508" spans="6:8" ht="15.75" customHeight="1" x14ac:dyDescent="0.2">
      <c r="F508" s="24"/>
      <c r="G508" s="7"/>
      <c r="H508" s="7"/>
    </row>
    <row r="509" spans="6:8" ht="15.75" customHeight="1" x14ac:dyDescent="0.2">
      <c r="F509" s="24"/>
      <c r="G509" s="7"/>
      <c r="H509" s="7"/>
    </row>
    <row r="510" spans="6:8" ht="15.75" customHeight="1" x14ac:dyDescent="0.2">
      <c r="F510" s="24"/>
      <c r="G510" s="7"/>
      <c r="H510" s="7"/>
    </row>
    <row r="511" spans="6:8" ht="15.75" customHeight="1" x14ac:dyDescent="0.2">
      <c r="F511" s="24"/>
      <c r="G511" s="7"/>
      <c r="H511" s="7"/>
    </row>
    <row r="512" spans="6:8" ht="15.75" customHeight="1" x14ac:dyDescent="0.2">
      <c r="F512" s="24"/>
      <c r="G512" s="7"/>
      <c r="H512" s="7"/>
    </row>
    <row r="513" spans="6:8" ht="15.75" customHeight="1" x14ac:dyDescent="0.2">
      <c r="F513" s="24"/>
      <c r="G513" s="7"/>
      <c r="H513" s="7"/>
    </row>
    <row r="514" spans="6:8" ht="15.75" customHeight="1" x14ac:dyDescent="0.2">
      <c r="F514" s="24"/>
      <c r="G514" s="7"/>
      <c r="H514" s="7"/>
    </row>
    <row r="515" spans="6:8" ht="15.75" customHeight="1" x14ac:dyDescent="0.2">
      <c r="F515" s="24"/>
      <c r="G515" s="7"/>
      <c r="H515" s="7"/>
    </row>
    <row r="516" spans="6:8" ht="15.75" customHeight="1" x14ac:dyDescent="0.2">
      <c r="F516" s="24"/>
      <c r="G516" s="7"/>
      <c r="H516" s="7"/>
    </row>
    <row r="517" spans="6:8" ht="15.75" customHeight="1" x14ac:dyDescent="0.2">
      <c r="F517" s="24"/>
      <c r="G517" s="7"/>
      <c r="H517" s="7"/>
    </row>
    <row r="518" spans="6:8" ht="15.75" customHeight="1" x14ac:dyDescent="0.2">
      <c r="F518" s="24"/>
      <c r="G518" s="7"/>
      <c r="H518" s="7"/>
    </row>
    <row r="519" spans="6:8" ht="15.75" customHeight="1" x14ac:dyDescent="0.2">
      <c r="F519" s="24"/>
      <c r="G519" s="7"/>
      <c r="H519" s="7"/>
    </row>
    <row r="520" spans="6:8" ht="15.75" customHeight="1" x14ac:dyDescent="0.2">
      <c r="F520" s="24"/>
      <c r="G520" s="7"/>
      <c r="H520" s="7"/>
    </row>
    <row r="521" spans="6:8" ht="15.75" customHeight="1" x14ac:dyDescent="0.2">
      <c r="F521" s="24"/>
      <c r="G521" s="7"/>
      <c r="H521" s="7"/>
    </row>
    <row r="522" spans="6:8" ht="15.75" customHeight="1" x14ac:dyDescent="0.2">
      <c r="F522" s="24"/>
      <c r="G522" s="7"/>
      <c r="H522" s="7"/>
    </row>
    <row r="523" spans="6:8" ht="15.75" customHeight="1" x14ac:dyDescent="0.2">
      <c r="F523" s="24"/>
      <c r="G523" s="7"/>
      <c r="H523" s="7"/>
    </row>
    <row r="524" spans="6:8" ht="15.75" customHeight="1" x14ac:dyDescent="0.2">
      <c r="F524" s="24"/>
      <c r="G524" s="7"/>
      <c r="H524" s="7"/>
    </row>
    <row r="525" spans="6:8" ht="15.75" customHeight="1" x14ac:dyDescent="0.2">
      <c r="F525" s="24"/>
      <c r="G525" s="7"/>
      <c r="H525" s="7"/>
    </row>
    <row r="526" spans="6:8" ht="15.75" customHeight="1" x14ac:dyDescent="0.2">
      <c r="F526" s="24"/>
      <c r="G526" s="7"/>
      <c r="H526" s="7"/>
    </row>
    <row r="527" spans="6:8" ht="15.75" customHeight="1" x14ac:dyDescent="0.2">
      <c r="F527" s="24"/>
      <c r="G527" s="7"/>
      <c r="H527" s="7"/>
    </row>
    <row r="528" spans="6:8" ht="15.75" customHeight="1" x14ac:dyDescent="0.2">
      <c r="F528" s="24"/>
      <c r="G528" s="7"/>
      <c r="H528" s="7"/>
    </row>
    <row r="529" spans="6:8" ht="15.75" customHeight="1" x14ac:dyDescent="0.2">
      <c r="F529" s="24"/>
      <c r="G529" s="7"/>
      <c r="H529" s="7"/>
    </row>
    <row r="530" spans="6:8" ht="15.75" customHeight="1" x14ac:dyDescent="0.2">
      <c r="F530" s="24"/>
      <c r="G530" s="7"/>
      <c r="H530" s="7"/>
    </row>
    <row r="531" spans="6:8" ht="15.75" customHeight="1" x14ac:dyDescent="0.2">
      <c r="F531" s="24"/>
      <c r="G531" s="7"/>
      <c r="H531" s="7"/>
    </row>
    <row r="532" spans="6:8" ht="15.75" customHeight="1" x14ac:dyDescent="0.2">
      <c r="F532" s="24"/>
      <c r="G532" s="7"/>
      <c r="H532" s="7"/>
    </row>
    <row r="533" spans="6:8" ht="15.75" customHeight="1" x14ac:dyDescent="0.2">
      <c r="F533" s="24"/>
      <c r="G533" s="7"/>
      <c r="H533" s="7"/>
    </row>
    <row r="534" spans="6:8" ht="15.75" customHeight="1" x14ac:dyDescent="0.2">
      <c r="F534" s="24"/>
      <c r="G534" s="7"/>
      <c r="H534" s="7"/>
    </row>
    <row r="535" spans="6:8" ht="15.75" customHeight="1" x14ac:dyDescent="0.2">
      <c r="F535" s="24"/>
      <c r="G535" s="7"/>
      <c r="H535" s="7"/>
    </row>
    <row r="536" spans="6:8" ht="15.75" customHeight="1" x14ac:dyDescent="0.2">
      <c r="F536" s="24"/>
      <c r="G536" s="7"/>
      <c r="H536" s="7"/>
    </row>
    <row r="537" spans="6:8" ht="15.75" customHeight="1" x14ac:dyDescent="0.2">
      <c r="F537" s="24"/>
      <c r="G537" s="7"/>
      <c r="H537" s="7"/>
    </row>
    <row r="538" spans="6:8" ht="15.75" customHeight="1" x14ac:dyDescent="0.2">
      <c r="F538" s="24"/>
      <c r="G538" s="7"/>
      <c r="H538" s="7"/>
    </row>
    <row r="539" spans="6:8" ht="15.75" customHeight="1" x14ac:dyDescent="0.2">
      <c r="F539" s="24"/>
      <c r="G539" s="7"/>
      <c r="H539" s="7"/>
    </row>
    <row r="540" spans="6:8" ht="15.75" customHeight="1" x14ac:dyDescent="0.2">
      <c r="F540" s="24"/>
      <c r="G540" s="7"/>
      <c r="H540" s="7"/>
    </row>
    <row r="541" spans="6:8" ht="15.75" customHeight="1" x14ac:dyDescent="0.2">
      <c r="F541" s="24"/>
      <c r="G541" s="7"/>
      <c r="H541" s="7"/>
    </row>
    <row r="542" spans="6:8" ht="15.75" customHeight="1" x14ac:dyDescent="0.2">
      <c r="F542" s="24"/>
      <c r="G542" s="7"/>
      <c r="H542" s="7"/>
    </row>
    <row r="543" spans="6:8" ht="15.75" customHeight="1" x14ac:dyDescent="0.2">
      <c r="F543" s="24"/>
      <c r="G543" s="7"/>
      <c r="H543" s="7"/>
    </row>
    <row r="544" spans="6:8" ht="15.75" customHeight="1" x14ac:dyDescent="0.2">
      <c r="F544" s="24"/>
      <c r="G544" s="7"/>
      <c r="H544" s="7"/>
    </row>
    <row r="545" spans="6:8" ht="15.75" customHeight="1" x14ac:dyDescent="0.2">
      <c r="F545" s="24"/>
      <c r="G545" s="7"/>
      <c r="H545" s="7"/>
    </row>
    <row r="546" spans="6:8" ht="15.75" customHeight="1" x14ac:dyDescent="0.2">
      <c r="F546" s="24"/>
      <c r="G546" s="7"/>
      <c r="H546" s="7"/>
    </row>
    <row r="547" spans="6:8" ht="15.75" customHeight="1" x14ac:dyDescent="0.2">
      <c r="F547" s="24"/>
      <c r="G547" s="7"/>
      <c r="H547" s="7"/>
    </row>
    <row r="548" spans="6:8" ht="15.75" customHeight="1" x14ac:dyDescent="0.2">
      <c r="F548" s="24"/>
      <c r="G548" s="7"/>
      <c r="H548" s="7"/>
    </row>
    <row r="549" spans="6:8" ht="15.75" customHeight="1" x14ac:dyDescent="0.2">
      <c r="F549" s="24"/>
      <c r="G549" s="7"/>
      <c r="H549" s="7"/>
    </row>
    <row r="550" spans="6:8" ht="15.75" customHeight="1" x14ac:dyDescent="0.2">
      <c r="F550" s="24"/>
      <c r="G550" s="7"/>
      <c r="H550" s="7"/>
    </row>
    <row r="551" spans="6:8" ht="15.75" customHeight="1" x14ac:dyDescent="0.2">
      <c r="F551" s="24"/>
      <c r="G551" s="7"/>
      <c r="H551" s="7"/>
    </row>
    <row r="552" spans="6:8" ht="15.75" customHeight="1" x14ac:dyDescent="0.2">
      <c r="F552" s="24"/>
      <c r="G552" s="7"/>
      <c r="H552" s="7"/>
    </row>
    <row r="553" spans="6:8" ht="15.75" customHeight="1" x14ac:dyDescent="0.2">
      <c r="F553" s="24"/>
      <c r="G553" s="7"/>
      <c r="H553" s="7"/>
    </row>
    <row r="554" spans="6:8" ht="15.75" customHeight="1" x14ac:dyDescent="0.2">
      <c r="F554" s="24"/>
      <c r="G554" s="7"/>
      <c r="H554" s="7"/>
    </row>
    <row r="555" spans="6:8" ht="15.75" customHeight="1" x14ac:dyDescent="0.2">
      <c r="F555" s="24"/>
      <c r="G555" s="7"/>
      <c r="H555" s="7"/>
    </row>
    <row r="556" spans="6:8" ht="15.75" customHeight="1" x14ac:dyDescent="0.2">
      <c r="F556" s="24"/>
      <c r="G556" s="7"/>
      <c r="H556" s="7"/>
    </row>
    <row r="557" spans="6:8" ht="15.75" customHeight="1" x14ac:dyDescent="0.2">
      <c r="F557" s="24"/>
      <c r="G557" s="7"/>
      <c r="H557" s="7"/>
    </row>
    <row r="558" spans="6:8" ht="15.75" customHeight="1" x14ac:dyDescent="0.2">
      <c r="F558" s="24"/>
      <c r="G558" s="7"/>
      <c r="H558" s="7"/>
    </row>
    <row r="559" spans="6:8" ht="15.75" customHeight="1" x14ac:dyDescent="0.2">
      <c r="F559" s="24"/>
      <c r="G559" s="7"/>
      <c r="H559" s="7"/>
    </row>
    <row r="560" spans="6:8" ht="15.75" customHeight="1" x14ac:dyDescent="0.2">
      <c r="F560" s="24"/>
      <c r="G560" s="7"/>
      <c r="H560" s="7"/>
    </row>
    <row r="561" spans="6:8" ht="15.75" customHeight="1" x14ac:dyDescent="0.2">
      <c r="F561" s="24"/>
      <c r="G561" s="7"/>
      <c r="H561" s="7"/>
    </row>
    <row r="562" spans="6:8" ht="15.75" customHeight="1" x14ac:dyDescent="0.2">
      <c r="F562" s="24"/>
      <c r="G562" s="7"/>
      <c r="H562" s="7"/>
    </row>
    <row r="563" spans="6:8" ht="15.75" customHeight="1" x14ac:dyDescent="0.2">
      <c r="F563" s="24"/>
      <c r="G563" s="7"/>
      <c r="H563" s="7"/>
    </row>
    <row r="564" spans="6:8" ht="15.75" customHeight="1" x14ac:dyDescent="0.2">
      <c r="F564" s="24"/>
      <c r="G564" s="7"/>
      <c r="H564" s="7"/>
    </row>
    <row r="565" spans="6:8" ht="15.75" customHeight="1" x14ac:dyDescent="0.2">
      <c r="F565" s="24"/>
      <c r="G565" s="7"/>
      <c r="H565" s="7"/>
    </row>
    <row r="566" spans="6:8" ht="15.75" customHeight="1" x14ac:dyDescent="0.2">
      <c r="F566" s="24"/>
      <c r="G566" s="7"/>
      <c r="H566" s="7"/>
    </row>
    <row r="567" spans="6:8" ht="15.75" customHeight="1" x14ac:dyDescent="0.2">
      <c r="F567" s="24"/>
      <c r="G567" s="7"/>
      <c r="H567" s="7"/>
    </row>
    <row r="568" spans="6:8" ht="15.75" customHeight="1" x14ac:dyDescent="0.2">
      <c r="F568" s="24"/>
      <c r="G568" s="7"/>
      <c r="H568" s="7"/>
    </row>
    <row r="569" spans="6:8" ht="15.75" customHeight="1" x14ac:dyDescent="0.2">
      <c r="F569" s="24"/>
      <c r="G569" s="7"/>
      <c r="H569" s="7"/>
    </row>
    <row r="570" spans="6:8" ht="15.75" customHeight="1" x14ac:dyDescent="0.2">
      <c r="F570" s="24"/>
      <c r="G570" s="7"/>
      <c r="H570" s="7"/>
    </row>
    <row r="571" spans="6:8" ht="15.75" customHeight="1" x14ac:dyDescent="0.2">
      <c r="F571" s="24"/>
      <c r="G571" s="7"/>
      <c r="H571" s="7"/>
    </row>
    <row r="572" spans="6:8" ht="15.75" customHeight="1" x14ac:dyDescent="0.2">
      <c r="F572" s="24"/>
      <c r="G572" s="7"/>
      <c r="H572" s="7"/>
    </row>
    <row r="573" spans="6:8" ht="15.75" customHeight="1" x14ac:dyDescent="0.2">
      <c r="F573" s="24"/>
      <c r="G573" s="7"/>
      <c r="H573" s="7"/>
    </row>
    <row r="574" spans="6:8" ht="15.75" customHeight="1" x14ac:dyDescent="0.2">
      <c r="F574" s="24"/>
      <c r="G574" s="7"/>
      <c r="H574" s="7"/>
    </row>
    <row r="575" spans="6:8" ht="15.75" customHeight="1" x14ac:dyDescent="0.2">
      <c r="F575" s="24"/>
      <c r="G575" s="7"/>
      <c r="H575" s="7"/>
    </row>
    <row r="576" spans="6:8" ht="15.75" customHeight="1" x14ac:dyDescent="0.2">
      <c r="F576" s="24"/>
      <c r="G576" s="7"/>
      <c r="H576" s="7"/>
    </row>
    <row r="577" spans="6:8" ht="15.75" customHeight="1" x14ac:dyDescent="0.2">
      <c r="F577" s="24"/>
      <c r="G577" s="7"/>
      <c r="H577" s="7"/>
    </row>
    <row r="578" spans="6:8" ht="15.75" customHeight="1" x14ac:dyDescent="0.2">
      <c r="F578" s="24"/>
      <c r="G578" s="7"/>
      <c r="H578" s="7"/>
    </row>
    <row r="579" spans="6:8" ht="15.75" customHeight="1" x14ac:dyDescent="0.2">
      <c r="F579" s="24"/>
      <c r="G579" s="7"/>
      <c r="H579" s="7"/>
    </row>
    <row r="580" spans="6:8" ht="15.75" customHeight="1" x14ac:dyDescent="0.2">
      <c r="F580" s="24"/>
      <c r="G580" s="7"/>
      <c r="H580" s="7"/>
    </row>
    <row r="581" spans="6:8" ht="15.75" customHeight="1" x14ac:dyDescent="0.2">
      <c r="F581" s="24"/>
      <c r="G581" s="7"/>
      <c r="H581" s="7"/>
    </row>
    <row r="582" spans="6:8" ht="15.75" customHeight="1" x14ac:dyDescent="0.2">
      <c r="F582" s="24"/>
      <c r="G582" s="7"/>
      <c r="H582" s="7"/>
    </row>
    <row r="583" spans="6:8" ht="15.75" customHeight="1" x14ac:dyDescent="0.2">
      <c r="F583" s="24"/>
      <c r="G583" s="7"/>
      <c r="H583" s="7"/>
    </row>
    <row r="584" spans="6:8" ht="15.75" customHeight="1" x14ac:dyDescent="0.2">
      <c r="F584" s="24"/>
      <c r="G584" s="7"/>
      <c r="H584" s="7"/>
    </row>
    <row r="585" spans="6:8" ht="15.75" customHeight="1" x14ac:dyDescent="0.2">
      <c r="F585" s="24"/>
      <c r="G585" s="7"/>
      <c r="H585" s="7"/>
    </row>
    <row r="586" spans="6:8" ht="15.75" customHeight="1" x14ac:dyDescent="0.2">
      <c r="F586" s="24"/>
      <c r="G586" s="7"/>
      <c r="H586" s="7"/>
    </row>
    <row r="587" spans="6:8" ht="15.75" customHeight="1" x14ac:dyDescent="0.2">
      <c r="F587" s="24"/>
      <c r="G587" s="7"/>
      <c r="H587" s="7"/>
    </row>
    <row r="588" spans="6:8" ht="15.75" customHeight="1" x14ac:dyDescent="0.2">
      <c r="F588" s="24"/>
      <c r="G588" s="7"/>
      <c r="H588" s="7"/>
    </row>
    <row r="589" spans="6:8" ht="15.75" customHeight="1" x14ac:dyDescent="0.2">
      <c r="F589" s="24"/>
      <c r="G589" s="7"/>
      <c r="H589" s="7"/>
    </row>
    <row r="590" spans="6:8" ht="15.75" customHeight="1" x14ac:dyDescent="0.2">
      <c r="F590" s="24"/>
      <c r="G590" s="7"/>
      <c r="H590" s="7"/>
    </row>
    <row r="591" spans="6:8" ht="15.75" customHeight="1" x14ac:dyDescent="0.2">
      <c r="F591" s="24"/>
      <c r="G591" s="7"/>
      <c r="H591" s="7"/>
    </row>
    <row r="592" spans="6:8" ht="15.75" customHeight="1" x14ac:dyDescent="0.2">
      <c r="F592" s="24"/>
      <c r="G592" s="7"/>
      <c r="H592" s="7"/>
    </row>
    <row r="593" spans="6:8" ht="15.75" customHeight="1" x14ac:dyDescent="0.2">
      <c r="F593" s="24"/>
      <c r="G593" s="7"/>
      <c r="H593" s="7"/>
    </row>
    <row r="594" spans="6:8" ht="15.75" customHeight="1" x14ac:dyDescent="0.2">
      <c r="F594" s="24"/>
      <c r="G594" s="7"/>
      <c r="H594" s="7"/>
    </row>
    <row r="595" spans="6:8" ht="15.75" customHeight="1" x14ac:dyDescent="0.2">
      <c r="F595" s="24"/>
      <c r="G595" s="7"/>
      <c r="H595" s="7"/>
    </row>
    <row r="596" spans="6:8" ht="15.75" customHeight="1" x14ac:dyDescent="0.2">
      <c r="F596" s="24"/>
      <c r="G596" s="7"/>
      <c r="H596" s="7"/>
    </row>
    <row r="597" spans="6:8" ht="15.75" customHeight="1" x14ac:dyDescent="0.2">
      <c r="F597" s="24"/>
      <c r="G597" s="7"/>
      <c r="H597" s="7"/>
    </row>
    <row r="598" spans="6:8" ht="15.75" customHeight="1" x14ac:dyDescent="0.2">
      <c r="F598" s="24"/>
      <c r="G598" s="7"/>
      <c r="H598" s="7"/>
    </row>
    <row r="599" spans="6:8" ht="15.75" customHeight="1" x14ac:dyDescent="0.2">
      <c r="F599" s="24"/>
      <c r="G599" s="7"/>
      <c r="H599" s="7"/>
    </row>
    <row r="600" spans="6:8" ht="15.75" customHeight="1" x14ac:dyDescent="0.2">
      <c r="F600" s="24"/>
      <c r="G600" s="7"/>
      <c r="H600" s="7"/>
    </row>
    <row r="601" spans="6:8" ht="15.75" customHeight="1" x14ac:dyDescent="0.2">
      <c r="F601" s="24"/>
      <c r="G601" s="7"/>
      <c r="H601" s="7"/>
    </row>
    <row r="602" spans="6:8" ht="15.75" customHeight="1" x14ac:dyDescent="0.2">
      <c r="F602" s="24"/>
      <c r="G602" s="7"/>
      <c r="H602" s="7"/>
    </row>
    <row r="603" spans="6:8" ht="15.75" customHeight="1" x14ac:dyDescent="0.2">
      <c r="F603" s="24"/>
      <c r="G603" s="7"/>
      <c r="H603" s="7"/>
    </row>
    <row r="604" spans="6:8" ht="15.75" customHeight="1" x14ac:dyDescent="0.2">
      <c r="F604" s="24"/>
      <c r="G604" s="7"/>
      <c r="H604" s="7"/>
    </row>
    <row r="605" spans="6:8" ht="15.75" customHeight="1" x14ac:dyDescent="0.2">
      <c r="F605" s="24"/>
      <c r="G605" s="7"/>
      <c r="H605" s="7"/>
    </row>
    <row r="606" spans="6:8" ht="15.75" customHeight="1" x14ac:dyDescent="0.2">
      <c r="F606" s="24"/>
      <c r="G606" s="7"/>
      <c r="H606" s="7"/>
    </row>
    <row r="607" spans="6:8" ht="15.75" customHeight="1" x14ac:dyDescent="0.2">
      <c r="F607" s="24"/>
      <c r="G607" s="7"/>
      <c r="H607" s="7"/>
    </row>
    <row r="608" spans="6:8" ht="15.75" customHeight="1" x14ac:dyDescent="0.2">
      <c r="F608" s="24"/>
      <c r="G608" s="7"/>
      <c r="H608" s="7"/>
    </row>
    <row r="609" spans="6:8" ht="15.75" customHeight="1" x14ac:dyDescent="0.2">
      <c r="F609" s="24"/>
      <c r="G609" s="7"/>
      <c r="H609" s="7"/>
    </row>
    <row r="610" spans="6:8" ht="15.75" customHeight="1" x14ac:dyDescent="0.2">
      <c r="F610" s="24"/>
      <c r="G610" s="7"/>
      <c r="H610" s="7"/>
    </row>
    <row r="611" spans="6:8" ht="15.75" customHeight="1" x14ac:dyDescent="0.2">
      <c r="F611" s="24"/>
      <c r="G611" s="7"/>
      <c r="H611" s="7"/>
    </row>
    <row r="612" spans="6:8" ht="15.75" customHeight="1" x14ac:dyDescent="0.2">
      <c r="F612" s="24"/>
      <c r="G612" s="7"/>
      <c r="H612" s="7"/>
    </row>
    <row r="613" spans="6:8" ht="15.75" customHeight="1" x14ac:dyDescent="0.2">
      <c r="F613" s="24"/>
      <c r="G613" s="7"/>
      <c r="H613" s="7"/>
    </row>
    <row r="614" spans="6:8" ht="15.75" customHeight="1" x14ac:dyDescent="0.2">
      <c r="F614" s="24"/>
      <c r="G614" s="7"/>
      <c r="H614" s="7"/>
    </row>
    <row r="615" spans="6:8" ht="15.75" customHeight="1" x14ac:dyDescent="0.2">
      <c r="F615" s="24"/>
      <c r="G615" s="7"/>
      <c r="H615" s="7"/>
    </row>
    <row r="616" spans="6:8" ht="15.75" customHeight="1" x14ac:dyDescent="0.2">
      <c r="F616" s="24"/>
      <c r="G616" s="7"/>
      <c r="H616" s="7"/>
    </row>
    <row r="617" spans="6:8" ht="15.75" customHeight="1" x14ac:dyDescent="0.2">
      <c r="F617" s="24"/>
      <c r="G617" s="7"/>
      <c r="H617" s="7"/>
    </row>
    <row r="618" spans="6:8" ht="15.75" customHeight="1" x14ac:dyDescent="0.2">
      <c r="F618" s="24"/>
      <c r="G618" s="7"/>
      <c r="H618" s="7"/>
    </row>
    <row r="619" spans="6:8" ht="15.75" customHeight="1" x14ac:dyDescent="0.2">
      <c r="F619" s="24"/>
      <c r="G619" s="7"/>
      <c r="H619" s="7"/>
    </row>
    <row r="620" spans="6:8" ht="15.75" customHeight="1" x14ac:dyDescent="0.2">
      <c r="F620" s="24"/>
      <c r="G620" s="7"/>
      <c r="H620" s="7"/>
    </row>
    <row r="621" spans="6:8" ht="15.75" customHeight="1" x14ac:dyDescent="0.2">
      <c r="F621" s="24"/>
      <c r="G621" s="7"/>
      <c r="H621" s="7"/>
    </row>
    <row r="622" spans="6:8" ht="15.75" customHeight="1" x14ac:dyDescent="0.2">
      <c r="F622" s="24"/>
      <c r="G622" s="7"/>
      <c r="H622" s="7"/>
    </row>
    <row r="623" spans="6:8" ht="15.75" customHeight="1" x14ac:dyDescent="0.2">
      <c r="F623" s="24"/>
      <c r="G623" s="7"/>
      <c r="H623" s="7"/>
    </row>
    <row r="624" spans="6:8" ht="15.75" customHeight="1" x14ac:dyDescent="0.2">
      <c r="F624" s="24"/>
      <c r="G624" s="7"/>
      <c r="H624" s="7"/>
    </row>
    <row r="625" spans="6:8" ht="15.75" customHeight="1" x14ac:dyDescent="0.2">
      <c r="F625" s="24"/>
      <c r="G625" s="7"/>
      <c r="H625" s="7"/>
    </row>
    <row r="626" spans="6:8" ht="15.75" customHeight="1" x14ac:dyDescent="0.2">
      <c r="F626" s="24"/>
      <c r="G626" s="7"/>
      <c r="H626" s="7"/>
    </row>
    <row r="627" spans="6:8" ht="15.75" customHeight="1" x14ac:dyDescent="0.2">
      <c r="F627" s="24"/>
      <c r="G627" s="7"/>
      <c r="H627" s="7"/>
    </row>
    <row r="628" spans="6:8" ht="15.75" customHeight="1" x14ac:dyDescent="0.2">
      <c r="F628" s="24"/>
      <c r="G628" s="7"/>
      <c r="H628" s="7"/>
    </row>
    <row r="629" spans="6:8" ht="15.75" customHeight="1" x14ac:dyDescent="0.2">
      <c r="F629" s="24"/>
      <c r="G629" s="7"/>
      <c r="H629" s="7"/>
    </row>
    <row r="630" spans="6:8" ht="15.75" customHeight="1" x14ac:dyDescent="0.2">
      <c r="F630" s="24"/>
      <c r="G630" s="7"/>
      <c r="H630" s="7"/>
    </row>
    <row r="631" spans="6:8" ht="15.75" customHeight="1" x14ac:dyDescent="0.2">
      <c r="F631" s="24"/>
      <c r="G631" s="7"/>
      <c r="H631" s="7"/>
    </row>
    <row r="632" spans="6:8" ht="15.75" customHeight="1" x14ac:dyDescent="0.2">
      <c r="F632" s="24"/>
      <c r="G632" s="7"/>
      <c r="H632" s="7"/>
    </row>
    <row r="633" spans="6:8" ht="15.75" customHeight="1" x14ac:dyDescent="0.2">
      <c r="F633" s="24"/>
      <c r="G633" s="7"/>
      <c r="H633" s="7"/>
    </row>
    <row r="634" spans="6:8" ht="15.75" customHeight="1" x14ac:dyDescent="0.2">
      <c r="F634" s="24"/>
      <c r="G634" s="7"/>
      <c r="H634" s="7"/>
    </row>
    <row r="635" spans="6:8" ht="15.75" customHeight="1" x14ac:dyDescent="0.2">
      <c r="F635" s="24"/>
      <c r="G635" s="7"/>
      <c r="H635" s="7"/>
    </row>
    <row r="636" spans="6:8" ht="15.75" customHeight="1" x14ac:dyDescent="0.2">
      <c r="F636" s="24"/>
      <c r="G636" s="7"/>
      <c r="H636" s="7"/>
    </row>
    <row r="637" spans="6:8" ht="15.75" customHeight="1" x14ac:dyDescent="0.2">
      <c r="F637" s="24"/>
      <c r="G637" s="7"/>
      <c r="H637" s="7"/>
    </row>
    <row r="638" spans="6:8" ht="15.75" customHeight="1" x14ac:dyDescent="0.2">
      <c r="F638" s="24"/>
      <c r="G638" s="7"/>
      <c r="H638" s="7"/>
    </row>
    <row r="639" spans="6:8" ht="15.75" customHeight="1" x14ac:dyDescent="0.2">
      <c r="F639" s="24"/>
      <c r="G639" s="7"/>
      <c r="H639" s="7"/>
    </row>
    <row r="640" spans="6:8" ht="15.75" customHeight="1" x14ac:dyDescent="0.2">
      <c r="F640" s="24"/>
      <c r="G640" s="7"/>
      <c r="H640" s="7"/>
    </row>
    <row r="641" spans="6:8" ht="15.75" customHeight="1" x14ac:dyDescent="0.2">
      <c r="F641" s="24"/>
      <c r="G641" s="7"/>
      <c r="H641" s="7"/>
    </row>
    <row r="642" spans="6:8" ht="15.75" customHeight="1" x14ac:dyDescent="0.2">
      <c r="F642" s="24"/>
      <c r="G642" s="7"/>
      <c r="H642" s="7"/>
    </row>
    <row r="643" spans="6:8" ht="15.75" customHeight="1" x14ac:dyDescent="0.2">
      <c r="F643" s="24"/>
      <c r="G643" s="7"/>
      <c r="H643" s="7"/>
    </row>
    <row r="644" spans="6:8" ht="15.75" customHeight="1" x14ac:dyDescent="0.2">
      <c r="F644" s="24"/>
      <c r="G644" s="7"/>
      <c r="H644" s="7"/>
    </row>
    <row r="645" spans="6:8" ht="15.75" customHeight="1" x14ac:dyDescent="0.2">
      <c r="F645" s="24"/>
      <c r="G645" s="7"/>
      <c r="H645" s="7"/>
    </row>
    <row r="646" spans="6:8" ht="15.75" customHeight="1" x14ac:dyDescent="0.2">
      <c r="F646" s="24"/>
      <c r="G646" s="7"/>
      <c r="H646" s="7"/>
    </row>
    <row r="647" spans="6:8" ht="15.75" customHeight="1" x14ac:dyDescent="0.2">
      <c r="F647" s="24"/>
      <c r="G647" s="7"/>
      <c r="H647" s="7"/>
    </row>
    <row r="648" spans="6:8" ht="15.75" customHeight="1" x14ac:dyDescent="0.2">
      <c r="F648" s="24"/>
      <c r="G648" s="7"/>
      <c r="H648" s="7"/>
    </row>
    <row r="649" spans="6:8" ht="15.75" customHeight="1" x14ac:dyDescent="0.2">
      <c r="F649" s="24"/>
      <c r="G649" s="7"/>
      <c r="H649" s="7"/>
    </row>
    <row r="650" spans="6:8" ht="15.75" customHeight="1" x14ac:dyDescent="0.2">
      <c r="F650" s="24"/>
      <c r="G650" s="7"/>
      <c r="H650" s="7"/>
    </row>
    <row r="651" spans="6:8" ht="15.75" customHeight="1" x14ac:dyDescent="0.2">
      <c r="F651" s="24"/>
      <c r="G651" s="7"/>
      <c r="H651" s="7"/>
    </row>
    <row r="652" spans="6:8" ht="15.75" customHeight="1" x14ac:dyDescent="0.2">
      <c r="F652" s="24"/>
      <c r="G652" s="7"/>
      <c r="H652" s="7"/>
    </row>
    <row r="653" spans="6:8" ht="15.75" customHeight="1" x14ac:dyDescent="0.2">
      <c r="F653" s="24"/>
      <c r="G653" s="7"/>
      <c r="H653" s="7"/>
    </row>
    <row r="654" spans="6:8" ht="15.75" customHeight="1" x14ac:dyDescent="0.2">
      <c r="F654" s="24"/>
      <c r="G654" s="7"/>
      <c r="H654" s="7"/>
    </row>
    <row r="655" spans="6:8" ht="15.75" customHeight="1" x14ac:dyDescent="0.2">
      <c r="F655" s="24"/>
      <c r="G655" s="7"/>
      <c r="H655" s="7"/>
    </row>
    <row r="656" spans="6:8" ht="15.75" customHeight="1" x14ac:dyDescent="0.2">
      <c r="F656" s="24"/>
      <c r="G656" s="7"/>
      <c r="H656" s="7"/>
    </row>
    <row r="657" spans="6:8" ht="15.75" customHeight="1" x14ac:dyDescent="0.2">
      <c r="F657" s="24"/>
      <c r="G657" s="7"/>
      <c r="H657" s="7"/>
    </row>
    <row r="658" spans="6:8" ht="15.75" customHeight="1" x14ac:dyDescent="0.2">
      <c r="F658" s="24"/>
      <c r="G658" s="7"/>
      <c r="H658" s="7"/>
    </row>
    <row r="659" spans="6:8" ht="15.75" customHeight="1" x14ac:dyDescent="0.2">
      <c r="F659" s="24"/>
      <c r="G659" s="7"/>
      <c r="H659" s="7"/>
    </row>
    <row r="660" spans="6:8" ht="15.75" customHeight="1" x14ac:dyDescent="0.2">
      <c r="F660" s="24"/>
      <c r="G660" s="7"/>
      <c r="H660" s="7"/>
    </row>
    <row r="661" spans="6:8" ht="15.75" customHeight="1" x14ac:dyDescent="0.2">
      <c r="F661" s="24"/>
      <c r="G661" s="7"/>
      <c r="H661" s="7"/>
    </row>
    <row r="662" spans="6:8" ht="15.75" customHeight="1" x14ac:dyDescent="0.2">
      <c r="F662" s="24"/>
      <c r="G662" s="7"/>
      <c r="H662" s="7"/>
    </row>
    <row r="663" spans="6:8" ht="15.75" customHeight="1" x14ac:dyDescent="0.2">
      <c r="F663" s="24"/>
      <c r="G663" s="7"/>
      <c r="H663" s="7"/>
    </row>
    <row r="664" spans="6:8" ht="15.75" customHeight="1" x14ac:dyDescent="0.2">
      <c r="F664" s="24"/>
      <c r="G664" s="7"/>
      <c r="H664" s="7"/>
    </row>
    <row r="665" spans="6:8" ht="15.75" customHeight="1" x14ac:dyDescent="0.2">
      <c r="F665" s="24"/>
      <c r="G665" s="7"/>
      <c r="H665" s="7"/>
    </row>
    <row r="666" spans="6:8" ht="15.75" customHeight="1" x14ac:dyDescent="0.2">
      <c r="F666" s="24"/>
      <c r="G666" s="7"/>
      <c r="H666" s="7"/>
    </row>
    <row r="667" spans="6:8" ht="15.75" customHeight="1" x14ac:dyDescent="0.2">
      <c r="F667" s="24"/>
      <c r="G667" s="7"/>
      <c r="H667" s="7"/>
    </row>
    <row r="668" spans="6:8" ht="15.75" customHeight="1" x14ac:dyDescent="0.2">
      <c r="F668" s="24"/>
      <c r="G668" s="7"/>
      <c r="H668" s="7"/>
    </row>
    <row r="669" spans="6:8" ht="15.75" customHeight="1" x14ac:dyDescent="0.2">
      <c r="F669" s="24"/>
      <c r="G669" s="7"/>
      <c r="H669" s="7"/>
    </row>
    <row r="670" spans="6:8" ht="15.75" customHeight="1" x14ac:dyDescent="0.2">
      <c r="F670" s="24"/>
      <c r="G670" s="7"/>
      <c r="H670" s="7"/>
    </row>
    <row r="671" spans="6:8" ht="15.75" customHeight="1" x14ac:dyDescent="0.2">
      <c r="F671" s="24"/>
      <c r="G671" s="7"/>
      <c r="H671" s="7"/>
    </row>
    <row r="672" spans="6:8" ht="15.75" customHeight="1" x14ac:dyDescent="0.2">
      <c r="F672" s="24"/>
      <c r="G672" s="7"/>
      <c r="H672" s="7"/>
    </row>
    <row r="673" spans="6:8" ht="15.75" customHeight="1" x14ac:dyDescent="0.2">
      <c r="F673" s="24"/>
      <c r="G673" s="7"/>
      <c r="H673" s="7"/>
    </row>
    <row r="674" spans="6:8" ht="15.75" customHeight="1" x14ac:dyDescent="0.2">
      <c r="F674" s="24"/>
      <c r="G674" s="7"/>
      <c r="H674" s="7"/>
    </row>
    <row r="675" spans="6:8" ht="15.75" customHeight="1" x14ac:dyDescent="0.2">
      <c r="F675" s="24"/>
      <c r="G675" s="7"/>
      <c r="H675" s="7"/>
    </row>
    <row r="676" spans="6:8" ht="15.75" customHeight="1" x14ac:dyDescent="0.2">
      <c r="F676" s="24"/>
      <c r="G676" s="7"/>
      <c r="H676" s="7"/>
    </row>
    <row r="677" spans="6:8" ht="15.75" customHeight="1" x14ac:dyDescent="0.2">
      <c r="F677" s="24"/>
      <c r="G677" s="7"/>
      <c r="H677" s="7"/>
    </row>
    <row r="678" spans="6:8" ht="15.75" customHeight="1" x14ac:dyDescent="0.2">
      <c r="F678" s="24"/>
      <c r="G678" s="7"/>
      <c r="H678" s="7"/>
    </row>
    <row r="679" spans="6:8" ht="15.75" customHeight="1" x14ac:dyDescent="0.2">
      <c r="F679" s="24"/>
      <c r="G679" s="7"/>
      <c r="H679" s="7"/>
    </row>
    <row r="680" spans="6:8" ht="15.75" customHeight="1" x14ac:dyDescent="0.2">
      <c r="F680" s="24"/>
      <c r="G680" s="7"/>
      <c r="H680" s="7"/>
    </row>
    <row r="681" spans="6:8" ht="15.75" customHeight="1" x14ac:dyDescent="0.2">
      <c r="F681" s="24"/>
      <c r="G681" s="7"/>
      <c r="H681" s="7"/>
    </row>
    <row r="682" spans="6:8" ht="15.75" customHeight="1" x14ac:dyDescent="0.2">
      <c r="F682" s="24"/>
      <c r="G682" s="7"/>
      <c r="H682" s="7"/>
    </row>
    <row r="683" spans="6:8" ht="15.75" customHeight="1" x14ac:dyDescent="0.2">
      <c r="F683" s="24"/>
      <c r="G683" s="7"/>
      <c r="H683" s="7"/>
    </row>
    <row r="684" spans="6:8" ht="15.75" customHeight="1" x14ac:dyDescent="0.2">
      <c r="F684" s="24"/>
      <c r="G684" s="7"/>
      <c r="H684" s="7"/>
    </row>
    <row r="685" spans="6:8" ht="15.75" customHeight="1" x14ac:dyDescent="0.2">
      <c r="F685" s="24"/>
      <c r="G685" s="7"/>
      <c r="H685" s="7"/>
    </row>
    <row r="686" spans="6:8" ht="15.75" customHeight="1" x14ac:dyDescent="0.2">
      <c r="F686" s="24"/>
      <c r="G686" s="7"/>
      <c r="H686" s="7"/>
    </row>
    <row r="687" spans="6:8" ht="15.75" customHeight="1" x14ac:dyDescent="0.2">
      <c r="F687" s="24"/>
      <c r="G687" s="7"/>
      <c r="H687" s="7"/>
    </row>
    <row r="688" spans="6:8" ht="15.75" customHeight="1" x14ac:dyDescent="0.2">
      <c r="F688" s="24"/>
      <c r="G688" s="7"/>
      <c r="H688" s="7"/>
    </row>
    <row r="689" spans="6:8" ht="15.75" customHeight="1" x14ac:dyDescent="0.2">
      <c r="F689" s="24"/>
      <c r="G689" s="7"/>
      <c r="H689" s="7"/>
    </row>
    <row r="690" spans="6:8" ht="15.75" customHeight="1" x14ac:dyDescent="0.2">
      <c r="F690" s="24"/>
      <c r="G690" s="7"/>
      <c r="H690" s="7"/>
    </row>
    <row r="691" spans="6:8" ht="15.75" customHeight="1" x14ac:dyDescent="0.2">
      <c r="F691" s="24"/>
      <c r="G691" s="7"/>
      <c r="H691" s="7"/>
    </row>
    <row r="692" spans="6:8" ht="15.75" customHeight="1" x14ac:dyDescent="0.2">
      <c r="F692" s="24"/>
      <c r="G692" s="7"/>
      <c r="H692" s="7"/>
    </row>
    <row r="693" spans="6:8" ht="15.75" customHeight="1" x14ac:dyDescent="0.2">
      <c r="F693" s="24"/>
      <c r="G693" s="7"/>
      <c r="H693" s="7"/>
    </row>
    <row r="694" spans="6:8" ht="15.75" customHeight="1" x14ac:dyDescent="0.2">
      <c r="F694" s="24"/>
      <c r="G694" s="7"/>
      <c r="H694" s="7"/>
    </row>
    <row r="695" spans="6:8" ht="15.75" customHeight="1" x14ac:dyDescent="0.2">
      <c r="F695" s="24"/>
      <c r="G695" s="7"/>
      <c r="H695" s="7"/>
    </row>
    <row r="696" spans="6:8" ht="15.75" customHeight="1" x14ac:dyDescent="0.2">
      <c r="F696" s="24"/>
      <c r="G696" s="7"/>
      <c r="H696" s="7"/>
    </row>
    <row r="697" spans="6:8" ht="15.75" customHeight="1" x14ac:dyDescent="0.2">
      <c r="F697" s="24"/>
      <c r="G697" s="7"/>
      <c r="H697" s="7"/>
    </row>
    <row r="698" spans="6:8" ht="15.75" customHeight="1" x14ac:dyDescent="0.2">
      <c r="F698" s="24"/>
      <c r="G698" s="7"/>
      <c r="H698" s="7"/>
    </row>
    <row r="699" spans="6:8" ht="15.75" customHeight="1" x14ac:dyDescent="0.2">
      <c r="F699" s="24"/>
      <c r="G699" s="7"/>
      <c r="H699" s="7"/>
    </row>
    <row r="700" spans="6:8" ht="15.75" customHeight="1" x14ac:dyDescent="0.2">
      <c r="F700" s="24"/>
      <c r="G700" s="7"/>
      <c r="H700" s="7"/>
    </row>
    <row r="701" spans="6:8" ht="15.75" customHeight="1" x14ac:dyDescent="0.2">
      <c r="F701" s="24"/>
      <c r="G701" s="7"/>
      <c r="H701" s="7"/>
    </row>
    <row r="702" spans="6:8" ht="15.75" customHeight="1" x14ac:dyDescent="0.2">
      <c r="F702" s="24"/>
      <c r="G702" s="7"/>
      <c r="H702" s="7"/>
    </row>
    <row r="703" spans="6:8" ht="15.75" customHeight="1" x14ac:dyDescent="0.2">
      <c r="F703" s="24"/>
      <c r="G703" s="7"/>
      <c r="H703" s="7"/>
    </row>
    <row r="704" spans="6:8" ht="15.75" customHeight="1" x14ac:dyDescent="0.2">
      <c r="F704" s="24"/>
      <c r="G704" s="7"/>
      <c r="H704" s="7"/>
    </row>
    <row r="705" spans="6:8" ht="15.75" customHeight="1" x14ac:dyDescent="0.2">
      <c r="F705" s="24"/>
      <c r="G705" s="7"/>
      <c r="H705" s="7"/>
    </row>
    <row r="706" spans="6:8" ht="15.75" customHeight="1" x14ac:dyDescent="0.2">
      <c r="F706" s="24"/>
      <c r="G706" s="7"/>
      <c r="H706" s="7"/>
    </row>
    <row r="707" spans="6:8" ht="15.75" customHeight="1" x14ac:dyDescent="0.2">
      <c r="F707" s="24"/>
      <c r="G707" s="7"/>
      <c r="H707" s="7"/>
    </row>
    <row r="708" spans="6:8" ht="15.75" customHeight="1" x14ac:dyDescent="0.2">
      <c r="F708" s="24"/>
      <c r="G708" s="7"/>
      <c r="H708" s="7"/>
    </row>
    <row r="709" spans="6:8" ht="15.75" customHeight="1" x14ac:dyDescent="0.2">
      <c r="F709" s="24"/>
      <c r="G709" s="7"/>
      <c r="H709" s="7"/>
    </row>
    <row r="710" spans="6:8" ht="15.75" customHeight="1" x14ac:dyDescent="0.2">
      <c r="F710" s="24"/>
      <c r="G710" s="7"/>
      <c r="H710" s="7"/>
    </row>
    <row r="711" spans="6:8" ht="15.75" customHeight="1" x14ac:dyDescent="0.2">
      <c r="F711" s="24"/>
      <c r="G711" s="7"/>
      <c r="H711" s="7"/>
    </row>
    <row r="712" spans="6:8" ht="15.75" customHeight="1" x14ac:dyDescent="0.2">
      <c r="F712" s="24"/>
      <c r="G712" s="7"/>
      <c r="H712" s="7"/>
    </row>
    <row r="713" spans="6:8" ht="15.75" customHeight="1" x14ac:dyDescent="0.2">
      <c r="F713" s="24"/>
      <c r="G713" s="7"/>
      <c r="H713" s="7"/>
    </row>
    <row r="714" spans="6:8" ht="15.75" customHeight="1" x14ac:dyDescent="0.2">
      <c r="F714" s="24"/>
      <c r="G714" s="7"/>
      <c r="H714" s="7"/>
    </row>
    <row r="715" spans="6:8" ht="15.75" customHeight="1" x14ac:dyDescent="0.2">
      <c r="F715" s="24"/>
      <c r="G715" s="7"/>
      <c r="H715" s="7"/>
    </row>
    <row r="716" spans="6:8" ht="15.75" customHeight="1" x14ac:dyDescent="0.2">
      <c r="F716" s="24"/>
      <c r="G716" s="7"/>
      <c r="H716" s="7"/>
    </row>
    <row r="717" spans="6:8" ht="15.75" customHeight="1" x14ac:dyDescent="0.2">
      <c r="F717" s="24"/>
      <c r="G717" s="7"/>
      <c r="H717" s="7"/>
    </row>
    <row r="718" spans="6:8" ht="15.75" customHeight="1" x14ac:dyDescent="0.2">
      <c r="F718" s="24"/>
      <c r="G718" s="7"/>
      <c r="H718" s="7"/>
    </row>
    <row r="719" spans="6:8" ht="15.75" customHeight="1" x14ac:dyDescent="0.2">
      <c r="F719" s="24"/>
      <c r="G719" s="7"/>
      <c r="H719" s="7"/>
    </row>
    <row r="720" spans="6:8" ht="15.75" customHeight="1" x14ac:dyDescent="0.2">
      <c r="F720" s="24"/>
      <c r="G720" s="7"/>
      <c r="H720" s="7"/>
    </row>
    <row r="721" spans="6:8" ht="15.75" customHeight="1" x14ac:dyDescent="0.2">
      <c r="F721" s="24"/>
      <c r="G721" s="7"/>
      <c r="H721" s="7"/>
    </row>
    <row r="722" spans="6:8" ht="15.75" customHeight="1" x14ac:dyDescent="0.2">
      <c r="F722" s="24"/>
      <c r="G722" s="7"/>
      <c r="H722" s="7"/>
    </row>
    <row r="723" spans="6:8" ht="15.75" customHeight="1" x14ac:dyDescent="0.2">
      <c r="F723" s="24"/>
      <c r="G723" s="7"/>
      <c r="H723" s="7"/>
    </row>
    <row r="724" spans="6:8" ht="15.75" customHeight="1" x14ac:dyDescent="0.2">
      <c r="F724" s="24"/>
      <c r="G724" s="7"/>
      <c r="H724" s="7"/>
    </row>
    <row r="725" spans="6:8" ht="15.75" customHeight="1" x14ac:dyDescent="0.2">
      <c r="F725" s="24"/>
      <c r="G725" s="7"/>
      <c r="H725" s="7"/>
    </row>
    <row r="726" spans="6:8" ht="15.75" customHeight="1" x14ac:dyDescent="0.2">
      <c r="F726" s="24"/>
      <c r="G726" s="7"/>
      <c r="H726" s="7"/>
    </row>
    <row r="727" spans="6:8" ht="15.75" customHeight="1" x14ac:dyDescent="0.2">
      <c r="F727" s="24"/>
      <c r="G727" s="7"/>
      <c r="H727" s="7"/>
    </row>
    <row r="728" spans="6:8" ht="15.75" customHeight="1" x14ac:dyDescent="0.2">
      <c r="F728" s="24"/>
      <c r="G728" s="7"/>
      <c r="H728" s="7"/>
    </row>
    <row r="729" spans="6:8" ht="15.75" customHeight="1" x14ac:dyDescent="0.2">
      <c r="F729" s="24"/>
      <c r="G729" s="7"/>
      <c r="H729" s="7"/>
    </row>
    <row r="730" spans="6:8" ht="15.75" customHeight="1" x14ac:dyDescent="0.2">
      <c r="F730" s="24"/>
      <c r="G730" s="7"/>
      <c r="H730" s="7"/>
    </row>
    <row r="731" spans="6:8" ht="15.75" customHeight="1" x14ac:dyDescent="0.2">
      <c r="F731" s="24"/>
      <c r="G731" s="7"/>
      <c r="H731" s="7"/>
    </row>
    <row r="732" spans="6:8" ht="15.75" customHeight="1" x14ac:dyDescent="0.2">
      <c r="F732" s="24"/>
      <c r="G732" s="7"/>
      <c r="H732" s="7"/>
    </row>
    <row r="733" spans="6:8" ht="15.75" customHeight="1" x14ac:dyDescent="0.2">
      <c r="F733" s="24"/>
      <c r="G733" s="7"/>
      <c r="H733" s="7"/>
    </row>
    <row r="734" spans="6:8" ht="15.75" customHeight="1" x14ac:dyDescent="0.2">
      <c r="F734" s="24"/>
      <c r="G734" s="7"/>
      <c r="H734" s="7"/>
    </row>
    <row r="735" spans="6:8" ht="15.75" customHeight="1" x14ac:dyDescent="0.2">
      <c r="F735" s="24"/>
      <c r="G735" s="7"/>
      <c r="H735" s="7"/>
    </row>
    <row r="736" spans="6:8" ht="15.75" customHeight="1" x14ac:dyDescent="0.2">
      <c r="F736" s="24"/>
      <c r="G736" s="7"/>
      <c r="H736" s="7"/>
    </row>
    <row r="737" spans="6:8" ht="15.75" customHeight="1" x14ac:dyDescent="0.2">
      <c r="F737" s="24"/>
      <c r="G737" s="7"/>
      <c r="H737" s="7"/>
    </row>
    <row r="738" spans="6:8" ht="15.75" customHeight="1" x14ac:dyDescent="0.2">
      <c r="F738" s="24"/>
      <c r="G738" s="7"/>
      <c r="H738" s="7"/>
    </row>
    <row r="739" spans="6:8" ht="15.75" customHeight="1" x14ac:dyDescent="0.2">
      <c r="F739" s="24"/>
      <c r="G739" s="7"/>
      <c r="H739" s="7"/>
    </row>
    <row r="740" spans="6:8" ht="15.75" customHeight="1" x14ac:dyDescent="0.2">
      <c r="F740" s="24"/>
      <c r="G740" s="7"/>
      <c r="H740" s="7"/>
    </row>
    <row r="741" spans="6:8" ht="15.75" customHeight="1" x14ac:dyDescent="0.2">
      <c r="F741" s="24"/>
      <c r="G741" s="7"/>
      <c r="H741" s="7"/>
    </row>
    <row r="742" spans="6:8" ht="15.75" customHeight="1" x14ac:dyDescent="0.2">
      <c r="F742" s="24"/>
      <c r="G742" s="7"/>
      <c r="H742" s="7"/>
    </row>
    <row r="743" spans="6:8" ht="15.75" customHeight="1" x14ac:dyDescent="0.2">
      <c r="F743" s="24"/>
      <c r="G743" s="7"/>
      <c r="H743" s="7"/>
    </row>
    <row r="744" spans="6:8" ht="15.75" customHeight="1" x14ac:dyDescent="0.2">
      <c r="F744" s="24"/>
      <c r="G744" s="7"/>
      <c r="H744" s="7"/>
    </row>
    <row r="745" spans="6:8" ht="15.75" customHeight="1" x14ac:dyDescent="0.2">
      <c r="F745" s="24"/>
      <c r="G745" s="7"/>
      <c r="H745" s="7"/>
    </row>
    <row r="746" spans="6:8" ht="15.75" customHeight="1" x14ac:dyDescent="0.2">
      <c r="F746" s="24"/>
      <c r="G746" s="7"/>
      <c r="H746" s="7"/>
    </row>
    <row r="747" spans="6:8" ht="15.75" customHeight="1" x14ac:dyDescent="0.2">
      <c r="F747" s="24"/>
      <c r="G747" s="7"/>
      <c r="H747" s="7"/>
    </row>
    <row r="748" spans="6:8" ht="15.75" customHeight="1" x14ac:dyDescent="0.2">
      <c r="F748" s="24"/>
      <c r="G748" s="7"/>
      <c r="H748" s="7"/>
    </row>
    <row r="749" spans="6:8" ht="15.75" customHeight="1" x14ac:dyDescent="0.2">
      <c r="F749" s="24"/>
      <c r="G749" s="7"/>
      <c r="H749" s="7"/>
    </row>
    <row r="750" spans="6:8" ht="15.75" customHeight="1" x14ac:dyDescent="0.2">
      <c r="F750" s="24"/>
      <c r="G750" s="7"/>
      <c r="H750" s="7"/>
    </row>
    <row r="751" spans="6:8" ht="15.75" customHeight="1" x14ac:dyDescent="0.2">
      <c r="F751" s="24"/>
      <c r="G751" s="7"/>
      <c r="H751" s="7"/>
    </row>
    <row r="752" spans="6:8" ht="15.75" customHeight="1" x14ac:dyDescent="0.2">
      <c r="F752" s="24"/>
      <c r="G752" s="7"/>
      <c r="H752" s="7"/>
    </row>
    <row r="753" spans="6:8" ht="15.75" customHeight="1" x14ac:dyDescent="0.2">
      <c r="F753" s="24"/>
      <c r="G753" s="7"/>
      <c r="H753" s="7"/>
    </row>
    <row r="754" spans="6:8" ht="15.75" customHeight="1" x14ac:dyDescent="0.2">
      <c r="F754" s="24"/>
      <c r="G754" s="7"/>
      <c r="H754" s="7"/>
    </row>
    <row r="755" spans="6:8" ht="15.75" customHeight="1" x14ac:dyDescent="0.2">
      <c r="F755" s="24"/>
      <c r="G755" s="7"/>
      <c r="H755" s="7"/>
    </row>
    <row r="756" spans="6:8" ht="15.75" customHeight="1" x14ac:dyDescent="0.2">
      <c r="F756" s="24"/>
      <c r="G756" s="7"/>
      <c r="H756" s="7"/>
    </row>
    <row r="757" spans="6:8" ht="15.75" customHeight="1" x14ac:dyDescent="0.2">
      <c r="F757" s="24"/>
      <c r="G757" s="7"/>
      <c r="H757" s="7"/>
    </row>
    <row r="758" spans="6:8" ht="15.75" customHeight="1" x14ac:dyDescent="0.2">
      <c r="F758" s="24"/>
      <c r="G758" s="7"/>
      <c r="H758" s="7"/>
    </row>
    <row r="759" spans="6:8" ht="15.75" customHeight="1" x14ac:dyDescent="0.2">
      <c r="F759" s="24"/>
      <c r="G759" s="7"/>
      <c r="H759" s="7"/>
    </row>
    <row r="760" spans="6:8" ht="15.75" customHeight="1" x14ac:dyDescent="0.2">
      <c r="F760" s="24"/>
      <c r="G760" s="7"/>
      <c r="H760" s="7"/>
    </row>
    <row r="761" spans="6:8" ht="15.75" customHeight="1" x14ac:dyDescent="0.2">
      <c r="F761" s="24"/>
      <c r="G761" s="7"/>
      <c r="H761" s="7"/>
    </row>
    <row r="762" spans="6:8" ht="15.75" customHeight="1" x14ac:dyDescent="0.2">
      <c r="F762" s="24"/>
      <c r="G762" s="7"/>
      <c r="H762" s="7"/>
    </row>
    <row r="763" spans="6:8" ht="15.75" customHeight="1" x14ac:dyDescent="0.2">
      <c r="F763" s="24"/>
      <c r="G763" s="7"/>
      <c r="H763" s="7"/>
    </row>
    <row r="764" spans="6:8" ht="15.75" customHeight="1" x14ac:dyDescent="0.2">
      <c r="F764" s="24"/>
      <c r="G764" s="7"/>
      <c r="H764" s="7"/>
    </row>
    <row r="765" spans="6:8" ht="15.75" customHeight="1" x14ac:dyDescent="0.2">
      <c r="F765" s="24"/>
      <c r="G765" s="7"/>
      <c r="H765" s="7"/>
    </row>
    <row r="766" spans="6:8" ht="15.75" customHeight="1" x14ac:dyDescent="0.2">
      <c r="F766" s="24"/>
      <c r="G766" s="7"/>
      <c r="H766" s="7"/>
    </row>
    <row r="767" spans="6:8" ht="15.75" customHeight="1" x14ac:dyDescent="0.2">
      <c r="F767" s="24"/>
      <c r="G767" s="7"/>
      <c r="H767" s="7"/>
    </row>
    <row r="768" spans="6:8" ht="15.75" customHeight="1" x14ac:dyDescent="0.2">
      <c r="F768" s="24"/>
      <c r="G768" s="7"/>
      <c r="H768" s="7"/>
    </row>
    <row r="769" spans="6:8" ht="15.75" customHeight="1" x14ac:dyDescent="0.2">
      <c r="F769" s="24"/>
      <c r="G769" s="7"/>
      <c r="H769" s="7"/>
    </row>
    <row r="770" spans="6:8" ht="15.75" customHeight="1" x14ac:dyDescent="0.2">
      <c r="F770" s="24"/>
      <c r="G770" s="7"/>
      <c r="H770" s="7"/>
    </row>
    <row r="771" spans="6:8" ht="15.75" customHeight="1" x14ac:dyDescent="0.2">
      <c r="F771" s="24"/>
      <c r="G771" s="7"/>
      <c r="H771" s="7"/>
    </row>
    <row r="772" spans="6:8" ht="15.75" customHeight="1" x14ac:dyDescent="0.2">
      <c r="F772" s="24"/>
      <c r="G772" s="7"/>
      <c r="H772" s="7"/>
    </row>
    <row r="773" spans="6:8" ht="15.75" customHeight="1" x14ac:dyDescent="0.2">
      <c r="F773" s="24"/>
      <c r="G773" s="7"/>
      <c r="H773" s="7"/>
    </row>
    <row r="774" spans="6:8" ht="15.75" customHeight="1" x14ac:dyDescent="0.2">
      <c r="F774" s="24"/>
      <c r="G774" s="7"/>
      <c r="H774" s="7"/>
    </row>
    <row r="775" spans="6:8" ht="15.75" customHeight="1" x14ac:dyDescent="0.2">
      <c r="F775" s="24"/>
      <c r="G775" s="7"/>
      <c r="H775" s="7"/>
    </row>
    <row r="776" spans="6:8" ht="15.75" customHeight="1" x14ac:dyDescent="0.2">
      <c r="F776" s="24"/>
      <c r="G776" s="7"/>
      <c r="H776" s="7"/>
    </row>
    <row r="777" spans="6:8" ht="15.75" customHeight="1" x14ac:dyDescent="0.2">
      <c r="F777" s="24"/>
      <c r="G777" s="7"/>
      <c r="H777" s="7"/>
    </row>
    <row r="778" spans="6:8" ht="15.75" customHeight="1" x14ac:dyDescent="0.2">
      <c r="F778" s="24"/>
      <c r="G778" s="7"/>
      <c r="H778" s="7"/>
    </row>
    <row r="779" spans="6:8" ht="15.75" customHeight="1" x14ac:dyDescent="0.2">
      <c r="F779" s="24"/>
      <c r="G779" s="7"/>
      <c r="H779" s="7"/>
    </row>
    <row r="780" spans="6:8" ht="15.75" customHeight="1" x14ac:dyDescent="0.2">
      <c r="F780" s="24"/>
      <c r="G780" s="7"/>
      <c r="H780" s="7"/>
    </row>
    <row r="781" spans="6:8" ht="15.75" customHeight="1" x14ac:dyDescent="0.2">
      <c r="F781" s="24"/>
      <c r="G781" s="7"/>
      <c r="H781" s="7"/>
    </row>
    <row r="782" spans="6:8" ht="15.75" customHeight="1" x14ac:dyDescent="0.2">
      <c r="F782" s="24"/>
      <c r="G782" s="7"/>
      <c r="H782" s="7"/>
    </row>
    <row r="783" spans="6:8" ht="15.75" customHeight="1" x14ac:dyDescent="0.2">
      <c r="F783" s="24"/>
      <c r="G783" s="7"/>
      <c r="H783" s="7"/>
    </row>
    <row r="784" spans="6:8" ht="15.75" customHeight="1" x14ac:dyDescent="0.2">
      <c r="F784" s="24"/>
      <c r="G784" s="7"/>
      <c r="H784" s="7"/>
    </row>
    <row r="785" spans="6:8" ht="15.75" customHeight="1" x14ac:dyDescent="0.2">
      <c r="F785" s="24"/>
      <c r="G785" s="7"/>
      <c r="H785" s="7"/>
    </row>
    <row r="786" spans="6:8" ht="15.75" customHeight="1" x14ac:dyDescent="0.2">
      <c r="F786" s="24"/>
      <c r="G786" s="7"/>
      <c r="H786" s="7"/>
    </row>
    <row r="787" spans="6:8" ht="15.75" customHeight="1" x14ac:dyDescent="0.2">
      <c r="F787" s="24"/>
      <c r="G787" s="7"/>
      <c r="H787" s="7"/>
    </row>
    <row r="788" spans="6:8" ht="15.75" customHeight="1" x14ac:dyDescent="0.2">
      <c r="F788" s="24"/>
      <c r="G788" s="7"/>
      <c r="H788" s="7"/>
    </row>
    <row r="789" spans="6:8" ht="15.75" customHeight="1" x14ac:dyDescent="0.2">
      <c r="F789" s="24"/>
      <c r="G789" s="7"/>
      <c r="H789" s="7"/>
    </row>
    <row r="790" spans="6:8" ht="15.75" customHeight="1" x14ac:dyDescent="0.2">
      <c r="F790" s="24"/>
      <c r="G790" s="7"/>
      <c r="H790" s="7"/>
    </row>
    <row r="791" spans="6:8" ht="15.75" customHeight="1" x14ac:dyDescent="0.2">
      <c r="F791" s="24"/>
      <c r="G791" s="7"/>
      <c r="H791" s="7"/>
    </row>
    <row r="792" spans="6:8" ht="15.75" customHeight="1" x14ac:dyDescent="0.2">
      <c r="F792" s="24"/>
      <c r="G792" s="7"/>
      <c r="H792" s="7"/>
    </row>
    <row r="793" spans="6:8" ht="15.75" customHeight="1" x14ac:dyDescent="0.2">
      <c r="F793" s="24"/>
      <c r="G793" s="7"/>
      <c r="H793" s="7"/>
    </row>
    <row r="794" spans="6:8" ht="15.75" customHeight="1" x14ac:dyDescent="0.2">
      <c r="F794" s="24"/>
      <c r="G794" s="7"/>
      <c r="H794" s="7"/>
    </row>
    <row r="795" spans="6:8" ht="15.75" customHeight="1" x14ac:dyDescent="0.2">
      <c r="F795" s="24"/>
      <c r="G795" s="7"/>
      <c r="H795" s="7"/>
    </row>
    <row r="796" spans="6:8" ht="15.75" customHeight="1" x14ac:dyDescent="0.2">
      <c r="F796" s="24"/>
      <c r="G796" s="7"/>
      <c r="H796" s="7"/>
    </row>
    <row r="797" spans="6:8" ht="15.75" customHeight="1" x14ac:dyDescent="0.2">
      <c r="F797" s="24"/>
      <c r="G797" s="7"/>
      <c r="H797" s="7"/>
    </row>
    <row r="798" spans="6:8" ht="15.75" customHeight="1" x14ac:dyDescent="0.2">
      <c r="F798" s="24"/>
      <c r="G798" s="7"/>
      <c r="H798" s="7"/>
    </row>
    <row r="799" spans="6:8" ht="15.75" customHeight="1" x14ac:dyDescent="0.2">
      <c r="F799" s="24"/>
      <c r="G799" s="7"/>
      <c r="H799" s="7"/>
    </row>
    <row r="800" spans="6:8" ht="15.75" customHeight="1" x14ac:dyDescent="0.2">
      <c r="F800" s="24"/>
      <c r="G800" s="7"/>
      <c r="H800" s="7"/>
    </row>
    <row r="801" spans="6:8" ht="15.75" customHeight="1" x14ac:dyDescent="0.2">
      <c r="F801" s="24"/>
      <c r="G801" s="7"/>
      <c r="H801" s="7"/>
    </row>
    <row r="802" spans="6:8" ht="15.75" customHeight="1" x14ac:dyDescent="0.2">
      <c r="F802" s="24"/>
      <c r="G802" s="7"/>
      <c r="H802" s="7"/>
    </row>
    <row r="803" spans="6:8" ht="15.75" customHeight="1" x14ac:dyDescent="0.2">
      <c r="F803" s="24"/>
      <c r="G803" s="7"/>
      <c r="H803" s="7"/>
    </row>
    <row r="804" spans="6:8" ht="15.75" customHeight="1" x14ac:dyDescent="0.2">
      <c r="F804" s="24"/>
      <c r="G804" s="7"/>
      <c r="H804" s="7"/>
    </row>
    <row r="805" spans="6:8" ht="15.75" customHeight="1" x14ac:dyDescent="0.2">
      <c r="F805" s="24"/>
      <c r="G805" s="7"/>
      <c r="H805" s="7"/>
    </row>
    <row r="806" spans="6:8" ht="15.75" customHeight="1" x14ac:dyDescent="0.2">
      <c r="F806" s="24"/>
      <c r="G806" s="7"/>
      <c r="H806" s="7"/>
    </row>
    <row r="807" spans="6:8" ht="15.75" customHeight="1" x14ac:dyDescent="0.2">
      <c r="F807" s="24"/>
      <c r="G807" s="7"/>
      <c r="H807" s="7"/>
    </row>
    <row r="808" spans="6:8" ht="15.75" customHeight="1" x14ac:dyDescent="0.2">
      <c r="F808" s="24"/>
      <c r="G808" s="7"/>
      <c r="H808" s="7"/>
    </row>
    <row r="809" spans="6:8" ht="15.75" customHeight="1" x14ac:dyDescent="0.2">
      <c r="F809" s="24"/>
      <c r="G809" s="7"/>
      <c r="H809" s="7"/>
    </row>
    <row r="810" spans="6:8" ht="15.75" customHeight="1" x14ac:dyDescent="0.2">
      <c r="F810" s="24"/>
      <c r="G810" s="7"/>
      <c r="H810" s="7"/>
    </row>
    <row r="811" spans="6:8" ht="15.75" customHeight="1" x14ac:dyDescent="0.2">
      <c r="F811" s="24"/>
      <c r="G811" s="7"/>
      <c r="H811" s="7"/>
    </row>
    <row r="812" spans="6:8" ht="15.75" customHeight="1" x14ac:dyDescent="0.2">
      <c r="F812" s="24"/>
      <c r="G812" s="7"/>
      <c r="H812" s="7"/>
    </row>
    <row r="813" spans="6:8" ht="15.75" customHeight="1" x14ac:dyDescent="0.2">
      <c r="F813" s="24"/>
      <c r="G813" s="7"/>
      <c r="H813" s="7"/>
    </row>
    <row r="814" spans="6:8" ht="15.75" customHeight="1" x14ac:dyDescent="0.2">
      <c r="F814" s="24"/>
      <c r="G814" s="7"/>
      <c r="H814" s="7"/>
    </row>
    <row r="815" spans="6:8" ht="15.75" customHeight="1" x14ac:dyDescent="0.2">
      <c r="F815" s="24"/>
      <c r="G815" s="7"/>
      <c r="H815" s="7"/>
    </row>
    <row r="816" spans="6:8" ht="15.75" customHeight="1" x14ac:dyDescent="0.2">
      <c r="F816" s="24"/>
      <c r="G816" s="7"/>
      <c r="H816" s="7"/>
    </row>
    <row r="817" spans="6:8" ht="15.75" customHeight="1" x14ac:dyDescent="0.2">
      <c r="F817" s="24"/>
      <c r="G817" s="7"/>
      <c r="H817" s="7"/>
    </row>
    <row r="818" spans="6:8" ht="15.75" customHeight="1" x14ac:dyDescent="0.2">
      <c r="F818" s="24"/>
      <c r="G818" s="7"/>
      <c r="H818" s="7"/>
    </row>
    <row r="819" spans="6:8" ht="15.75" customHeight="1" x14ac:dyDescent="0.2">
      <c r="F819" s="24"/>
      <c r="G819" s="7"/>
      <c r="H819" s="7"/>
    </row>
    <row r="820" spans="6:8" ht="15.75" customHeight="1" x14ac:dyDescent="0.2">
      <c r="F820" s="24"/>
      <c r="G820" s="7"/>
      <c r="H820" s="7"/>
    </row>
    <row r="821" spans="6:8" ht="15.75" customHeight="1" x14ac:dyDescent="0.2">
      <c r="F821" s="24"/>
      <c r="G821" s="7"/>
      <c r="H821" s="7"/>
    </row>
    <row r="822" spans="6:8" ht="15.75" customHeight="1" x14ac:dyDescent="0.2">
      <c r="F822" s="24"/>
      <c r="G822" s="7"/>
      <c r="H822" s="7"/>
    </row>
    <row r="823" spans="6:8" ht="15.75" customHeight="1" x14ac:dyDescent="0.2">
      <c r="F823" s="24"/>
      <c r="G823" s="7"/>
      <c r="H823" s="7"/>
    </row>
    <row r="824" spans="6:8" ht="15.75" customHeight="1" x14ac:dyDescent="0.2">
      <c r="F824" s="24"/>
      <c r="G824" s="7"/>
      <c r="H824" s="7"/>
    </row>
    <row r="825" spans="6:8" ht="15.75" customHeight="1" x14ac:dyDescent="0.2">
      <c r="F825" s="24"/>
      <c r="G825" s="7"/>
      <c r="H825" s="7"/>
    </row>
    <row r="826" spans="6:8" ht="15.75" customHeight="1" x14ac:dyDescent="0.2">
      <c r="F826" s="24"/>
      <c r="G826" s="7"/>
      <c r="H826" s="7"/>
    </row>
    <row r="827" spans="6:8" ht="15.75" customHeight="1" x14ac:dyDescent="0.2">
      <c r="F827" s="24"/>
      <c r="G827" s="7"/>
      <c r="H827" s="7"/>
    </row>
    <row r="828" spans="6:8" ht="15.75" customHeight="1" x14ac:dyDescent="0.2">
      <c r="F828" s="24"/>
      <c r="G828" s="7"/>
      <c r="H828" s="7"/>
    </row>
    <row r="829" spans="6:8" ht="15.75" customHeight="1" x14ac:dyDescent="0.2">
      <c r="F829" s="24"/>
      <c r="G829" s="7"/>
      <c r="H829" s="7"/>
    </row>
    <row r="830" spans="6:8" ht="15.75" customHeight="1" x14ac:dyDescent="0.2">
      <c r="F830" s="24"/>
      <c r="G830" s="7"/>
      <c r="H830" s="7"/>
    </row>
    <row r="831" spans="6:8" ht="15.75" customHeight="1" x14ac:dyDescent="0.2">
      <c r="F831" s="24"/>
      <c r="G831" s="7"/>
      <c r="H831" s="7"/>
    </row>
    <row r="832" spans="6:8" ht="15.75" customHeight="1" x14ac:dyDescent="0.2">
      <c r="F832" s="24"/>
      <c r="G832" s="7"/>
      <c r="H832" s="7"/>
    </row>
    <row r="833" spans="6:8" ht="15.75" customHeight="1" x14ac:dyDescent="0.2">
      <c r="F833" s="24"/>
      <c r="G833" s="7"/>
      <c r="H833" s="7"/>
    </row>
    <row r="834" spans="6:8" ht="15.75" customHeight="1" x14ac:dyDescent="0.2">
      <c r="F834" s="24"/>
      <c r="G834" s="7"/>
      <c r="H834" s="7"/>
    </row>
    <row r="835" spans="6:8" ht="15.75" customHeight="1" x14ac:dyDescent="0.2">
      <c r="F835" s="24"/>
      <c r="G835" s="7"/>
      <c r="H835" s="7"/>
    </row>
    <row r="836" spans="6:8" ht="15.75" customHeight="1" x14ac:dyDescent="0.2">
      <c r="F836" s="24"/>
      <c r="G836" s="7"/>
      <c r="H836" s="7"/>
    </row>
    <row r="837" spans="6:8" ht="15.75" customHeight="1" x14ac:dyDescent="0.2">
      <c r="F837" s="24"/>
      <c r="G837" s="7"/>
      <c r="H837" s="7"/>
    </row>
    <row r="838" spans="6:8" ht="15.75" customHeight="1" x14ac:dyDescent="0.2">
      <c r="F838" s="24"/>
      <c r="G838" s="7"/>
      <c r="H838" s="7"/>
    </row>
    <row r="839" spans="6:8" ht="15.75" customHeight="1" x14ac:dyDescent="0.2">
      <c r="F839" s="24"/>
      <c r="G839" s="7"/>
      <c r="H839" s="7"/>
    </row>
    <row r="840" spans="6:8" ht="15.75" customHeight="1" x14ac:dyDescent="0.2">
      <c r="F840" s="24"/>
      <c r="G840" s="7"/>
      <c r="H840" s="7"/>
    </row>
    <row r="841" spans="6:8" ht="15.75" customHeight="1" x14ac:dyDescent="0.2">
      <c r="F841" s="24"/>
      <c r="G841" s="7"/>
      <c r="H841" s="7"/>
    </row>
    <row r="842" spans="6:8" ht="15.75" customHeight="1" x14ac:dyDescent="0.2">
      <c r="F842" s="24"/>
      <c r="G842" s="7"/>
      <c r="H842" s="7"/>
    </row>
    <row r="843" spans="6:8" ht="15.75" customHeight="1" x14ac:dyDescent="0.2">
      <c r="F843" s="24"/>
      <c r="G843" s="7"/>
      <c r="H843" s="7"/>
    </row>
    <row r="844" spans="6:8" ht="15.75" customHeight="1" x14ac:dyDescent="0.2">
      <c r="F844" s="24"/>
      <c r="G844" s="7"/>
      <c r="H844" s="7"/>
    </row>
    <row r="845" spans="6:8" ht="15.75" customHeight="1" x14ac:dyDescent="0.2">
      <c r="F845" s="24"/>
      <c r="G845" s="7"/>
      <c r="H845" s="7"/>
    </row>
    <row r="846" spans="6:8" ht="15.75" customHeight="1" x14ac:dyDescent="0.2">
      <c r="F846" s="24"/>
      <c r="G846" s="7"/>
      <c r="H846" s="7"/>
    </row>
    <row r="847" spans="6:8" ht="15.75" customHeight="1" x14ac:dyDescent="0.2">
      <c r="F847" s="24"/>
      <c r="G847" s="7"/>
      <c r="H847" s="7"/>
    </row>
    <row r="848" spans="6:8" ht="15.75" customHeight="1" x14ac:dyDescent="0.2">
      <c r="F848" s="24"/>
      <c r="G848" s="7"/>
      <c r="H848" s="7"/>
    </row>
    <row r="849" spans="6:8" ht="15.75" customHeight="1" x14ac:dyDescent="0.2">
      <c r="F849" s="24"/>
      <c r="G849" s="7"/>
      <c r="H849" s="7"/>
    </row>
    <row r="850" spans="6:8" ht="15.75" customHeight="1" x14ac:dyDescent="0.2">
      <c r="F850" s="24"/>
      <c r="G850" s="7"/>
      <c r="H850" s="7"/>
    </row>
    <row r="851" spans="6:8" ht="15.75" customHeight="1" x14ac:dyDescent="0.2">
      <c r="F851" s="24"/>
      <c r="G851" s="7"/>
      <c r="H851" s="7"/>
    </row>
    <row r="852" spans="6:8" ht="15.75" customHeight="1" x14ac:dyDescent="0.2">
      <c r="F852" s="24"/>
      <c r="G852" s="7"/>
      <c r="H852" s="7"/>
    </row>
    <row r="853" spans="6:8" ht="15.75" customHeight="1" x14ac:dyDescent="0.2">
      <c r="F853" s="24"/>
      <c r="G853" s="7"/>
      <c r="H853" s="7"/>
    </row>
    <row r="854" spans="6:8" ht="15.75" customHeight="1" x14ac:dyDescent="0.2">
      <c r="F854" s="24"/>
      <c r="G854" s="7"/>
      <c r="H854" s="7"/>
    </row>
    <row r="855" spans="6:8" ht="15.75" customHeight="1" x14ac:dyDescent="0.2">
      <c r="F855" s="24"/>
      <c r="G855" s="7"/>
      <c r="H855" s="7"/>
    </row>
    <row r="856" spans="6:8" ht="15.75" customHeight="1" x14ac:dyDescent="0.2">
      <c r="F856" s="24"/>
      <c r="G856" s="7"/>
      <c r="H856" s="7"/>
    </row>
    <row r="857" spans="6:8" ht="15.75" customHeight="1" x14ac:dyDescent="0.2">
      <c r="F857" s="24"/>
      <c r="G857" s="7"/>
      <c r="H857" s="7"/>
    </row>
    <row r="858" spans="6:8" ht="15.75" customHeight="1" x14ac:dyDescent="0.2">
      <c r="F858" s="24"/>
      <c r="G858" s="7"/>
      <c r="H858" s="7"/>
    </row>
    <row r="859" spans="6:8" ht="15.75" customHeight="1" x14ac:dyDescent="0.2">
      <c r="F859" s="24"/>
      <c r="G859" s="7"/>
      <c r="H859" s="7"/>
    </row>
    <row r="860" spans="6:8" ht="15.75" customHeight="1" x14ac:dyDescent="0.2">
      <c r="F860" s="24"/>
      <c r="G860" s="7"/>
      <c r="H860" s="7"/>
    </row>
    <row r="861" spans="6:8" ht="15.75" customHeight="1" x14ac:dyDescent="0.2">
      <c r="F861" s="24"/>
      <c r="G861" s="7"/>
      <c r="H861" s="7"/>
    </row>
    <row r="862" spans="6:8" ht="15.75" customHeight="1" x14ac:dyDescent="0.2">
      <c r="F862" s="24"/>
      <c r="G862" s="7"/>
      <c r="H862" s="7"/>
    </row>
    <row r="863" spans="6:8" ht="15.75" customHeight="1" x14ac:dyDescent="0.2">
      <c r="F863" s="24"/>
      <c r="G863" s="7"/>
      <c r="H863" s="7"/>
    </row>
    <row r="864" spans="6:8" ht="15.75" customHeight="1" x14ac:dyDescent="0.2">
      <c r="F864" s="24"/>
      <c r="G864" s="7"/>
      <c r="H864" s="7"/>
    </row>
    <row r="865" spans="6:8" ht="15.75" customHeight="1" x14ac:dyDescent="0.2">
      <c r="F865" s="24"/>
      <c r="G865" s="7"/>
      <c r="H865" s="7"/>
    </row>
    <row r="866" spans="6:8" ht="15.75" customHeight="1" x14ac:dyDescent="0.2">
      <c r="F866" s="24"/>
      <c r="G866" s="7"/>
      <c r="H866" s="7"/>
    </row>
    <row r="867" spans="6:8" ht="15.75" customHeight="1" x14ac:dyDescent="0.2">
      <c r="F867" s="24"/>
      <c r="G867" s="7"/>
      <c r="H867" s="7"/>
    </row>
    <row r="868" spans="6:8" ht="15.75" customHeight="1" x14ac:dyDescent="0.2">
      <c r="F868" s="24"/>
      <c r="G868" s="7"/>
      <c r="H868" s="7"/>
    </row>
    <row r="869" spans="6:8" ht="15.75" customHeight="1" x14ac:dyDescent="0.2">
      <c r="F869" s="24"/>
      <c r="G869" s="7"/>
      <c r="H869" s="7"/>
    </row>
    <row r="870" spans="6:8" ht="15.75" customHeight="1" x14ac:dyDescent="0.2">
      <c r="F870" s="24"/>
      <c r="G870" s="7"/>
      <c r="H870" s="7"/>
    </row>
    <row r="871" spans="6:8" ht="15.75" customHeight="1" x14ac:dyDescent="0.2">
      <c r="F871" s="24"/>
      <c r="G871" s="7"/>
      <c r="H871" s="7"/>
    </row>
    <row r="872" spans="6:8" ht="15.75" customHeight="1" x14ac:dyDescent="0.2">
      <c r="F872" s="24"/>
      <c r="G872" s="7"/>
      <c r="H872" s="7"/>
    </row>
    <row r="873" spans="6:8" ht="15.75" customHeight="1" x14ac:dyDescent="0.2">
      <c r="F873" s="24"/>
      <c r="G873" s="7"/>
      <c r="H873" s="7"/>
    </row>
    <row r="874" spans="6:8" ht="15.75" customHeight="1" x14ac:dyDescent="0.2">
      <c r="F874" s="24"/>
      <c r="G874" s="7"/>
      <c r="H874" s="7"/>
    </row>
    <row r="875" spans="6:8" ht="15.75" customHeight="1" x14ac:dyDescent="0.2">
      <c r="F875" s="24"/>
      <c r="G875" s="7"/>
      <c r="H875" s="7"/>
    </row>
    <row r="876" spans="6:8" ht="15.75" customHeight="1" x14ac:dyDescent="0.2">
      <c r="F876" s="24"/>
      <c r="G876" s="7"/>
      <c r="H876" s="7"/>
    </row>
    <row r="877" spans="6:8" ht="15.75" customHeight="1" x14ac:dyDescent="0.2">
      <c r="F877" s="24"/>
      <c r="G877" s="7"/>
      <c r="H877" s="7"/>
    </row>
    <row r="878" spans="6:8" ht="15.75" customHeight="1" x14ac:dyDescent="0.2">
      <c r="F878" s="24"/>
      <c r="G878" s="7"/>
      <c r="H878" s="7"/>
    </row>
    <row r="879" spans="6:8" ht="15.75" customHeight="1" x14ac:dyDescent="0.2">
      <c r="F879" s="24"/>
      <c r="G879" s="7"/>
      <c r="H879" s="7"/>
    </row>
    <row r="880" spans="6:8" ht="15.75" customHeight="1" x14ac:dyDescent="0.2">
      <c r="F880" s="24"/>
      <c r="G880" s="7"/>
      <c r="H880" s="7"/>
    </row>
    <row r="881" spans="6:8" ht="15.75" customHeight="1" x14ac:dyDescent="0.2">
      <c r="F881" s="24"/>
      <c r="G881" s="7"/>
      <c r="H881" s="7"/>
    </row>
    <row r="882" spans="6:8" ht="15.75" customHeight="1" x14ac:dyDescent="0.2">
      <c r="F882" s="24"/>
      <c r="G882" s="7"/>
      <c r="H882" s="7"/>
    </row>
    <row r="883" spans="6:8" ht="15.75" customHeight="1" x14ac:dyDescent="0.2">
      <c r="F883" s="24"/>
      <c r="G883" s="7"/>
      <c r="H883" s="7"/>
    </row>
    <row r="884" spans="6:8" ht="15.75" customHeight="1" x14ac:dyDescent="0.2">
      <c r="F884" s="24"/>
      <c r="G884" s="7"/>
      <c r="H884" s="7"/>
    </row>
    <row r="885" spans="6:8" ht="15.75" customHeight="1" x14ac:dyDescent="0.2">
      <c r="F885" s="24"/>
      <c r="G885" s="7"/>
      <c r="H885" s="7"/>
    </row>
    <row r="886" spans="6:8" ht="15.75" customHeight="1" x14ac:dyDescent="0.2">
      <c r="F886" s="24"/>
      <c r="G886" s="7"/>
      <c r="H886" s="7"/>
    </row>
    <row r="887" spans="6:8" ht="15.75" customHeight="1" x14ac:dyDescent="0.2">
      <c r="F887" s="24"/>
      <c r="G887" s="7"/>
      <c r="H887" s="7"/>
    </row>
    <row r="888" spans="6:8" ht="15.75" customHeight="1" x14ac:dyDescent="0.2">
      <c r="F888" s="24"/>
      <c r="G888" s="7"/>
      <c r="H888" s="7"/>
    </row>
    <row r="889" spans="6:8" ht="15.75" customHeight="1" x14ac:dyDescent="0.2">
      <c r="F889" s="24"/>
      <c r="G889" s="7"/>
      <c r="H889" s="7"/>
    </row>
    <row r="890" spans="6:8" ht="15.75" customHeight="1" x14ac:dyDescent="0.2">
      <c r="F890" s="24"/>
      <c r="G890" s="7"/>
      <c r="H890" s="7"/>
    </row>
    <row r="891" spans="6:8" ht="15.75" customHeight="1" x14ac:dyDescent="0.2">
      <c r="F891" s="24"/>
      <c r="G891" s="7"/>
      <c r="H891" s="7"/>
    </row>
    <row r="892" spans="6:8" ht="15.75" customHeight="1" x14ac:dyDescent="0.2">
      <c r="F892" s="24"/>
      <c r="G892" s="7"/>
      <c r="H892" s="7"/>
    </row>
    <row r="893" spans="6:8" ht="15.75" customHeight="1" x14ac:dyDescent="0.2">
      <c r="F893" s="24"/>
      <c r="G893" s="7"/>
      <c r="H893" s="7"/>
    </row>
    <row r="894" spans="6:8" ht="15.75" customHeight="1" x14ac:dyDescent="0.2">
      <c r="F894" s="24"/>
      <c r="G894" s="7"/>
      <c r="H894" s="7"/>
    </row>
    <row r="895" spans="6:8" ht="15.75" customHeight="1" x14ac:dyDescent="0.2">
      <c r="F895" s="24"/>
      <c r="G895" s="7"/>
      <c r="H895" s="7"/>
    </row>
    <row r="896" spans="6:8" ht="15.75" customHeight="1" x14ac:dyDescent="0.2">
      <c r="F896" s="24"/>
      <c r="G896" s="7"/>
      <c r="H896" s="7"/>
    </row>
    <row r="897" spans="6:8" ht="15.75" customHeight="1" x14ac:dyDescent="0.2">
      <c r="F897" s="24"/>
      <c r="G897" s="7"/>
      <c r="H897" s="7"/>
    </row>
    <row r="898" spans="6:8" ht="15.75" customHeight="1" x14ac:dyDescent="0.2">
      <c r="F898" s="24"/>
      <c r="G898" s="7"/>
      <c r="H898" s="7"/>
    </row>
    <row r="899" spans="6:8" ht="15.75" customHeight="1" x14ac:dyDescent="0.2">
      <c r="F899" s="24"/>
      <c r="G899" s="7"/>
      <c r="H899" s="7"/>
    </row>
    <row r="900" spans="6:8" ht="15.75" customHeight="1" x14ac:dyDescent="0.2">
      <c r="F900" s="24"/>
      <c r="G900" s="7"/>
      <c r="H900" s="7"/>
    </row>
    <row r="901" spans="6:8" ht="15.75" customHeight="1" x14ac:dyDescent="0.2">
      <c r="F901" s="24"/>
      <c r="G901" s="7"/>
      <c r="H901" s="7"/>
    </row>
    <row r="902" spans="6:8" ht="15.75" customHeight="1" x14ac:dyDescent="0.2">
      <c r="F902" s="24"/>
      <c r="G902" s="7"/>
      <c r="H902" s="7"/>
    </row>
    <row r="903" spans="6:8" ht="15.75" customHeight="1" x14ac:dyDescent="0.2">
      <c r="F903" s="24"/>
      <c r="G903" s="7"/>
      <c r="H903" s="7"/>
    </row>
    <row r="904" spans="6:8" ht="15.75" customHeight="1" x14ac:dyDescent="0.2">
      <c r="F904" s="24"/>
      <c r="G904" s="7"/>
      <c r="H904" s="7"/>
    </row>
    <row r="905" spans="6:8" ht="15.75" customHeight="1" x14ac:dyDescent="0.2">
      <c r="F905" s="24"/>
      <c r="G905" s="7"/>
      <c r="H905" s="7"/>
    </row>
    <row r="906" spans="6:8" ht="15.75" customHeight="1" x14ac:dyDescent="0.2">
      <c r="F906" s="24"/>
      <c r="G906" s="7"/>
      <c r="H906" s="7"/>
    </row>
    <row r="907" spans="6:8" ht="15.75" customHeight="1" x14ac:dyDescent="0.2">
      <c r="F907" s="24"/>
      <c r="G907" s="7"/>
      <c r="H907" s="7"/>
    </row>
    <row r="908" spans="6:8" ht="15.75" customHeight="1" x14ac:dyDescent="0.2">
      <c r="F908" s="24"/>
      <c r="G908" s="7"/>
      <c r="H908" s="7"/>
    </row>
    <row r="909" spans="6:8" ht="15.75" customHeight="1" x14ac:dyDescent="0.2">
      <c r="F909" s="24"/>
      <c r="G909" s="7"/>
      <c r="H909" s="7"/>
    </row>
    <row r="910" spans="6:8" ht="15.75" customHeight="1" x14ac:dyDescent="0.2">
      <c r="F910" s="24"/>
      <c r="G910" s="7"/>
      <c r="H910" s="7"/>
    </row>
    <row r="911" spans="6:8" ht="15.75" customHeight="1" x14ac:dyDescent="0.2">
      <c r="F911" s="24"/>
      <c r="G911" s="7"/>
      <c r="H911" s="7"/>
    </row>
    <row r="912" spans="6:8" ht="15.75" customHeight="1" x14ac:dyDescent="0.2">
      <c r="F912" s="24"/>
      <c r="G912" s="7"/>
      <c r="H912" s="7"/>
    </row>
    <row r="913" spans="6:8" ht="15.75" customHeight="1" x14ac:dyDescent="0.2">
      <c r="F913" s="24"/>
      <c r="G913" s="7"/>
      <c r="H913" s="7"/>
    </row>
    <row r="914" spans="6:8" ht="15.75" customHeight="1" x14ac:dyDescent="0.2">
      <c r="F914" s="24"/>
      <c r="G914" s="7"/>
      <c r="H914" s="7"/>
    </row>
    <row r="915" spans="6:8" ht="15.75" customHeight="1" x14ac:dyDescent="0.2">
      <c r="F915" s="24"/>
      <c r="G915" s="7"/>
      <c r="H915" s="7"/>
    </row>
    <row r="916" spans="6:8" ht="15.75" customHeight="1" x14ac:dyDescent="0.2">
      <c r="F916" s="24"/>
      <c r="G916" s="7"/>
      <c r="H916" s="7"/>
    </row>
    <row r="917" spans="6:8" ht="15.75" customHeight="1" x14ac:dyDescent="0.2">
      <c r="F917" s="24"/>
      <c r="G917" s="7"/>
      <c r="H917" s="7"/>
    </row>
    <row r="918" spans="6:8" ht="15.75" customHeight="1" x14ac:dyDescent="0.2">
      <c r="F918" s="24"/>
      <c r="G918" s="7"/>
      <c r="H918" s="7"/>
    </row>
    <row r="919" spans="6:8" ht="15.75" customHeight="1" x14ac:dyDescent="0.2">
      <c r="F919" s="24"/>
      <c r="G919" s="7"/>
      <c r="H919" s="7"/>
    </row>
    <row r="920" spans="6:8" ht="15.75" customHeight="1" x14ac:dyDescent="0.2">
      <c r="F920" s="24"/>
      <c r="G920" s="7"/>
      <c r="H920" s="7"/>
    </row>
    <row r="921" spans="6:8" ht="15.75" customHeight="1" x14ac:dyDescent="0.2">
      <c r="F921" s="24"/>
      <c r="G921" s="7"/>
      <c r="H921" s="7"/>
    </row>
    <row r="922" spans="6:8" ht="15.75" customHeight="1" x14ac:dyDescent="0.2">
      <c r="F922" s="24"/>
      <c r="G922" s="7"/>
      <c r="H922" s="7"/>
    </row>
    <row r="923" spans="6:8" ht="15.75" customHeight="1" x14ac:dyDescent="0.2">
      <c r="F923" s="24"/>
      <c r="G923" s="7"/>
      <c r="H923" s="7"/>
    </row>
    <row r="924" spans="6:8" ht="15.75" customHeight="1" x14ac:dyDescent="0.2">
      <c r="F924" s="24"/>
      <c r="G924" s="7"/>
      <c r="H924" s="7"/>
    </row>
    <row r="925" spans="6:8" ht="15.75" customHeight="1" x14ac:dyDescent="0.2">
      <c r="F925" s="24"/>
      <c r="G925" s="7"/>
      <c r="H925" s="7"/>
    </row>
    <row r="926" spans="6:8" ht="15.75" customHeight="1" x14ac:dyDescent="0.2">
      <c r="F926" s="24"/>
      <c r="G926" s="7"/>
      <c r="H926" s="7"/>
    </row>
    <row r="927" spans="6:8" ht="15.75" customHeight="1" x14ac:dyDescent="0.2">
      <c r="F927" s="24"/>
      <c r="G927" s="7"/>
      <c r="H927" s="7"/>
    </row>
    <row r="928" spans="6:8" ht="15.75" customHeight="1" x14ac:dyDescent="0.2">
      <c r="F928" s="24"/>
      <c r="G928" s="7"/>
      <c r="H928" s="7"/>
    </row>
    <row r="929" spans="6:8" ht="15.75" customHeight="1" x14ac:dyDescent="0.2">
      <c r="F929" s="24"/>
      <c r="G929" s="7"/>
      <c r="H929" s="7"/>
    </row>
    <row r="930" spans="6:8" ht="15.75" customHeight="1" x14ac:dyDescent="0.2">
      <c r="F930" s="24"/>
      <c r="G930" s="7"/>
      <c r="H930" s="7"/>
    </row>
    <row r="931" spans="6:8" ht="15.75" customHeight="1" x14ac:dyDescent="0.2">
      <c r="F931" s="24"/>
      <c r="G931" s="7"/>
      <c r="H931" s="7"/>
    </row>
    <row r="932" spans="6:8" ht="15.75" customHeight="1" x14ac:dyDescent="0.2">
      <c r="F932" s="24"/>
      <c r="G932" s="7"/>
      <c r="H932" s="7"/>
    </row>
    <row r="933" spans="6:8" ht="15.75" customHeight="1" x14ac:dyDescent="0.2">
      <c r="F933" s="24"/>
      <c r="G933" s="7"/>
      <c r="H933" s="7"/>
    </row>
    <row r="934" spans="6:8" ht="15.75" customHeight="1" x14ac:dyDescent="0.2">
      <c r="F934" s="24"/>
      <c r="G934" s="7"/>
      <c r="H934" s="7"/>
    </row>
    <row r="935" spans="6:8" ht="15.75" customHeight="1" x14ac:dyDescent="0.2">
      <c r="F935" s="24"/>
      <c r="G935" s="7"/>
      <c r="H935" s="7"/>
    </row>
    <row r="936" spans="6:8" ht="15.75" customHeight="1" x14ac:dyDescent="0.2">
      <c r="F936" s="24"/>
      <c r="G936" s="7"/>
      <c r="H936" s="7"/>
    </row>
    <row r="937" spans="6:8" ht="15.75" customHeight="1" x14ac:dyDescent="0.2">
      <c r="F937" s="24"/>
      <c r="G937" s="7"/>
      <c r="H937" s="7"/>
    </row>
    <row r="938" spans="6:8" ht="15.75" customHeight="1" x14ac:dyDescent="0.2">
      <c r="F938" s="24"/>
      <c r="G938" s="7"/>
      <c r="H938" s="7"/>
    </row>
    <row r="939" spans="6:8" ht="15.75" customHeight="1" x14ac:dyDescent="0.2">
      <c r="F939" s="24"/>
      <c r="G939" s="7"/>
      <c r="H939" s="7"/>
    </row>
    <row r="940" spans="6:8" ht="15.75" customHeight="1" x14ac:dyDescent="0.2">
      <c r="F940" s="24"/>
      <c r="G940" s="7"/>
      <c r="H940" s="7"/>
    </row>
    <row r="941" spans="6:8" ht="15.75" customHeight="1" x14ac:dyDescent="0.2">
      <c r="F941" s="24"/>
      <c r="G941" s="7"/>
      <c r="H941" s="7"/>
    </row>
    <row r="942" spans="6:8" ht="15.75" customHeight="1" x14ac:dyDescent="0.2">
      <c r="F942" s="24"/>
      <c r="G942" s="7"/>
      <c r="H942" s="7"/>
    </row>
    <row r="943" spans="6:8" ht="15.75" customHeight="1" x14ac:dyDescent="0.2">
      <c r="F943" s="24"/>
      <c r="G943" s="7"/>
      <c r="H943" s="7"/>
    </row>
    <row r="944" spans="6:8" ht="15.75" customHeight="1" x14ac:dyDescent="0.2">
      <c r="F944" s="24"/>
      <c r="G944" s="7"/>
      <c r="H944" s="7"/>
    </row>
    <row r="945" spans="6:8" ht="15.75" customHeight="1" x14ac:dyDescent="0.2">
      <c r="F945" s="24"/>
      <c r="G945" s="7"/>
      <c r="H945" s="7"/>
    </row>
    <row r="946" spans="6:8" ht="15.75" customHeight="1" x14ac:dyDescent="0.2">
      <c r="F946" s="24"/>
      <c r="G946" s="7"/>
      <c r="H946" s="7"/>
    </row>
    <row r="947" spans="6:8" ht="15.75" customHeight="1" x14ac:dyDescent="0.2">
      <c r="F947" s="24"/>
      <c r="G947" s="7"/>
      <c r="H947" s="7"/>
    </row>
    <row r="948" spans="6:8" ht="15.75" customHeight="1" x14ac:dyDescent="0.2">
      <c r="F948" s="24"/>
      <c r="G948" s="7"/>
      <c r="H948" s="7"/>
    </row>
    <row r="949" spans="6:8" ht="15.75" customHeight="1" x14ac:dyDescent="0.2">
      <c r="F949" s="24"/>
      <c r="G949" s="7"/>
      <c r="H949" s="7"/>
    </row>
    <row r="950" spans="6:8" ht="15.75" customHeight="1" x14ac:dyDescent="0.2">
      <c r="F950" s="24"/>
      <c r="G950" s="7"/>
      <c r="H950" s="7"/>
    </row>
    <row r="951" spans="6:8" ht="15.75" customHeight="1" x14ac:dyDescent="0.2">
      <c r="F951" s="24"/>
      <c r="G951" s="7"/>
      <c r="H951" s="7"/>
    </row>
    <row r="952" spans="6:8" ht="15.75" customHeight="1" x14ac:dyDescent="0.2">
      <c r="F952" s="24"/>
      <c r="G952" s="7"/>
      <c r="H952" s="7"/>
    </row>
    <row r="953" spans="6:8" ht="15.75" customHeight="1" x14ac:dyDescent="0.2">
      <c r="F953" s="24"/>
      <c r="G953" s="7"/>
      <c r="H953" s="7"/>
    </row>
    <row r="954" spans="6:8" ht="15.75" customHeight="1" x14ac:dyDescent="0.2">
      <c r="F954" s="24"/>
      <c r="G954" s="7"/>
      <c r="H954" s="7"/>
    </row>
    <row r="955" spans="6:8" ht="15.75" customHeight="1" x14ac:dyDescent="0.2">
      <c r="F955" s="24"/>
      <c r="G955" s="7"/>
      <c r="H955" s="7"/>
    </row>
    <row r="956" spans="6:8" ht="15.75" customHeight="1" x14ac:dyDescent="0.2">
      <c r="F956" s="24"/>
      <c r="G956" s="7"/>
      <c r="H956" s="7"/>
    </row>
    <row r="957" spans="6:8" ht="15.75" customHeight="1" x14ac:dyDescent="0.2">
      <c r="F957" s="24"/>
      <c r="G957" s="7"/>
      <c r="H957" s="7"/>
    </row>
    <row r="958" spans="6:8" ht="15.75" customHeight="1" x14ac:dyDescent="0.2">
      <c r="F958" s="24"/>
      <c r="G958" s="7"/>
      <c r="H958" s="7"/>
    </row>
    <row r="959" spans="6:8" ht="15.75" customHeight="1" x14ac:dyDescent="0.2">
      <c r="F959" s="24"/>
      <c r="G959" s="7"/>
      <c r="H959" s="7"/>
    </row>
    <row r="960" spans="6:8" ht="15.75" customHeight="1" x14ac:dyDescent="0.2">
      <c r="F960" s="24"/>
      <c r="G960" s="7"/>
      <c r="H960" s="7"/>
    </row>
    <row r="961" spans="6:8" ht="15.75" customHeight="1" x14ac:dyDescent="0.2">
      <c r="F961" s="24"/>
      <c r="G961" s="7"/>
      <c r="H961" s="7"/>
    </row>
    <row r="962" spans="6:8" ht="15.75" customHeight="1" x14ac:dyDescent="0.2">
      <c r="F962" s="24"/>
      <c r="G962" s="7"/>
      <c r="H962" s="7"/>
    </row>
    <row r="963" spans="6:8" ht="15.75" customHeight="1" x14ac:dyDescent="0.2">
      <c r="F963" s="24"/>
      <c r="G963" s="7"/>
      <c r="H963" s="7"/>
    </row>
    <row r="964" spans="6:8" ht="15.75" customHeight="1" x14ac:dyDescent="0.2">
      <c r="F964" s="24"/>
      <c r="G964" s="7"/>
      <c r="H964" s="7"/>
    </row>
    <row r="965" spans="6:8" ht="15.75" customHeight="1" x14ac:dyDescent="0.2">
      <c r="F965" s="24"/>
      <c r="G965" s="7"/>
      <c r="H965" s="7"/>
    </row>
    <row r="966" spans="6:8" ht="15.75" customHeight="1" x14ac:dyDescent="0.2">
      <c r="F966" s="24"/>
      <c r="G966" s="7"/>
      <c r="H966" s="7"/>
    </row>
    <row r="967" spans="6:8" ht="15.75" customHeight="1" x14ac:dyDescent="0.2">
      <c r="F967" s="24"/>
      <c r="G967" s="7"/>
      <c r="H967" s="7"/>
    </row>
    <row r="968" spans="6:8" ht="15.75" customHeight="1" x14ac:dyDescent="0.2">
      <c r="F968" s="24"/>
      <c r="G968" s="7"/>
      <c r="H968" s="7"/>
    </row>
    <row r="969" spans="6:8" ht="15.75" customHeight="1" x14ac:dyDescent="0.2">
      <c r="F969" s="24"/>
      <c r="G969" s="7"/>
      <c r="H969" s="7"/>
    </row>
    <row r="970" spans="6:8" ht="15.75" customHeight="1" x14ac:dyDescent="0.2">
      <c r="F970" s="24"/>
      <c r="G970" s="7"/>
      <c r="H970" s="7"/>
    </row>
    <row r="971" spans="6:8" ht="15.75" customHeight="1" x14ac:dyDescent="0.2">
      <c r="F971" s="24"/>
      <c r="G971" s="7"/>
      <c r="H971" s="7"/>
    </row>
    <row r="972" spans="6:8" ht="15.75" customHeight="1" x14ac:dyDescent="0.2">
      <c r="F972" s="24"/>
      <c r="G972" s="7"/>
      <c r="H972" s="7"/>
    </row>
    <row r="973" spans="6:8" ht="15.75" customHeight="1" x14ac:dyDescent="0.2">
      <c r="F973" s="24"/>
      <c r="G973" s="7"/>
      <c r="H973" s="7"/>
    </row>
    <row r="974" spans="6:8" ht="15.75" customHeight="1" x14ac:dyDescent="0.2">
      <c r="F974" s="24"/>
      <c r="G974" s="7"/>
      <c r="H974" s="7"/>
    </row>
    <row r="975" spans="6:8" ht="15.75" customHeight="1" x14ac:dyDescent="0.2">
      <c r="F975" s="24"/>
      <c r="G975" s="7"/>
      <c r="H975" s="7"/>
    </row>
    <row r="976" spans="6:8" ht="15.75" customHeight="1" x14ac:dyDescent="0.2">
      <c r="F976" s="24"/>
      <c r="G976" s="7"/>
      <c r="H976" s="7"/>
    </row>
    <row r="977" spans="6:8" ht="15.75" customHeight="1" x14ac:dyDescent="0.2">
      <c r="F977" s="24"/>
      <c r="G977" s="7"/>
      <c r="H977" s="7"/>
    </row>
    <row r="978" spans="6:8" ht="15.75" customHeight="1" x14ac:dyDescent="0.2">
      <c r="F978" s="24"/>
      <c r="G978" s="7"/>
      <c r="H978" s="7"/>
    </row>
    <row r="979" spans="6:8" ht="15.75" customHeight="1" x14ac:dyDescent="0.2">
      <c r="F979" s="24"/>
      <c r="G979" s="7"/>
      <c r="H979" s="7"/>
    </row>
    <row r="980" spans="6:8" ht="15.75" customHeight="1" x14ac:dyDescent="0.2">
      <c r="F980" s="24"/>
      <c r="G980" s="7"/>
      <c r="H980" s="7"/>
    </row>
    <row r="981" spans="6:8" ht="15.75" customHeight="1" x14ac:dyDescent="0.2">
      <c r="F981" s="24"/>
      <c r="G981" s="7"/>
      <c r="H981" s="7"/>
    </row>
    <row r="982" spans="6:8" ht="15.75" customHeight="1" x14ac:dyDescent="0.2">
      <c r="F982" s="24"/>
      <c r="G982" s="7"/>
      <c r="H982" s="7"/>
    </row>
    <row r="983" spans="6:8" ht="15.75" customHeight="1" x14ac:dyDescent="0.2">
      <c r="F983" s="24"/>
      <c r="G983" s="7"/>
      <c r="H983" s="7"/>
    </row>
    <row r="984" spans="6:8" ht="15.75" customHeight="1" x14ac:dyDescent="0.2">
      <c r="F984" s="24"/>
      <c r="G984" s="7"/>
      <c r="H984" s="7"/>
    </row>
    <row r="985" spans="6:8" ht="15.75" customHeight="1" x14ac:dyDescent="0.2">
      <c r="F985" s="24"/>
      <c r="G985" s="7"/>
      <c r="H985" s="7"/>
    </row>
    <row r="986" spans="6:8" ht="15.75" customHeight="1" x14ac:dyDescent="0.2">
      <c r="F986" s="24"/>
      <c r="G986" s="7"/>
      <c r="H986" s="7"/>
    </row>
    <row r="987" spans="6:8" ht="15.75" customHeight="1" x14ac:dyDescent="0.2">
      <c r="F987" s="24"/>
      <c r="G987" s="7"/>
      <c r="H987" s="7"/>
    </row>
    <row r="988" spans="6:8" ht="15.75" customHeight="1" x14ac:dyDescent="0.2">
      <c r="F988" s="24"/>
      <c r="G988" s="7"/>
      <c r="H988" s="7"/>
    </row>
    <row r="989" spans="6:8" ht="15.75" customHeight="1" x14ac:dyDescent="0.2">
      <c r="F989" s="24"/>
      <c r="G989" s="7"/>
      <c r="H989" s="7"/>
    </row>
    <row r="990" spans="6:8" ht="15.75" customHeight="1" x14ac:dyDescent="0.2">
      <c r="F990" s="24"/>
      <c r="G990" s="7"/>
      <c r="H990" s="7"/>
    </row>
    <row r="991" spans="6:8" ht="15.75" customHeight="1" x14ac:dyDescent="0.2">
      <c r="F991" s="24"/>
      <c r="G991" s="7"/>
      <c r="H991" s="7"/>
    </row>
    <row r="992" spans="6:8" ht="15.75" customHeight="1" x14ac:dyDescent="0.2">
      <c r="F992" s="24"/>
      <c r="G992" s="7"/>
      <c r="H992" s="7"/>
    </row>
    <row r="993" spans="6:8" ht="15.75" customHeight="1" x14ac:dyDescent="0.2">
      <c r="F993" s="24"/>
      <c r="G993" s="7"/>
      <c r="H993" s="7"/>
    </row>
    <row r="994" spans="6:8" ht="15.75" customHeight="1" x14ac:dyDescent="0.2">
      <c r="F994" s="24"/>
      <c r="G994" s="7"/>
      <c r="H994" s="7"/>
    </row>
    <row r="995" spans="6:8" ht="15.75" customHeight="1" x14ac:dyDescent="0.2">
      <c r="F995" s="24"/>
      <c r="G995" s="7"/>
      <c r="H995" s="7"/>
    </row>
    <row r="996" spans="6:8" ht="15.75" customHeight="1" x14ac:dyDescent="0.2">
      <c r="F996" s="24"/>
      <c r="G996" s="7"/>
      <c r="H996" s="7"/>
    </row>
    <row r="997" spans="6:8" ht="15.75" customHeight="1" x14ac:dyDescent="0.2">
      <c r="F997" s="24"/>
      <c r="G997" s="7"/>
      <c r="H997" s="7"/>
    </row>
    <row r="998" spans="6:8" ht="15.75" customHeight="1" x14ac:dyDescent="0.2">
      <c r="F998" s="24"/>
      <c r="G998" s="7"/>
      <c r="H998" s="7"/>
    </row>
    <row r="999" spans="6:8" ht="15.75" customHeight="1" x14ac:dyDescent="0.2">
      <c r="F999" s="24"/>
      <c r="G999" s="7"/>
      <c r="H999" s="7"/>
    </row>
    <row r="1000" spans="6:8" ht="15.75" customHeight="1" x14ac:dyDescent="0.2">
      <c r="F1000" s="24"/>
      <c r="G1000" s="7"/>
      <c r="H1000" s="7"/>
    </row>
    <row r="1001" spans="6:8" ht="15.75" customHeight="1" x14ac:dyDescent="0.2">
      <c r="F1001" s="24"/>
      <c r="G1001" s="7"/>
      <c r="H1001" s="7"/>
    </row>
    <row r="1002" spans="6:8" ht="15.75" customHeight="1" x14ac:dyDescent="0.2">
      <c r="F1002" s="24"/>
      <c r="G1002" s="7"/>
      <c r="H1002" s="7"/>
    </row>
    <row r="1003" spans="6:8" ht="15.75" customHeight="1" x14ac:dyDescent="0.2">
      <c r="F1003" s="24"/>
      <c r="G1003" s="7"/>
      <c r="H1003" s="7"/>
    </row>
    <row r="1004" spans="6:8" ht="15.75" customHeight="1" x14ac:dyDescent="0.2">
      <c r="F1004" s="24"/>
      <c r="G1004" s="7"/>
      <c r="H1004" s="7"/>
    </row>
    <row r="1005" spans="6:8" ht="15.75" customHeight="1" x14ac:dyDescent="0.2">
      <c r="F1005" s="24"/>
      <c r="G1005" s="7"/>
      <c r="H1005" s="7"/>
    </row>
    <row r="1006" spans="6:8" ht="15.75" customHeight="1" x14ac:dyDescent="0.2">
      <c r="F1006" s="24"/>
      <c r="G1006" s="7"/>
      <c r="H1006" s="7"/>
    </row>
    <row r="1007" spans="6:8" ht="15.75" customHeight="1" x14ac:dyDescent="0.2">
      <c r="F1007" s="24"/>
      <c r="G1007" s="7"/>
      <c r="H1007" s="7"/>
    </row>
    <row r="1008" spans="6:8" ht="15.75" customHeight="1" x14ac:dyDescent="0.2">
      <c r="F1008" s="24"/>
      <c r="G1008" s="7"/>
      <c r="H1008" s="7"/>
    </row>
    <row r="1009" spans="6:8" ht="15.75" customHeight="1" x14ac:dyDescent="0.2">
      <c r="F1009" s="24"/>
      <c r="G1009" s="7"/>
      <c r="H1009" s="7"/>
    </row>
    <row r="1010" spans="6:8" ht="15.75" customHeight="1" x14ac:dyDescent="0.2">
      <c r="F1010" s="24"/>
      <c r="G1010" s="7"/>
      <c r="H1010" s="7"/>
    </row>
    <row r="1011" spans="6:8" ht="15.75" customHeight="1" x14ac:dyDescent="0.2">
      <c r="F1011" s="24"/>
      <c r="G1011" s="7"/>
      <c r="H1011" s="7"/>
    </row>
    <row r="1012" spans="6:8" ht="15.75" customHeight="1" x14ac:dyDescent="0.2">
      <c r="F1012" s="24"/>
      <c r="G1012" s="7"/>
      <c r="H1012" s="7"/>
    </row>
    <row r="1013" spans="6:8" ht="15.75" customHeight="1" x14ac:dyDescent="0.2">
      <c r="F1013" s="24"/>
      <c r="G1013" s="7"/>
      <c r="H1013" s="7"/>
    </row>
    <row r="1014" spans="6:8" ht="15.75" customHeight="1" x14ac:dyDescent="0.2">
      <c r="F1014" s="24"/>
      <c r="G1014" s="7"/>
      <c r="H1014" s="7"/>
    </row>
    <row r="1015" spans="6:8" ht="15.75" customHeight="1" x14ac:dyDescent="0.2">
      <c r="F1015" s="24"/>
      <c r="G1015" s="7"/>
      <c r="H1015" s="7"/>
    </row>
    <row r="1016" spans="6:8" ht="15.75" customHeight="1" x14ac:dyDescent="0.2">
      <c r="F1016" s="24"/>
      <c r="G1016" s="7"/>
      <c r="H1016" s="7"/>
    </row>
    <row r="1017" spans="6:8" ht="15.75" customHeight="1" x14ac:dyDescent="0.2">
      <c r="F1017" s="24"/>
      <c r="G1017" s="7"/>
      <c r="H1017" s="7"/>
    </row>
    <row r="1018" spans="6:8" ht="15.75" customHeight="1" x14ac:dyDescent="0.2">
      <c r="F1018" s="24"/>
      <c r="G1018" s="7"/>
      <c r="H1018" s="7"/>
    </row>
    <row r="1019" spans="6:8" ht="15.75" customHeight="1" x14ac:dyDescent="0.2">
      <c r="F1019" s="24"/>
      <c r="G1019" s="7"/>
      <c r="H1019" s="7"/>
    </row>
    <row r="1020" spans="6:8" ht="15.75" customHeight="1" x14ac:dyDescent="0.2">
      <c r="F1020" s="24"/>
      <c r="G1020" s="7"/>
      <c r="H1020" s="7"/>
    </row>
    <row r="1021" spans="6:8" ht="15.75" customHeight="1" x14ac:dyDescent="0.2">
      <c r="F1021" s="24"/>
      <c r="G1021" s="7"/>
      <c r="H1021" s="7"/>
    </row>
    <row r="1022" spans="6:8" ht="15.75" customHeight="1" x14ac:dyDescent="0.2">
      <c r="F1022" s="24"/>
      <c r="G1022" s="7"/>
      <c r="H1022" s="7"/>
    </row>
    <row r="1023" spans="6:8" ht="15.75" customHeight="1" x14ac:dyDescent="0.2">
      <c r="F1023" s="24"/>
      <c r="G1023" s="7"/>
      <c r="H1023" s="7"/>
    </row>
    <row r="1024" spans="6:8" ht="15.75" customHeight="1" x14ac:dyDescent="0.2">
      <c r="F1024" s="24"/>
      <c r="G1024" s="7"/>
      <c r="H1024" s="7"/>
    </row>
    <row r="1025" spans="6:8" ht="15.75" customHeight="1" x14ac:dyDescent="0.2">
      <c r="F1025" s="24"/>
      <c r="G1025" s="7"/>
      <c r="H1025" s="7"/>
    </row>
    <row r="1026" spans="6:8" ht="15.75" customHeight="1" x14ac:dyDescent="0.2">
      <c r="F1026" s="24"/>
      <c r="G1026" s="7"/>
      <c r="H1026" s="7"/>
    </row>
    <row r="1027" spans="6:8" ht="15.75" customHeight="1" x14ac:dyDescent="0.2">
      <c r="F1027" s="24"/>
      <c r="G1027" s="7"/>
      <c r="H1027" s="7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79"/>
  <sheetViews>
    <sheetView workbookViewId="0">
      <pane ySplit="1" topLeftCell="A590" activePane="bottomLeft" state="frozen"/>
      <selection pane="bottomLeft" activeCell="I602" sqref="I602"/>
    </sheetView>
  </sheetViews>
  <sheetFormatPr baseColWidth="10" defaultColWidth="11.1640625" defaultRowHeight="15" customHeight="1" x14ac:dyDescent="0.2"/>
  <cols>
    <col min="1" max="2" width="10.5" customWidth="1"/>
    <col min="3" max="3" width="10.83203125" style="203" customWidth="1"/>
    <col min="4" max="4" width="11.83203125" style="190" customWidth="1"/>
    <col min="5" max="7" width="10.83203125" style="190" customWidth="1"/>
    <col min="8" max="8" width="8.1640625" style="190" customWidth="1"/>
    <col min="9" max="9" width="11.33203125" customWidth="1"/>
    <col min="10" max="10" width="10.83203125" style="190" customWidth="1"/>
    <col min="11" max="11" width="10.83203125" customWidth="1"/>
    <col min="12" max="13" width="10.5" customWidth="1"/>
    <col min="14" max="15" width="11.5" customWidth="1"/>
    <col min="16" max="26" width="10.5" customWidth="1"/>
  </cols>
  <sheetData>
    <row r="1" spans="1:26" ht="33.75" customHeight="1" x14ac:dyDescent="0.2">
      <c r="A1" s="3"/>
      <c r="B1" s="3" t="s">
        <v>49</v>
      </c>
      <c r="C1" s="199" t="s">
        <v>50</v>
      </c>
      <c r="D1" s="19" t="s">
        <v>51</v>
      </c>
      <c r="E1" s="24" t="s">
        <v>52</v>
      </c>
      <c r="F1" s="40" t="s">
        <v>53</v>
      </c>
      <c r="G1" s="7" t="s">
        <v>54</v>
      </c>
      <c r="H1" s="41" t="s">
        <v>55</v>
      </c>
      <c r="I1" s="2" t="s">
        <v>56</v>
      </c>
      <c r="J1" s="2" t="s">
        <v>57</v>
      </c>
      <c r="K1" s="2" t="s">
        <v>58</v>
      </c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3"/>
      <c r="B2" s="3"/>
      <c r="C2" s="199"/>
      <c r="D2" s="19"/>
      <c r="E2" s="24"/>
      <c r="F2" s="40"/>
      <c r="G2" s="7"/>
      <c r="H2" s="41"/>
      <c r="I2" s="2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3"/>
      <c r="B3" s="3"/>
      <c r="C3" s="200">
        <v>45097</v>
      </c>
      <c r="D3" s="19">
        <v>0.67361111111111116</v>
      </c>
      <c r="E3" s="24"/>
      <c r="F3" s="40"/>
      <c r="G3" s="7"/>
      <c r="H3" s="41"/>
      <c r="I3" s="2"/>
      <c r="J3" s="2">
        <v>7.5</v>
      </c>
      <c r="K3" s="2">
        <v>9.5</v>
      </c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3"/>
      <c r="B4" s="2"/>
      <c r="C4" s="200">
        <v>45097</v>
      </c>
      <c r="D4" s="42">
        <v>0.68055555555555547</v>
      </c>
      <c r="E4" s="24">
        <v>0.1</v>
      </c>
      <c r="F4" s="24">
        <v>10.14</v>
      </c>
      <c r="G4" s="41">
        <v>104.5</v>
      </c>
      <c r="H4" s="41">
        <v>16.8</v>
      </c>
      <c r="I4" s="2"/>
      <c r="J4" s="2"/>
      <c r="K4" s="2"/>
      <c r="L4" s="2"/>
      <c r="M4" s="2"/>
      <c r="N4" s="2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3"/>
      <c r="B5" s="2"/>
      <c r="C5" s="200">
        <v>45097</v>
      </c>
      <c r="D5" s="42">
        <v>0.68055555555555547</v>
      </c>
      <c r="E5" s="24">
        <v>1</v>
      </c>
      <c r="F5" s="24">
        <v>10.11</v>
      </c>
      <c r="G5" s="41">
        <v>104.4</v>
      </c>
      <c r="H5" s="41">
        <v>16.899999999999999</v>
      </c>
      <c r="I5" s="2"/>
      <c r="J5" s="2"/>
      <c r="K5" s="2"/>
      <c r="L5" s="2"/>
      <c r="M5" s="2"/>
      <c r="N5" s="2"/>
      <c r="O5" s="2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3"/>
      <c r="B6" s="2"/>
      <c r="C6" s="200">
        <v>45097</v>
      </c>
      <c r="D6" s="42">
        <v>0.68055555555555547</v>
      </c>
      <c r="E6" s="24">
        <v>2</v>
      </c>
      <c r="F6" s="24">
        <v>10.09</v>
      </c>
      <c r="G6" s="41">
        <v>104.2</v>
      </c>
      <c r="H6" s="41">
        <v>16.899999999999999</v>
      </c>
      <c r="I6" s="2"/>
      <c r="J6" s="2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3"/>
      <c r="B7" s="2"/>
      <c r="C7" s="200">
        <v>45097</v>
      </c>
      <c r="D7" s="42">
        <v>0.68055555555555547</v>
      </c>
      <c r="E7" s="24">
        <v>3</v>
      </c>
      <c r="F7" s="24">
        <v>10.08</v>
      </c>
      <c r="G7" s="41">
        <v>104.1</v>
      </c>
      <c r="H7" s="41">
        <v>16.899999999999999</v>
      </c>
      <c r="I7" s="2"/>
      <c r="J7" s="2"/>
      <c r="K7" s="2"/>
      <c r="L7" s="2"/>
      <c r="M7" s="2"/>
      <c r="N7" s="2"/>
      <c r="O7" s="2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3"/>
      <c r="B8" s="2"/>
      <c r="C8" s="200">
        <v>45097</v>
      </c>
      <c r="D8" s="42">
        <v>0.68055555555555547</v>
      </c>
      <c r="E8" s="24">
        <v>4</v>
      </c>
      <c r="F8" s="24">
        <v>10.06</v>
      </c>
      <c r="G8" s="41">
        <v>103.9</v>
      </c>
      <c r="H8" s="41">
        <v>16.899999999999999</v>
      </c>
      <c r="I8" s="2"/>
      <c r="J8" s="2"/>
      <c r="K8" s="2"/>
      <c r="L8" s="2"/>
      <c r="M8" s="2"/>
      <c r="N8" s="2"/>
      <c r="O8" s="2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3"/>
      <c r="B9" s="2"/>
      <c r="C9" s="200">
        <v>45097</v>
      </c>
      <c r="D9" s="42">
        <v>0.68055555555555547</v>
      </c>
      <c r="E9" s="24">
        <v>5</v>
      </c>
      <c r="F9" s="24">
        <v>10.08</v>
      </c>
      <c r="G9" s="41">
        <v>103.8</v>
      </c>
      <c r="H9" s="41">
        <v>16.899999999999999</v>
      </c>
      <c r="I9" s="2"/>
      <c r="J9" s="2"/>
      <c r="K9" s="2"/>
      <c r="L9" s="2"/>
      <c r="M9" s="2"/>
      <c r="N9" s="2"/>
      <c r="O9" s="2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3"/>
      <c r="B10" s="2"/>
      <c r="C10" s="200">
        <v>45097</v>
      </c>
      <c r="D10" s="42">
        <v>0.68055555555555547</v>
      </c>
      <c r="E10" s="24">
        <v>6</v>
      </c>
      <c r="F10" s="24">
        <v>10.029999999999999</v>
      </c>
      <c r="G10" s="41">
        <v>103.6</v>
      </c>
      <c r="H10" s="41">
        <v>16.899999999999999</v>
      </c>
      <c r="I10" s="2"/>
      <c r="J10" s="2"/>
      <c r="K10" s="2"/>
      <c r="L10" s="2"/>
      <c r="M10" s="2"/>
      <c r="N10" s="2"/>
      <c r="O10" s="2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3"/>
      <c r="B11" s="2"/>
      <c r="C11" s="200">
        <v>45097</v>
      </c>
      <c r="D11" s="42">
        <v>0.68055555555555547</v>
      </c>
      <c r="E11" s="24">
        <v>7</v>
      </c>
      <c r="F11" s="24">
        <v>10.63</v>
      </c>
      <c r="G11" s="41">
        <v>106</v>
      </c>
      <c r="H11" s="41">
        <v>15.3</v>
      </c>
      <c r="I11" s="2"/>
      <c r="J11" s="2"/>
      <c r="K11" s="2"/>
      <c r="L11" s="2"/>
      <c r="M11" s="2"/>
      <c r="N11" s="2"/>
      <c r="O11" s="2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3"/>
      <c r="B12" s="2"/>
      <c r="C12" s="200">
        <v>45097</v>
      </c>
      <c r="D12" s="42">
        <v>0.68055555555555547</v>
      </c>
      <c r="E12" s="24">
        <v>8</v>
      </c>
      <c r="F12" s="24">
        <v>11.06</v>
      </c>
      <c r="G12" s="41">
        <v>107.6</v>
      </c>
      <c r="H12" s="41">
        <v>14.1</v>
      </c>
      <c r="I12" s="2"/>
      <c r="J12" s="2"/>
      <c r="K12" s="2"/>
      <c r="L12" s="2"/>
      <c r="M12" s="2"/>
      <c r="N12" s="2"/>
      <c r="O12" s="2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3"/>
      <c r="B13" s="2"/>
      <c r="C13" s="200">
        <v>45097</v>
      </c>
      <c r="D13" s="42">
        <v>0.68055555555555547</v>
      </c>
      <c r="E13" s="24">
        <v>9</v>
      </c>
      <c r="F13" s="24">
        <v>11.8</v>
      </c>
      <c r="G13" s="41">
        <v>109.3</v>
      </c>
      <c r="H13" s="41">
        <v>12</v>
      </c>
      <c r="I13" s="2"/>
      <c r="J13" s="2"/>
      <c r="K13" s="2"/>
      <c r="L13" s="2"/>
      <c r="M13" s="2"/>
      <c r="N13" s="2"/>
      <c r="O13" s="2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3"/>
      <c r="B14" s="2"/>
      <c r="C14" s="200">
        <v>45097</v>
      </c>
      <c r="D14" s="42">
        <v>0.68055555555555547</v>
      </c>
      <c r="E14" s="24">
        <v>10</v>
      </c>
      <c r="F14" s="24">
        <v>11.97</v>
      </c>
      <c r="G14" s="7">
        <v>107.8</v>
      </c>
      <c r="H14" s="7">
        <v>10.7</v>
      </c>
      <c r="I14" s="2"/>
      <c r="J14" s="3"/>
      <c r="K14" s="3"/>
      <c r="L14" s="2"/>
      <c r="M14" s="2"/>
      <c r="N14" s="2"/>
      <c r="O14" s="2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3"/>
      <c r="B15" s="2"/>
      <c r="C15" s="200">
        <v>45097</v>
      </c>
      <c r="D15" s="42">
        <v>0.68055555555555547</v>
      </c>
      <c r="E15" s="24">
        <v>11</v>
      </c>
      <c r="F15" s="24">
        <v>12.09</v>
      </c>
      <c r="G15" s="7">
        <v>102.8</v>
      </c>
      <c r="H15" s="7">
        <v>8.3000000000000007</v>
      </c>
      <c r="I15" s="2"/>
      <c r="J15" s="3"/>
      <c r="K15" s="3"/>
      <c r="L15" s="2"/>
      <c r="M15" s="2"/>
      <c r="N15" s="2"/>
      <c r="O15" s="2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3"/>
      <c r="B16" s="2"/>
      <c r="C16" s="200"/>
      <c r="D16" s="42"/>
      <c r="E16" s="24"/>
      <c r="F16" s="24"/>
      <c r="G16" s="7"/>
      <c r="H16" s="7"/>
      <c r="I16" s="2"/>
      <c r="J16" s="3"/>
      <c r="K16" s="3"/>
      <c r="L16" s="2"/>
      <c r="M16" s="2"/>
      <c r="N16" s="2"/>
      <c r="O16" s="2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3"/>
      <c r="B17" s="2"/>
      <c r="C17" s="200">
        <v>45134</v>
      </c>
      <c r="D17" s="42">
        <v>0.59305555555555556</v>
      </c>
      <c r="E17" s="24"/>
      <c r="F17" s="24"/>
      <c r="G17" s="7"/>
      <c r="H17" s="7"/>
      <c r="I17" s="2"/>
      <c r="J17" s="3">
        <v>9</v>
      </c>
      <c r="K17" s="3">
        <v>12</v>
      </c>
      <c r="L17" s="2"/>
      <c r="M17" s="2"/>
      <c r="N17" s="2"/>
      <c r="O17" s="2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3"/>
      <c r="B18" s="2"/>
      <c r="C18" s="200">
        <v>45134</v>
      </c>
      <c r="D18" s="42">
        <v>0.59305555555555556</v>
      </c>
      <c r="E18" s="24">
        <v>0.1</v>
      </c>
      <c r="F18" s="24">
        <v>9.07</v>
      </c>
      <c r="G18" s="7">
        <v>105.1</v>
      </c>
      <c r="H18" s="7">
        <v>22.7</v>
      </c>
      <c r="I18" s="2"/>
      <c r="J18" s="3"/>
      <c r="K18" s="3"/>
      <c r="L18" s="2"/>
      <c r="M18" s="2"/>
      <c r="N18" s="2"/>
      <c r="O18" s="2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3"/>
      <c r="B19" s="2"/>
      <c r="C19" s="200">
        <v>45134</v>
      </c>
      <c r="D19" s="42">
        <v>0.59305555555555556</v>
      </c>
      <c r="E19" s="24">
        <v>1</v>
      </c>
      <c r="F19" s="24">
        <v>9.1199999999999992</v>
      </c>
      <c r="G19" s="7">
        <v>105</v>
      </c>
      <c r="H19" s="7">
        <v>22.4</v>
      </c>
      <c r="I19" s="2"/>
      <c r="J19" s="3"/>
      <c r="K19" s="3"/>
      <c r="L19" s="2"/>
      <c r="M19" s="2"/>
      <c r="N19" s="2"/>
      <c r="O19" s="2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3"/>
      <c r="B20" s="2"/>
      <c r="C20" s="200">
        <v>45134</v>
      </c>
      <c r="D20" s="42">
        <v>0.59305555555555556</v>
      </c>
      <c r="E20" s="24">
        <v>2</v>
      </c>
      <c r="F20" s="24">
        <v>9.1199999999999992</v>
      </c>
      <c r="G20" s="7">
        <v>104.9</v>
      </c>
      <c r="H20" s="7">
        <v>22.3</v>
      </c>
      <c r="I20" s="2"/>
      <c r="J20" s="3"/>
      <c r="K20" s="3"/>
      <c r="L20" s="2"/>
      <c r="M20" s="2"/>
      <c r="N20" s="2"/>
      <c r="O20" s="2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2"/>
      <c r="C21" s="200">
        <v>45134</v>
      </c>
      <c r="D21" s="42">
        <v>0.59305555555555556</v>
      </c>
      <c r="E21" s="24">
        <v>3</v>
      </c>
      <c r="F21" s="24">
        <v>9.1300000000000008</v>
      </c>
      <c r="G21" s="7">
        <v>104.8</v>
      </c>
      <c r="H21" s="7">
        <v>22.2</v>
      </c>
      <c r="I21" s="2"/>
      <c r="J21" s="3"/>
      <c r="K21" s="3"/>
      <c r="L21" s="2"/>
      <c r="M21" s="2"/>
      <c r="N21" s="2"/>
      <c r="O21" s="2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/>
      <c r="B22" s="2"/>
      <c r="C22" s="200">
        <v>45134</v>
      </c>
      <c r="D22" s="42">
        <v>0.59305555555555556</v>
      </c>
      <c r="E22" s="24">
        <v>4</v>
      </c>
      <c r="F22" s="24">
        <v>9.1199999999999992</v>
      </c>
      <c r="G22" s="7">
        <v>104.5</v>
      </c>
      <c r="H22" s="7">
        <v>22.2</v>
      </c>
      <c r="I22" s="2"/>
      <c r="J22" s="3"/>
      <c r="K22" s="3"/>
      <c r="L22" s="2"/>
      <c r="M22" s="2"/>
      <c r="N22" s="2"/>
      <c r="O22" s="2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2"/>
      <c r="C23" s="200">
        <v>45134</v>
      </c>
      <c r="D23" s="42">
        <v>0.59305555555555556</v>
      </c>
      <c r="E23" s="24">
        <v>5</v>
      </c>
      <c r="F23" s="24">
        <v>9.1199999999999992</v>
      </c>
      <c r="G23" s="7">
        <v>103.7</v>
      </c>
      <c r="H23" s="7">
        <v>21.7</v>
      </c>
      <c r="I23" s="2"/>
      <c r="J23" s="3"/>
      <c r="K23" s="3"/>
      <c r="L23" s="2"/>
      <c r="M23" s="2"/>
      <c r="N23" s="2"/>
      <c r="O23" s="2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2"/>
      <c r="C24" s="200">
        <v>45134</v>
      </c>
      <c r="D24" s="42">
        <v>0.59305555555555556</v>
      </c>
      <c r="E24" s="24">
        <v>6</v>
      </c>
      <c r="F24" s="24">
        <v>9.1</v>
      </c>
      <c r="G24" s="7">
        <v>103.3</v>
      </c>
      <c r="H24" s="7">
        <v>21.6</v>
      </c>
      <c r="I24" s="2"/>
      <c r="J24" s="3"/>
      <c r="K24" s="3"/>
      <c r="L24" s="2"/>
      <c r="M24" s="2"/>
      <c r="N24" s="2"/>
      <c r="O24" s="2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2"/>
      <c r="C25" s="200">
        <v>45134</v>
      </c>
      <c r="D25" s="42">
        <v>0.59305555555555556</v>
      </c>
      <c r="E25" s="24">
        <v>7</v>
      </c>
      <c r="F25" s="24">
        <v>9.18</v>
      </c>
      <c r="G25" s="7">
        <v>103.9</v>
      </c>
      <c r="H25" s="7">
        <v>21.5</v>
      </c>
      <c r="I25" s="2"/>
      <c r="J25" s="3"/>
      <c r="K25" s="3"/>
      <c r="L25" s="2"/>
      <c r="M25" s="2"/>
      <c r="N25" s="2"/>
      <c r="O25" s="2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2"/>
      <c r="C26" s="200">
        <v>45134</v>
      </c>
      <c r="D26" s="42">
        <v>0.59305555555555556</v>
      </c>
      <c r="E26" s="24">
        <v>8</v>
      </c>
      <c r="F26" s="24">
        <v>9.24</v>
      </c>
      <c r="G26" s="7">
        <v>103.5</v>
      </c>
      <c r="H26" s="7">
        <v>21</v>
      </c>
      <c r="I26" s="2"/>
      <c r="J26" s="3"/>
      <c r="K26" s="3"/>
      <c r="L26" s="2"/>
      <c r="M26" s="2"/>
      <c r="N26" s="2"/>
      <c r="O26" s="2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2"/>
      <c r="C27" s="200">
        <v>45134</v>
      </c>
      <c r="D27" s="42">
        <v>0.59305555555555556</v>
      </c>
      <c r="E27" s="24">
        <v>9</v>
      </c>
      <c r="F27" s="24">
        <v>10.19</v>
      </c>
      <c r="G27" s="7">
        <v>109</v>
      </c>
      <c r="H27" s="7">
        <v>18.600000000000001</v>
      </c>
      <c r="I27" s="2"/>
      <c r="J27" s="3"/>
      <c r="K27" s="3"/>
      <c r="L27" s="2"/>
      <c r="M27" s="2"/>
      <c r="N27" s="2"/>
      <c r="O27" s="2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2"/>
      <c r="C28" s="200">
        <v>45134</v>
      </c>
      <c r="D28" s="42">
        <v>0.59305555555555556</v>
      </c>
      <c r="E28" s="24">
        <v>10</v>
      </c>
      <c r="F28" s="24">
        <v>11.16</v>
      </c>
      <c r="G28" s="7">
        <v>113</v>
      </c>
      <c r="H28" s="7">
        <v>16.100000000000001</v>
      </c>
      <c r="I28" s="2"/>
      <c r="J28" s="3"/>
      <c r="K28" s="3"/>
      <c r="L28" s="2"/>
      <c r="M28" s="2"/>
      <c r="N28" s="2"/>
      <c r="O28" s="2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2"/>
      <c r="C29" s="200"/>
      <c r="D29" s="42"/>
      <c r="E29" s="24"/>
      <c r="F29" s="24"/>
      <c r="G29" s="7"/>
      <c r="H29" s="7"/>
      <c r="I29" s="2"/>
      <c r="J29" s="3"/>
      <c r="K29" s="3"/>
      <c r="L29" s="2"/>
      <c r="M29" s="2"/>
      <c r="N29" s="2"/>
      <c r="O29" s="2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2"/>
      <c r="C30" s="200">
        <v>45161</v>
      </c>
      <c r="D30" s="42">
        <v>0.59444444444444444</v>
      </c>
      <c r="E30" s="24"/>
      <c r="F30" s="24"/>
      <c r="G30" s="7"/>
      <c r="H30" s="7"/>
      <c r="I30" s="2"/>
      <c r="J30" s="3">
        <v>9</v>
      </c>
      <c r="K30" s="3">
        <v>11</v>
      </c>
      <c r="L30" s="2"/>
      <c r="M30" s="2"/>
      <c r="N30" s="2"/>
      <c r="O30" s="2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2"/>
      <c r="C31" s="200">
        <v>45161</v>
      </c>
      <c r="D31" s="42">
        <v>0.59444444444444444</v>
      </c>
      <c r="E31" s="24">
        <v>0.1</v>
      </c>
      <c r="F31" s="24">
        <v>9.16</v>
      </c>
      <c r="G31" s="7">
        <v>103.3</v>
      </c>
      <c r="H31" s="7">
        <v>21.3</v>
      </c>
      <c r="I31" s="2"/>
      <c r="J31" s="3"/>
      <c r="K31" s="3"/>
      <c r="L31" s="2"/>
      <c r="M31" s="2"/>
      <c r="N31" s="2"/>
      <c r="O31" s="2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2"/>
      <c r="C32" s="200">
        <v>45161</v>
      </c>
      <c r="D32" s="42">
        <v>0.59444444444444444</v>
      </c>
      <c r="E32" s="24">
        <v>1</v>
      </c>
      <c r="F32" s="24">
        <v>9.14</v>
      </c>
      <c r="G32" s="7">
        <v>103.1</v>
      </c>
      <c r="H32" s="7">
        <v>21.3</v>
      </c>
      <c r="I32" s="2"/>
      <c r="J32" s="3"/>
      <c r="K32" s="3"/>
      <c r="L32" s="2"/>
      <c r="M32" s="2"/>
      <c r="N32" s="2"/>
      <c r="O32" s="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2"/>
      <c r="C33" s="200">
        <v>45161</v>
      </c>
      <c r="D33" s="42">
        <v>0.59444444444444444</v>
      </c>
      <c r="E33" s="24">
        <v>2</v>
      </c>
      <c r="F33" s="24">
        <v>9.1300000000000008</v>
      </c>
      <c r="G33" s="7">
        <v>103.1</v>
      </c>
      <c r="H33" s="7">
        <v>21.3</v>
      </c>
      <c r="I33" s="2"/>
      <c r="J33" s="3"/>
      <c r="K33" s="3"/>
      <c r="L33" s="2"/>
      <c r="M33" s="2"/>
      <c r="N33" s="2"/>
      <c r="O33" s="2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/>
      <c r="B34" s="2"/>
      <c r="C34" s="200">
        <v>45161</v>
      </c>
      <c r="D34" s="42">
        <v>0.59444444444444444</v>
      </c>
      <c r="E34" s="24">
        <v>3</v>
      </c>
      <c r="F34" s="24">
        <v>9.1300000000000008</v>
      </c>
      <c r="G34" s="7">
        <v>103</v>
      </c>
      <c r="H34" s="7">
        <v>21.3</v>
      </c>
      <c r="I34" s="2"/>
      <c r="J34" s="3"/>
      <c r="K34" s="3"/>
      <c r="L34" s="2"/>
      <c r="M34" s="2"/>
      <c r="N34" s="2"/>
      <c r="O34" s="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/>
      <c r="B35" s="2"/>
      <c r="C35" s="200">
        <v>45161</v>
      </c>
      <c r="D35" s="42">
        <v>0.59444444444444444</v>
      </c>
      <c r="E35" s="24">
        <v>4</v>
      </c>
      <c r="F35" s="24">
        <v>9.11</v>
      </c>
      <c r="G35" s="7">
        <v>102.8</v>
      </c>
      <c r="H35" s="7">
        <v>21.3</v>
      </c>
      <c r="I35" s="2"/>
      <c r="J35" s="3"/>
      <c r="K35" s="3"/>
      <c r="L35" s="2"/>
      <c r="M35" s="2"/>
      <c r="N35" s="2"/>
      <c r="O35" s="2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2"/>
      <c r="C36" s="200">
        <v>45161</v>
      </c>
      <c r="D36" s="42">
        <v>0.59444444444444444</v>
      </c>
      <c r="E36" s="24">
        <v>5</v>
      </c>
      <c r="F36" s="24">
        <v>9.11</v>
      </c>
      <c r="G36" s="7">
        <v>102.6</v>
      </c>
      <c r="H36" s="7">
        <v>21.2</v>
      </c>
      <c r="I36" s="2"/>
      <c r="J36" s="3"/>
      <c r="K36" s="3"/>
      <c r="L36" s="2"/>
      <c r="M36" s="2"/>
      <c r="N36" s="2"/>
      <c r="O36" s="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2"/>
      <c r="C37" s="200">
        <v>45161</v>
      </c>
      <c r="D37" s="42">
        <v>0.59444444444444444</v>
      </c>
      <c r="E37" s="24">
        <v>6</v>
      </c>
      <c r="F37" s="24">
        <v>9.1</v>
      </c>
      <c r="G37" s="7">
        <v>102.4</v>
      </c>
      <c r="H37" s="7">
        <v>21.2</v>
      </c>
      <c r="I37" s="2"/>
      <c r="J37" s="3"/>
      <c r="K37" s="3"/>
      <c r="L37" s="2"/>
      <c r="M37" s="2"/>
      <c r="N37" s="2"/>
      <c r="O37" s="2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2"/>
      <c r="C38" s="200">
        <v>45161</v>
      </c>
      <c r="D38" s="42">
        <v>0.59444444444444444</v>
      </c>
      <c r="E38" s="24">
        <v>7</v>
      </c>
      <c r="F38" s="24">
        <v>9.08</v>
      </c>
      <c r="G38" s="7">
        <v>102.2</v>
      </c>
      <c r="H38" s="7">
        <v>21.2</v>
      </c>
      <c r="I38" s="2"/>
      <c r="J38" s="3"/>
      <c r="K38" s="3"/>
      <c r="L38" s="2"/>
      <c r="M38" s="2"/>
      <c r="N38" s="2"/>
      <c r="O38" s="2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2"/>
      <c r="C39" s="200">
        <v>45161</v>
      </c>
      <c r="D39" s="42">
        <v>0.59444444444444444</v>
      </c>
      <c r="E39" s="24">
        <v>8</v>
      </c>
      <c r="F39" s="24">
        <v>9.09</v>
      </c>
      <c r="G39" s="7">
        <v>102.7</v>
      </c>
      <c r="H39" s="7">
        <v>21.2</v>
      </c>
      <c r="I39" s="2"/>
      <c r="J39" s="3"/>
      <c r="K39" s="3"/>
      <c r="L39" s="2"/>
      <c r="M39" s="2"/>
      <c r="N39" s="2"/>
      <c r="O39" s="2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2"/>
      <c r="C40" s="200">
        <v>45161</v>
      </c>
      <c r="D40" s="42">
        <v>0.59444444444444444</v>
      </c>
      <c r="E40" s="24">
        <v>9</v>
      </c>
      <c r="F40" s="24">
        <v>11.2</v>
      </c>
      <c r="G40" s="7">
        <v>115.7</v>
      </c>
      <c r="H40" s="7">
        <v>16.8</v>
      </c>
      <c r="I40" s="2"/>
      <c r="J40" s="3"/>
      <c r="K40" s="3"/>
      <c r="L40" s="2"/>
      <c r="M40" s="2"/>
      <c r="N40" s="2"/>
      <c r="O40" s="2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2"/>
      <c r="C41" s="200">
        <v>45161</v>
      </c>
      <c r="D41" s="42">
        <v>0.59444444444444444</v>
      </c>
      <c r="E41" s="24">
        <v>10</v>
      </c>
      <c r="F41" s="24">
        <v>11.63</v>
      </c>
      <c r="G41" s="7">
        <v>114.1</v>
      </c>
      <c r="H41" s="7">
        <v>14.4</v>
      </c>
      <c r="I41" s="2"/>
      <c r="J41" s="3"/>
      <c r="K41" s="3"/>
      <c r="L41" s="2"/>
      <c r="M41" s="2"/>
      <c r="N41" s="2"/>
      <c r="O41" s="2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2"/>
      <c r="C42" s="200">
        <v>45161</v>
      </c>
      <c r="D42" s="42">
        <v>0.59444444444444444</v>
      </c>
      <c r="E42" s="24">
        <v>11</v>
      </c>
      <c r="F42" s="24">
        <v>12.04</v>
      </c>
      <c r="G42" s="7">
        <v>110.7</v>
      </c>
      <c r="H42" s="7">
        <v>11.4</v>
      </c>
      <c r="I42" s="2"/>
      <c r="J42" s="3"/>
      <c r="K42" s="3"/>
      <c r="L42" s="2"/>
      <c r="M42" s="2"/>
      <c r="N42" s="2"/>
      <c r="O42" s="2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2"/>
      <c r="C43" s="200"/>
      <c r="D43" s="42"/>
      <c r="E43" s="24"/>
      <c r="F43" s="24"/>
      <c r="G43" s="7"/>
      <c r="H43" s="7"/>
      <c r="I43" s="2"/>
      <c r="J43" s="3"/>
      <c r="K43" s="3"/>
      <c r="L43" s="2"/>
      <c r="M43" s="2"/>
      <c r="N43" s="2"/>
      <c r="O43" s="2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2"/>
      <c r="C44" s="200">
        <v>45188</v>
      </c>
      <c r="D44" s="42">
        <v>0.5625</v>
      </c>
      <c r="E44" s="24"/>
      <c r="F44" s="24"/>
      <c r="G44" s="7"/>
      <c r="H44" s="7"/>
      <c r="I44" s="2"/>
      <c r="J44" s="3">
        <v>11</v>
      </c>
      <c r="K44" s="3">
        <v>12</v>
      </c>
      <c r="L44" s="2"/>
      <c r="M44" s="2"/>
      <c r="N44" s="2"/>
      <c r="O44" s="2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2"/>
      <c r="C45" s="200">
        <v>45188</v>
      </c>
      <c r="D45" s="42">
        <v>0.56597222222222221</v>
      </c>
      <c r="E45" s="24">
        <v>0.1</v>
      </c>
      <c r="F45" s="24">
        <v>9.68</v>
      </c>
      <c r="G45" s="7">
        <v>103.7</v>
      </c>
      <c r="H45" s="7">
        <v>18.7</v>
      </c>
      <c r="I45" s="2"/>
      <c r="J45" s="3"/>
      <c r="K45" s="3"/>
      <c r="L45" s="2"/>
      <c r="M45" s="2"/>
      <c r="N45" s="2"/>
      <c r="O45" s="2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2"/>
      <c r="C46" s="200">
        <v>45188</v>
      </c>
      <c r="D46" s="42">
        <v>0.56597222222222221</v>
      </c>
      <c r="E46" s="24">
        <v>1</v>
      </c>
      <c r="F46" s="24">
        <v>9.65</v>
      </c>
      <c r="G46" s="7">
        <v>103.4</v>
      </c>
      <c r="H46" s="7">
        <v>18.8</v>
      </c>
      <c r="I46" s="2"/>
      <c r="J46" s="3"/>
      <c r="K46" s="3"/>
      <c r="L46" s="2"/>
      <c r="M46" s="2"/>
      <c r="N46" s="2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2"/>
      <c r="C47" s="200">
        <v>45188</v>
      </c>
      <c r="D47" s="42">
        <v>0.56597222222222221</v>
      </c>
      <c r="E47" s="24">
        <v>2</v>
      </c>
      <c r="F47" s="24">
        <v>9.6300000000000008</v>
      </c>
      <c r="G47" s="7">
        <v>103.3</v>
      </c>
      <c r="H47" s="7">
        <v>18.8</v>
      </c>
      <c r="I47" s="2"/>
      <c r="J47" s="3"/>
      <c r="K47" s="3"/>
      <c r="L47" s="2"/>
      <c r="M47" s="2"/>
      <c r="N47" s="2"/>
      <c r="O47" s="2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2"/>
      <c r="C48" s="200">
        <v>45188</v>
      </c>
      <c r="D48" s="42">
        <v>0.56597222222222221</v>
      </c>
      <c r="E48" s="24">
        <v>3</v>
      </c>
      <c r="F48" s="24">
        <v>9.61</v>
      </c>
      <c r="G48" s="7">
        <v>103.2</v>
      </c>
      <c r="H48" s="7">
        <v>18.8</v>
      </c>
      <c r="I48" s="2"/>
      <c r="J48" s="3"/>
      <c r="K48" s="3"/>
      <c r="L48" s="2"/>
      <c r="M48" s="2"/>
      <c r="N48" s="2"/>
      <c r="O48" s="2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2"/>
      <c r="C49" s="200">
        <v>45188</v>
      </c>
      <c r="D49" s="42">
        <v>0.56597222222222221</v>
      </c>
      <c r="E49" s="24">
        <v>4</v>
      </c>
      <c r="F49" s="24">
        <v>9.59</v>
      </c>
      <c r="G49" s="7">
        <v>103</v>
      </c>
      <c r="H49" s="7">
        <v>18.8</v>
      </c>
      <c r="I49" s="2"/>
      <c r="J49" s="3"/>
      <c r="K49" s="3"/>
      <c r="L49" s="2"/>
      <c r="M49" s="2"/>
      <c r="N49" s="2"/>
      <c r="O49" s="2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2"/>
      <c r="C50" s="200">
        <v>45188</v>
      </c>
      <c r="D50" s="42">
        <v>0.56597222222222221</v>
      </c>
      <c r="E50" s="24">
        <v>5</v>
      </c>
      <c r="F50" s="24">
        <v>9.57</v>
      </c>
      <c r="G50" s="7">
        <v>102.7</v>
      </c>
      <c r="H50" s="7">
        <v>18.8</v>
      </c>
      <c r="I50" s="2"/>
      <c r="J50" s="3"/>
      <c r="K50" s="3"/>
      <c r="L50" s="2"/>
      <c r="M50" s="2"/>
      <c r="N50" s="2"/>
      <c r="O50" s="2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2"/>
      <c r="C51" s="200">
        <v>45188</v>
      </c>
      <c r="D51" s="42">
        <v>0.56597222222222221</v>
      </c>
      <c r="E51" s="24">
        <v>6</v>
      </c>
      <c r="F51" s="24">
        <v>9.5500000000000007</v>
      </c>
      <c r="G51" s="7">
        <v>102.5</v>
      </c>
      <c r="H51" s="7">
        <v>18.8</v>
      </c>
      <c r="I51" s="2"/>
      <c r="J51" s="3"/>
      <c r="K51" s="3"/>
      <c r="L51" s="2"/>
      <c r="M51" s="2"/>
      <c r="N51" s="2"/>
      <c r="O51" s="2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2"/>
      <c r="C52" s="200">
        <v>45188</v>
      </c>
      <c r="D52" s="42">
        <v>0.56597222222222221</v>
      </c>
      <c r="E52" s="24">
        <v>7</v>
      </c>
      <c r="F52" s="24">
        <v>9.5299999999999994</v>
      </c>
      <c r="G52" s="7">
        <v>102.3</v>
      </c>
      <c r="H52" s="7">
        <v>18.8</v>
      </c>
      <c r="I52" s="2"/>
      <c r="J52" s="3"/>
      <c r="K52" s="3"/>
      <c r="L52" s="2"/>
      <c r="M52" s="2"/>
      <c r="N52" s="2"/>
      <c r="O52" s="2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2"/>
      <c r="C53" s="200">
        <v>45188</v>
      </c>
      <c r="D53" s="42">
        <v>0.56597222222222221</v>
      </c>
      <c r="E53" s="24">
        <v>8</v>
      </c>
      <c r="F53" s="24">
        <v>9.51</v>
      </c>
      <c r="G53" s="7">
        <v>102</v>
      </c>
      <c r="H53" s="7">
        <v>18.8</v>
      </c>
      <c r="I53" s="2"/>
      <c r="J53" s="3"/>
      <c r="K53" s="3"/>
      <c r="L53" s="2"/>
      <c r="M53" s="2"/>
      <c r="N53" s="2"/>
      <c r="O53" s="2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2"/>
      <c r="C54" s="200">
        <v>45188</v>
      </c>
      <c r="D54" s="42">
        <v>0.56597222222222221</v>
      </c>
      <c r="E54" s="24">
        <v>9</v>
      </c>
      <c r="F54" s="24">
        <v>9.52</v>
      </c>
      <c r="G54" s="7">
        <v>102.3</v>
      </c>
      <c r="H54" s="7">
        <v>18.8</v>
      </c>
      <c r="I54" s="2"/>
      <c r="J54" s="3"/>
      <c r="K54" s="3"/>
      <c r="L54" s="2"/>
      <c r="M54" s="2"/>
      <c r="N54" s="2"/>
      <c r="O54" s="2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2"/>
      <c r="C55" s="200">
        <v>45188</v>
      </c>
      <c r="D55" s="42">
        <v>0.56597222222222221</v>
      </c>
      <c r="E55" s="24">
        <v>10</v>
      </c>
      <c r="F55" s="24">
        <v>9.51</v>
      </c>
      <c r="G55" s="7">
        <v>102.1</v>
      </c>
      <c r="H55" s="7">
        <v>18.8</v>
      </c>
      <c r="I55" s="2"/>
      <c r="J55" s="3"/>
      <c r="K55" s="3"/>
      <c r="L55" s="2"/>
      <c r="M55" s="2"/>
      <c r="N55" s="2"/>
      <c r="O55" s="2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2"/>
      <c r="C56" s="200">
        <v>45188</v>
      </c>
      <c r="D56" s="42">
        <v>0.56597222222222221</v>
      </c>
      <c r="E56" s="24">
        <v>11</v>
      </c>
      <c r="F56" s="24">
        <v>9.5299999999999994</v>
      </c>
      <c r="G56" s="7">
        <v>102.3</v>
      </c>
      <c r="H56" s="7">
        <v>18.8</v>
      </c>
      <c r="I56" s="2"/>
      <c r="J56" s="3"/>
      <c r="K56" s="3"/>
      <c r="L56" s="2"/>
      <c r="M56" s="2"/>
      <c r="N56" s="2"/>
      <c r="O56" s="2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2"/>
      <c r="C57" s="200"/>
      <c r="D57" s="42"/>
      <c r="E57" s="24"/>
      <c r="F57" s="24"/>
      <c r="G57" s="7"/>
      <c r="H57" s="7"/>
      <c r="I57" s="2"/>
      <c r="J57" s="3"/>
      <c r="K57" s="3"/>
      <c r="L57" s="2"/>
      <c r="M57" s="2"/>
      <c r="N57" s="2"/>
      <c r="O57" s="2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2"/>
      <c r="C58" s="200"/>
      <c r="D58" s="42"/>
      <c r="E58" s="24"/>
      <c r="F58" s="24"/>
      <c r="G58" s="7"/>
      <c r="H58" s="7"/>
      <c r="I58" s="2"/>
      <c r="J58" s="3"/>
      <c r="K58" s="3"/>
      <c r="L58" s="2"/>
      <c r="M58" s="2"/>
      <c r="N58" s="2"/>
      <c r="O58" s="2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2"/>
      <c r="C59" s="200">
        <v>44741</v>
      </c>
      <c r="D59" s="42">
        <v>0.68055555555555547</v>
      </c>
      <c r="E59" s="40"/>
      <c r="F59" s="24"/>
      <c r="G59" s="7"/>
      <c r="H59" s="7"/>
      <c r="I59" s="2"/>
      <c r="J59" s="2">
        <v>5.5</v>
      </c>
      <c r="K59" s="2">
        <v>6.5</v>
      </c>
      <c r="L59" s="2"/>
      <c r="M59" s="2"/>
      <c r="N59" s="2"/>
      <c r="O59" s="2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C60" s="200">
        <v>44741</v>
      </c>
      <c r="D60" s="42">
        <v>0.69444444444444453</v>
      </c>
      <c r="E60" s="24">
        <v>0.1</v>
      </c>
      <c r="F60" s="40">
        <v>8.61</v>
      </c>
      <c r="G60" s="41">
        <v>88.3</v>
      </c>
      <c r="H60" s="41">
        <v>16.5</v>
      </c>
      <c r="I60" s="2"/>
      <c r="J60" s="2"/>
      <c r="K60" s="2"/>
      <c r="L60" s="7"/>
      <c r="M60" s="3"/>
      <c r="N60" s="3"/>
    </row>
    <row r="61" spans="1:26" ht="15.75" customHeight="1" x14ac:dyDescent="0.2">
      <c r="C61" s="200">
        <v>44741</v>
      </c>
      <c r="D61" s="42">
        <v>0.69444444444444453</v>
      </c>
      <c r="E61" s="24">
        <v>1</v>
      </c>
      <c r="F61" s="40">
        <v>8.75</v>
      </c>
      <c r="G61" s="41">
        <v>88.1</v>
      </c>
      <c r="H61" s="41">
        <v>15.7</v>
      </c>
      <c r="I61" s="2"/>
      <c r="J61" s="2"/>
      <c r="K61" s="2"/>
      <c r="L61" s="7"/>
      <c r="M61" s="3"/>
      <c r="N61" s="3"/>
    </row>
    <row r="62" spans="1:26" ht="15.75" customHeight="1" x14ac:dyDescent="0.2">
      <c r="C62" s="200">
        <v>44741</v>
      </c>
      <c r="D62" s="42">
        <v>0.69444444444444453</v>
      </c>
      <c r="E62" s="24">
        <v>2</v>
      </c>
      <c r="F62" s="40">
        <v>8.7799999999999994</v>
      </c>
      <c r="G62" s="41">
        <v>87.6</v>
      </c>
      <c r="H62" s="41">
        <v>15.4</v>
      </c>
      <c r="I62" s="2"/>
      <c r="J62" s="2"/>
      <c r="K62" s="2"/>
      <c r="L62" s="7"/>
      <c r="M62" s="3"/>
      <c r="N62" s="3"/>
    </row>
    <row r="63" spans="1:26" ht="15.75" customHeight="1" x14ac:dyDescent="0.2">
      <c r="C63" s="200">
        <v>44741</v>
      </c>
      <c r="D63" s="42">
        <v>0.69444444444444453</v>
      </c>
      <c r="E63" s="24">
        <v>3</v>
      </c>
      <c r="F63" s="40">
        <v>8.83</v>
      </c>
      <c r="G63" s="41">
        <v>87.6</v>
      </c>
      <c r="H63" s="41">
        <v>15.1</v>
      </c>
      <c r="I63" s="2"/>
      <c r="J63" s="2"/>
      <c r="K63" s="2"/>
      <c r="L63" s="7"/>
      <c r="M63" s="3"/>
      <c r="N63" s="3"/>
    </row>
    <row r="64" spans="1:26" ht="15.75" customHeight="1" x14ac:dyDescent="0.2">
      <c r="C64" s="200">
        <v>44741</v>
      </c>
      <c r="D64" s="42">
        <v>0.69444444444444453</v>
      </c>
      <c r="E64" s="24">
        <v>4</v>
      </c>
      <c r="F64" s="40">
        <v>8.9</v>
      </c>
      <c r="G64" s="41">
        <v>87.5</v>
      </c>
      <c r="H64" s="41">
        <v>14.6</v>
      </c>
      <c r="I64" s="2"/>
      <c r="J64" s="2"/>
      <c r="K64" s="2"/>
      <c r="L64" s="7"/>
      <c r="M64" s="3"/>
      <c r="N64" s="3"/>
    </row>
    <row r="65" spans="3:14" ht="15.75" customHeight="1" x14ac:dyDescent="0.2">
      <c r="C65" s="200">
        <v>44741</v>
      </c>
      <c r="D65" s="42">
        <v>0.69444444444444453</v>
      </c>
      <c r="E65" s="24">
        <v>5</v>
      </c>
      <c r="F65" s="40">
        <v>9.01</v>
      </c>
      <c r="G65" s="41">
        <v>87.1</v>
      </c>
      <c r="H65" s="41">
        <v>13.9</v>
      </c>
      <c r="I65" s="2"/>
      <c r="J65" s="2"/>
      <c r="K65" s="2"/>
      <c r="L65" s="2"/>
      <c r="M65" s="3"/>
      <c r="N65" s="3"/>
    </row>
    <row r="66" spans="3:14" ht="15.75" customHeight="1" x14ac:dyDescent="0.2">
      <c r="C66" s="200">
        <v>44741</v>
      </c>
      <c r="D66" s="42">
        <v>0.69444444444444453</v>
      </c>
      <c r="E66" s="24">
        <v>6</v>
      </c>
      <c r="F66" s="40">
        <v>9.07</v>
      </c>
      <c r="G66" s="41">
        <v>87.4</v>
      </c>
      <c r="H66" s="41">
        <v>13.7</v>
      </c>
      <c r="I66" s="2"/>
      <c r="J66" s="2"/>
      <c r="K66" s="2"/>
      <c r="L66" s="3"/>
      <c r="M66" s="3"/>
      <c r="N66" s="3"/>
    </row>
    <row r="67" spans="3:14" ht="15.75" customHeight="1" x14ac:dyDescent="0.2">
      <c r="C67" s="200">
        <v>44741</v>
      </c>
      <c r="D67" s="42">
        <v>0.69444444444444453</v>
      </c>
      <c r="E67" s="24">
        <v>7</v>
      </c>
      <c r="F67" s="40">
        <v>9.11</v>
      </c>
      <c r="G67" s="41">
        <v>87.7</v>
      </c>
      <c r="H67" s="41">
        <v>13.6</v>
      </c>
      <c r="I67" s="2"/>
      <c r="J67" s="2"/>
      <c r="K67" s="2"/>
      <c r="L67" s="13"/>
      <c r="M67" s="3"/>
      <c r="N67" s="3"/>
    </row>
    <row r="68" spans="3:14" ht="15.75" customHeight="1" x14ac:dyDescent="0.2">
      <c r="C68" s="200">
        <v>44741</v>
      </c>
      <c r="D68" s="42">
        <v>0.69444444444444453</v>
      </c>
      <c r="E68" s="24">
        <v>8</v>
      </c>
      <c r="F68" s="40">
        <v>9.14</v>
      </c>
      <c r="G68" s="41">
        <v>87.6</v>
      </c>
      <c r="H68" s="41">
        <v>13.4</v>
      </c>
      <c r="I68" s="2"/>
      <c r="J68" s="2"/>
      <c r="K68" s="2"/>
      <c r="M68" s="3"/>
      <c r="N68" s="3"/>
    </row>
    <row r="69" spans="3:14" ht="15.75" customHeight="1" x14ac:dyDescent="0.2">
      <c r="C69" s="200">
        <v>44741</v>
      </c>
      <c r="D69" s="42">
        <v>0.69444444444444453</v>
      </c>
      <c r="E69" s="24">
        <v>9</v>
      </c>
      <c r="F69" s="40">
        <v>9.16</v>
      </c>
      <c r="G69" s="41">
        <v>87.4</v>
      </c>
      <c r="H69" s="41">
        <v>13.2</v>
      </c>
      <c r="I69" s="2"/>
      <c r="J69" s="2"/>
      <c r="K69" s="2"/>
      <c r="M69" s="3"/>
      <c r="N69" s="3"/>
    </row>
    <row r="70" spans="3:14" ht="15.75" customHeight="1" x14ac:dyDescent="0.2">
      <c r="C70" s="200">
        <v>44741</v>
      </c>
      <c r="D70" s="42">
        <v>0.69444444444444453</v>
      </c>
      <c r="E70" s="24">
        <v>10</v>
      </c>
      <c r="F70" s="40">
        <v>9.2100000000000009</v>
      </c>
      <c r="G70" s="41">
        <v>87.4</v>
      </c>
      <c r="H70" s="41">
        <v>13</v>
      </c>
      <c r="I70" s="2"/>
      <c r="J70" s="2"/>
      <c r="K70" s="2"/>
      <c r="L70" s="13"/>
      <c r="M70" s="3"/>
      <c r="N70" s="3"/>
    </row>
    <row r="71" spans="3:14" ht="15.75" customHeight="1" x14ac:dyDescent="0.2">
      <c r="C71" s="200">
        <v>44741</v>
      </c>
      <c r="D71" s="42">
        <v>0.69444444444444453</v>
      </c>
      <c r="E71" s="24">
        <v>11</v>
      </c>
      <c r="F71" s="40">
        <v>9.2100000000000009</v>
      </c>
      <c r="G71" s="41">
        <v>87.2</v>
      </c>
      <c r="H71" s="41">
        <v>12.9</v>
      </c>
      <c r="I71" s="2"/>
      <c r="J71" s="2"/>
      <c r="K71" s="2"/>
      <c r="M71" s="3"/>
      <c r="N71" s="3"/>
    </row>
    <row r="72" spans="3:14" ht="15.75" customHeight="1" x14ac:dyDescent="0.2">
      <c r="C72" s="200">
        <v>44741</v>
      </c>
      <c r="D72" s="42">
        <v>0.69444444444444453</v>
      </c>
      <c r="E72" s="40">
        <v>12</v>
      </c>
      <c r="F72" s="40">
        <v>9.2100000000000009</v>
      </c>
      <c r="G72" s="41">
        <v>87</v>
      </c>
      <c r="H72" s="41">
        <v>12.9</v>
      </c>
      <c r="I72" s="2"/>
      <c r="J72" s="2"/>
      <c r="K72" s="2"/>
      <c r="M72" s="3"/>
      <c r="N72" s="3"/>
    </row>
    <row r="73" spans="3:14" ht="15.75" customHeight="1" x14ac:dyDescent="0.2">
      <c r="C73" s="200"/>
      <c r="D73" s="42"/>
      <c r="E73" s="40"/>
      <c r="F73" s="40"/>
      <c r="G73" s="41"/>
      <c r="H73" s="41"/>
      <c r="I73" s="2"/>
      <c r="J73" s="2"/>
      <c r="K73" s="2"/>
      <c r="M73" s="3"/>
      <c r="N73" s="3"/>
    </row>
    <row r="74" spans="3:14" ht="15.75" customHeight="1" x14ac:dyDescent="0.2">
      <c r="C74" s="200">
        <v>44769</v>
      </c>
      <c r="D74" s="42">
        <v>0.48958333333333331</v>
      </c>
      <c r="E74" s="40"/>
      <c r="F74" s="40"/>
      <c r="G74" s="41"/>
      <c r="H74" s="41"/>
      <c r="I74" s="2"/>
      <c r="J74" s="2">
        <v>11.5</v>
      </c>
      <c r="K74" s="2">
        <v>11.5</v>
      </c>
      <c r="L74" s="7"/>
      <c r="M74" s="3"/>
      <c r="N74" s="3"/>
    </row>
    <row r="75" spans="3:14" ht="15.75" customHeight="1" x14ac:dyDescent="0.2">
      <c r="C75" s="200">
        <v>44769</v>
      </c>
      <c r="D75" s="42">
        <v>0.5</v>
      </c>
      <c r="E75" s="24">
        <v>0.1</v>
      </c>
      <c r="F75" s="40">
        <v>7.13</v>
      </c>
      <c r="G75" s="41">
        <v>85</v>
      </c>
      <c r="H75" s="41">
        <v>24.1</v>
      </c>
      <c r="I75" s="2">
        <v>24.1</v>
      </c>
      <c r="J75" s="2"/>
      <c r="K75" s="2"/>
      <c r="L75" s="7"/>
      <c r="M75" s="3"/>
      <c r="N75" s="3"/>
    </row>
    <row r="76" spans="3:14" ht="15.75" customHeight="1" x14ac:dyDescent="0.2">
      <c r="C76" s="200">
        <v>44769</v>
      </c>
      <c r="D76" s="42">
        <v>0.5</v>
      </c>
      <c r="E76" s="24">
        <v>1</v>
      </c>
      <c r="F76" s="40">
        <v>7.23</v>
      </c>
      <c r="G76" s="41">
        <v>85.4</v>
      </c>
      <c r="H76" s="41">
        <v>23.8</v>
      </c>
      <c r="I76" s="2">
        <v>23.8</v>
      </c>
      <c r="J76" s="3"/>
      <c r="K76" s="3"/>
      <c r="L76" s="7"/>
      <c r="M76" s="3"/>
      <c r="N76" s="3"/>
    </row>
    <row r="77" spans="3:14" ht="15.75" customHeight="1" x14ac:dyDescent="0.2">
      <c r="C77" s="200">
        <v>44769</v>
      </c>
      <c r="D77" s="42">
        <v>0.5</v>
      </c>
      <c r="E77" s="24">
        <v>2</v>
      </c>
      <c r="F77" s="40">
        <v>7.24</v>
      </c>
      <c r="G77" s="41">
        <v>85.2</v>
      </c>
      <c r="H77" s="41">
        <v>23.5</v>
      </c>
      <c r="I77" s="2">
        <v>23.5</v>
      </c>
      <c r="J77" s="3"/>
      <c r="K77" s="3"/>
    </row>
    <row r="78" spans="3:14" ht="15.75" customHeight="1" x14ac:dyDescent="0.2">
      <c r="C78" s="200">
        <v>44769</v>
      </c>
      <c r="D78" s="42">
        <v>0.5</v>
      </c>
      <c r="E78" s="24">
        <v>3</v>
      </c>
      <c r="F78" s="40">
        <v>7.28</v>
      </c>
      <c r="G78" s="41">
        <v>85</v>
      </c>
      <c r="H78" s="41">
        <v>23</v>
      </c>
      <c r="I78" s="2">
        <v>23</v>
      </c>
      <c r="J78" s="3"/>
      <c r="K78" s="3"/>
    </row>
    <row r="79" spans="3:14" ht="15.75" customHeight="1" x14ac:dyDescent="0.2">
      <c r="C79" s="200">
        <v>44769</v>
      </c>
      <c r="D79" s="42">
        <v>0.5</v>
      </c>
      <c r="E79" s="24">
        <v>4</v>
      </c>
      <c r="F79" s="40">
        <v>7.36</v>
      </c>
      <c r="G79" s="41">
        <v>85.2</v>
      </c>
      <c r="H79" s="41">
        <v>22.6</v>
      </c>
      <c r="I79" s="2">
        <v>22.6</v>
      </c>
      <c r="J79" s="3"/>
      <c r="K79" s="3"/>
      <c r="M79" s="3"/>
    </row>
    <row r="80" spans="3:14" ht="15.75" customHeight="1" x14ac:dyDescent="0.2">
      <c r="C80" s="200">
        <v>44769</v>
      </c>
      <c r="D80" s="42">
        <v>0.5</v>
      </c>
      <c r="E80" s="24">
        <v>5</v>
      </c>
      <c r="F80" s="40">
        <v>7.45</v>
      </c>
      <c r="G80" s="41">
        <v>85.7</v>
      </c>
      <c r="H80" s="41">
        <v>22.2</v>
      </c>
      <c r="I80" s="2">
        <v>22.2</v>
      </c>
      <c r="J80" s="3"/>
      <c r="K80" s="3"/>
      <c r="M80" s="3"/>
    </row>
    <row r="81" spans="3:13" ht="15.75" customHeight="1" x14ac:dyDescent="0.2">
      <c r="C81" s="200">
        <v>44769</v>
      </c>
      <c r="D81" s="42">
        <v>0.5</v>
      </c>
      <c r="E81" s="24">
        <v>6</v>
      </c>
      <c r="F81" s="40">
        <v>7.57</v>
      </c>
      <c r="G81" s="41">
        <v>86.3</v>
      </c>
      <c r="H81" s="41">
        <v>21.8</v>
      </c>
      <c r="I81" s="2">
        <v>21.8</v>
      </c>
      <c r="J81" s="3"/>
      <c r="K81" s="3"/>
      <c r="M81" s="3"/>
    </row>
    <row r="82" spans="3:13" ht="15.75" customHeight="1" x14ac:dyDescent="0.2">
      <c r="C82" s="200">
        <v>44769</v>
      </c>
      <c r="D82" s="42">
        <v>0.5</v>
      </c>
      <c r="E82" s="24">
        <v>7</v>
      </c>
      <c r="F82" s="40">
        <v>7.65</v>
      </c>
      <c r="G82" s="41">
        <v>85.4</v>
      </c>
      <c r="H82" s="41">
        <v>21.4</v>
      </c>
      <c r="I82" s="2">
        <v>21.4</v>
      </c>
      <c r="J82" s="3"/>
      <c r="K82" s="3"/>
      <c r="M82" s="3"/>
    </row>
    <row r="83" spans="3:13" ht="15.75" customHeight="1" x14ac:dyDescent="0.2">
      <c r="C83" s="200">
        <v>44769</v>
      </c>
      <c r="D83" s="42">
        <v>0.5</v>
      </c>
      <c r="E83" s="24">
        <v>8</v>
      </c>
      <c r="F83" s="40">
        <v>8.35</v>
      </c>
      <c r="G83" s="41">
        <v>88.3</v>
      </c>
      <c r="H83" s="41">
        <v>17.899999999999999</v>
      </c>
      <c r="I83" s="2">
        <f>AVERAGE(I75:I82)</f>
        <v>22.8</v>
      </c>
      <c r="J83" s="3"/>
      <c r="K83" s="3"/>
      <c r="M83" s="3"/>
    </row>
    <row r="84" spans="3:13" ht="15.75" customHeight="1" x14ac:dyDescent="0.2">
      <c r="C84" s="200">
        <v>44769</v>
      </c>
      <c r="D84" s="42">
        <v>0.5</v>
      </c>
      <c r="E84" s="24">
        <v>9</v>
      </c>
      <c r="F84" s="40">
        <v>8.8000000000000007</v>
      </c>
      <c r="G84" s="41">
        <v>87.8</v>
      </c>
      <c r="H84" s="41">
        <v>15.3</v>
      </c>
      <c r="I84" s="2"/>
      <c r="J84" s="3"/>
      <c r="K84" s="3"/>
      <c r="M84" s="3"/>
    </row>
    <row r="85" spans="3:13" ht="15.75" customHeight="1" x14ac:dyDescent="0.2">
      <c r="C85" s="200">
        <v>44769</v>
      </c>
      <c r="D85" s="42">
        <v>0.5</v>
      </c>
      <c r="E85" s="24">
        <v>10</v>
      </c>
      <c r="F85" s="40">
        <v>8.9499999999999993</v>
      </c>
      <c r="G85" s="41">
        <v>88.6</v>
      </c>
      <c r="H85" s="41">
        <v>13.9</v>
      </c>
      <c r="I85" s="2"/>
      <c r="J85" s="3"/>
      <c r="K85" s="3"/>
      <c r="M85" s="3"/>
    </row>
    <row r="86" spans="3:13" ht="15.75" customHeight="1" x14ac:dyDescent="0.2">
      <c r="C86" s="200"/>
      <c r="D86" s="42"/>
      <c r="E86" s="24"/>
      <c r="F86" s="40"/>
      <c r="G86" s="41"/>
      <c r="H86" s="41"/>
      <c r="I86" s="2"/>
      <c r="J86" s="3"/>
      <c r="K86" s="3"/>
      <c r="M86" s="3"/>
    </row>
    <row r="87" spans="3:13" ht="15.75" customHeight="1" x14ac:dyDescent="0.2">
      <c r="C87" s="200">
        <v>44796</v>
      </c>
      <c r="D87" s="42">
        <v>0.4604166666666667</v>
      </c>
      <c r="E87" s="24"/>
      <c r="F87" s="40"/>
      <c r="G87" s="41"/>
      <c r="H87" s="41"/>
      <c r="I87" s="2"/>
      <c r="J87" s="3">
        <v>9</v>
      </c>
      <c r="K87" s="3">
        <v>11</v>
      </c>
      <c r="M87" s="3"/>
    </row>
    <row r="88" spans="3:13" ht="15.75" customHeight="1" x14ac:dyDescent="0.2">
      <c r="C88" s="200">
        <v>44796</v>
      </c>
      <c r="D88" s="42">
        <v>0.46527777777777773</v>
      </c>
      <c r="E88" s="24">
        <v>0.1</v>
      </c>
      <c r="F88" s="40">
        <v>7.28</v>
      </c>
      <c r="G88" s="41">
        <v>85.5</v>
      </c>
      <c r="H88" s="41">
        <v>23.4</v>
      </c>
      <c r="I88" s="2"/>
      <c r="J88" s="3"/>
      <c r="K88" s="3"/>
      <c r="M88" s="3"/>
    </row>
    <row r="89" spans="3:13" ht="15.75" customHeight="1" x14ac:dyDescent="0.2">
      <c r="C89" s="200">
        <v>44796</v>
      </c>
      <c r="D89" s="42">
        <v>0.46527777777777773</v>
      </c>
      <c r="E89" s="24">
        <v>1</v>
      </c>
      <c r="F89" s="40">
        <v>7.24</v>
      </c>
      <c r="G89" s="41">
        <v>85</v>
      </c>
      <c r="H89" s="41">
        <v>23.4</v>
      </c>
      <c r="I89" s="2"/>
      <c r="J89" s="3"/>
      <c r="K89" s="3"/>
      <c r="M89" s="3"/>
    </row>
    <row r="90" spans="3:13" ht="15.75" customHeight="1" x14ac:dyDescent="0.2">
      <c r="C90" s="200">
        <v>44796</v>
      </c>
      <c r="D90" s="42">
        <v>0.46527777777777773</v>
      </c>
      <c r="E90" s="24">
        <v>2</v>
      </c>
      <c r="F90" s="40">
        <v>7.24</v>
      </c>
      <c r="G90" s="41">
        <v>84.24</v>
      </c>
      <c r="H90" s="41">
        <v>23.3</v>
      </c>
      <c r="I90" s="2"/>
      <c r="J90" s="3"/>
      <c r="K90" s="3"/>
      <c r="M90" s="3"/>
    </row>
    <row r="91" spans="3:13" ht="15.75" customHeight="1" x14ac:dyDescent="0.2">
      <c r="C91" s="200">
        <v>44796</v>
      </c>
      <c r="D91" s="42">
        <v>0.46527777777777773</v>
      </c>
      <c r="E91" s="24">
        <v>3</v>
      </c>
      <c r="F91" s="40">
        <v>7.23</v>
      </c>
      <c r="G91" s="41">
        <v>84.7</v>
      </c>
      <c r="H91" s="41">
        <v>23.3</v>
      </c>
      <c r="I91" s="2"/>
      <c r="J91" s="3"/>
      <c r="K91" s="3"/>
      <c r="M91" s="3"/>
    </row>
    <row r="92" spans="3:13" ht="15.75" customHeight="1" x14ac:dyDescent="0.2">
      <c r="C92" s="200">
        <v>44796</v>
      </c>
      <c r="D92" s="42">
        <v>0.46527777777777773</v>
      </c>
      <c r="E92" s="24">
        <v>4</v>
      </c>
      <c r="F92" s="40">
        <v>7.21</v>
      </c>
      <c r="G92" s="41">
        <v>84.5</v>
      </c>
      <c r="H92" s="41">
        <v>23.3</v>
      </c>
      <c r="I92" s="2"/>
      <c r="J92" s="3"/>
      <c r="K92" s="3"/>
      <c r="M92" s="3"/>
    </row>
    <row r="93" spans="3:13" ht="15.75" customHeight="1" x14ac:dyDescent="0.2">
      <c r="C93" s="200">
        <v>44796</v>
      </c>
      <c r="D93" s="42">
        <v>0.46527777777777773</v>
      </c>
      <c r="E93" s="24">
        <v>5</v>
      </c>
      <c r="F93" s="40">
        <v>7.2</v>
      </c>
      <c r="G93" s="41">
        <v>84.2</v>
      </c>
      <c r="H93" s="41">
        <v>23.3</v>
      </c>
      <c r="I93" s="2"/>
      <c r="J93" s="3"/>
      <c r="K93" s="3"/>
      <c r="M93" s="3"/>
    </row>
    <row r="94" spans="3:13" ht="15.75" customHeight="1" x14ac:dyDescent="0.2">
      <c r="C94" s="200">
        <v>44796</v>
      </c>
      <c r="D94" s="42">
        <v>0.46527777777777773</v>
      </c>
      <c r="E94" s="24">
        <v>6</v>
      </c>
      <c r="F94" s="40">
        <v>7.18</v>
      </c>
      <c r="G94" s="41">
        <v>83.9</v>
      </c>
      <c r="H94" s="41">
        <v>23.1</v>
      </c>
      <c r="I94" s="2"/>
      <c r="J94" s="3"/>
      <c r="K94" s="3"/>
      <c r="M94" s="3"/>
    </row>
    <row r="95" spans="3:13" ht="15.75" customHeight="1" x14ac:dyDescent="0.2">
      <c r="C95" s="200">
        <v>44796</v>
      </c>
      <c r="D95" s="42">
        <v>0.46527777777777773</v>
      </c>
      <c r="E95" s="24">
        <v>7</v>
      </c>
      <c r="F95" s="40">
        <v>7.17</v>
      </c>
      <c r="G95" s="41">
        <v>83.6</v>
      </c>
      <c r="H95" s="41">
        <v>23</v>
      </c>
      <c r="I95" s="2"/>
      <c r="J95" s="3"/>
      <c r="K95" s="3"/>
      <c r="M95" s="3"/>
    </row>
    <row r="96" spans="3:13" ht="15.75" customHeight="1" x14ac:dyDescent="0.2">
      <c r="C96" s="200">
        <v>44796</v>
      </c>
      <c r="D96" s="42">
        <v>0.46527777777777773</v>
      </c>
      <c r="E96" s="24">
        <v>8</v>
      </c>
      <c r="F96" s="40">
        <v>7.3</v>
      </c>
      <c r="G96" s="41">
        <v>83.4</v>
      </c>
      <c r="H96" s="41">
        <v>22.5</v>
      </c>
      <c r="I96" s="2"/>
      <c r="J96" s="3"/>
      <c r="K96" s="3"/>
      <c r="M96" s="3"/>
    </row>
    <row r="97" spans="3:13" ht="15.75" customHeight="1" x14ac:dyDescent="0.2">
      <c r="C97" s="200">
        <v>44796</v>
      </c>
      <c r="D97" s="42">
        <v>0.46527777777777773</v>
      </c>
      <c r="E97" s="24">
        <v>9</v>
      </c>
      <c r="F97" s="40">
        <v>7.51</v>
      </c>
      <c r="G97" s="41">
        <v>84.2</v>
      </c>
      <c r="H97" s="41">
        <v>21</v>
      </c>
      <c r="I97" s="2"/>
      <c r="J97" s="3"/>
      <c r="K97" s="3"/>
      <c r="M97" s="3"/>
    </row>
    <row r="98" spans="3:13" ht="15.75" customHeight="1" x14ac:dyDescent="0.2">
      <c r="C98" s="200">
        <v>44796</v>
      </c>
      <c r="D98" s="42">
        <v>0.46527777777777773</v>
      </c>
      <c r="E98" s="24">
        <v>10</v>
      </c>
      <c r="F98" s="40">
        <v>8.5</v>
      </c>
      <c r="G98" s="41">
        <v>89.3</v>
      </c>
      <c r="H98" s="41">
        <v>17.600000000000001</v>
      </c>
      <c r="I98" s="2"/>
      <c r="J98" s="3"/>
      <c r="K98" s="3"/>
      <c r="M98" s="3"/>
    </row>
    <row r="99" spans="3:13" ht="15.75" customHeight="1" x14ac:dyDescent="0.2">
      <c r="C99" s="200">
        <v>44796</v>
      </c>
      <c r="D99" s="42">
        <v>0.46527777777777773</v>
      </c>
      <c r="E99" s="24">
        <v>11</v>
      </c>
      <c r="F99" s="40">
        <v>8.82</v>
      </c>
      <c r="G99" s="41">
        <v>86.3</v>
      </c>
      <c r="H99" s="41">
        <v>14.3</v>
      </c>
      <c r="I99" s="2"/>
      <c r="J99" s="3"/>
      <c r="K99" s="3"/>
      <c r="M99" s="3"/>
    </row>
    <row r="100" spans="3:13" ht="15.75" customHeight="1" x14ac:dyDescent="0.2">
      <c r="C100" s="200"/>
      <c r="D100" s="42"/>
      <c r="E100" s="24"/>
      <c r="F100" s="40"/>
      <c r="G100" s="41"/>
      <c r="H100" s="41"/>
      <c r="I100" s="2"/>
      <c r="J100" s="3"/>
      <c r="K100" s="3"/>
      <c r="M100" s="3"/>
    </row>
    <row r="101" spans="3:13" ht="15.75" customHeight="1" x14ac:dyDescent="0.2">
      <c r="C101" s="200">
        <v>44823</v>
      </c>
      <c r="D101" s="42">
        <v>0.65972222222222221</v>
      </c>
      <c r="E101" s="24"/>
      <c r="F101" s="40"/>
      <c r="G101" s="41"/>
      <c r="H101" s="41"/>
      <c r="I101" s="2"/>
      <c r="J101" s="3">
        <v>9</v>
      </c>
      <c r="K101" s="3">
        <v>10</v>
      </c>
      <c r="M101" s="3"/>
    </row>
    <row r="102" spans="3:13" ht="15.75" customHeight="1" x14ac:dyDescent="0.2">
      <c r="C102" s="200">
        <v>44823</v>
      </c>
      <c r="D102" s="42">
        <v>0.66805555555555562</v>
      </c>
      <c r="E102" s="24">
        <v>0.1</v>
      </c>
      <c r="F102" s="40">
        <v>7.97</v>
      </c>
      <c r="G102" s="41">
        <v>87</v>
      </c>
      <c r="H102" s="41">
        <v>19.7</v>
      </c>
      <c r="I102" s="2"/>
      <c r="J102" s="3"/>
      <c r="K102" s="3"/>
      <c r="M102" s="3"/>
    </row>
    <row r="103" spans="3:13" ht="15.75" customHeight="1" x14ac:dyDescent="0.2">
      <c r="C103" s="200">
        <v>44823</v>
      </c>
      <c r="D103" s="42">
        <v>0.66805555555555562</v>
      </c>
      <c r="E103" s="24">
        <v>1</v>
      </c>
      <c r="F103" s="40">
        <v>7.96</v>
      </c>
      <c r="G103" s="41">
        <v>86.8</v>
      </c>
      <c r="H103" s="41">
        <v>19.5</v>
      </c>
      <c r="I103" s="2"/>
      <c r="J103" s="3"/>
      <c r="K103" s="3"/>
      <c r="M103" s="3"/>
    </row>
    <row r="104" spans="3:13" ht="15.75" customHeight="1" x14ac:dyDescent="0.2">
      <c r="C104" s="200">
        <v>44823</v>
      </c>
      <c r="D104" s="42">
        <v>0.66805555555555562</v>
      </c>
      <c r="E104" s="24">
        <v>2</v>
      </c>
      <c r="F104" s="40">
        <v>7.93</v>
      </c>
      <c r="G104" s="41">
        <v>85.9</v>
      </c>
      <c r="H104" s="41">
        <v>19.399999999999999</v>
      </c>
      <c r="I104" s="2"/>
      <c r="J104" s="3"/>
      <c r="K104" s="3"/>
      <c r="M104" s="3"/>
    </row>
    <row r="105" spans="3:13" ht="15.75" customHeight="1" x14ac:dyDescent="0.2">
      <c r="C105" s="200">
        <v>44823</v>
      </c>
      <c r="D105" s="42">
        <v>0.66805555555555562</v>
      </c>
      <c r="E105" s="24">
        <v>3</v>
      </c>
      <c r="F105" s="40">
        <v>7.85</v>
      </c>
      <c r="G105" s="41">
        <v>85.1</v>
      </c>
      <c r="H105" s="41">
        <v>19.3</v>
      </c>
      <c r="I105" s="2"/>
      <c r="J105" s="3"/>
      <c r="K105" s="3"/>
      <c r="M105" s="3"/>
    </row>
    <row r="106" spans="3:13" ht="15.75" customHeight="1" x14ac:dyDescent="0.2">
      <c r="C106" s="200">
        <v>44823</v>
      </c>
      <c r="D106" s="42">
        <v>0.66805555555555562</v>
      </c>
      <c r="E106" s="24">
        <v>4</v>
      </c>
      <c r="F106" s="40">
        <v>7.82</v>
      </c>
      <c r="G106" s="41">
        <v>84.8</v>
      </c>
      <c r="H106" s="41">
        <v>19.3</v>
      </c>
      <c r="I106" s="2"/>
      <c r="J106" s="3"/>
      <c r="K106" s="3"/>
      <c r="M106" s="3"/>
    </row>
    <row r="107" spans="3:13" ht="15.75" customHeight="1" x14ac:dyDescent="0.2">
      <c r="C107" s="200">
        <v>44823</v>
      </c>
      <c r="D107" s="42">
        <v>0.66805555555555562</v>
      </c>
      <c r="E107" s="24">
        <v>5</v>
      </c>
      <c r="F107" s="40">
        <v>7.79</v>
      </c>
      <c r="G107" s="41">
        <v>84.4</v>
      </c>
      <c r="H107" s="41">
        <v>19.3</v>
      </c>
      <c r="I107" s="2"/>
      <c r="J107" s="3"/>
      <c r="K107" s="3"/>
      <c r="M107" s="3"/>
    </row>
    <row r="108" spans="3:13" ht="15.75" customHeight="1" x14ac:dyDescent="0.2">
      <c r="C108" s="200">
        <v>44823</v>
      </c>
      <c r="D108" s="42">
        <v>0.66805555555555562</v>
      </c>
      <c r="E108" s="24">
        <v>6</v>
      </c>
      <c r="F108" s="40">
        <v>7.78</v>
      </c>
      <c r="G108" s="41">
        <v>84.2</v>
      </c>
      <c r="H108" s="41">
        <v>19.3</v>
      </c>
      <c r="I108" s="2"/>
      <c r="J108" s="3"/>
      <c r="K108" s="3"/>
      <c r="M108" s="3"/>
    </row>
    <row r="109" spans="3:13" ht="15.75" customHeight="1" x14ac:dyDescent="0.2">
      <c r="C109" s="200">
        <v>44823</v>
      </c>
      <c r="D109" s="42">
        <v>0.66805555555555562</v>
      </c>
      <c r="E109" s="24">
        <v>7</v>
      </c>
      <c r="F109" s="40">
        <v>7.75</v>
      </c>
      <c r="G109" s="41">
        <v>83.9</v>
      </c>
      <c r="H109" s="41">
        <v>19.2</v>
      </c>
      <c r="I109" s="2"/>
      <c r="J109" s="3"/>
      <c r="K109" s="3"/>
      <c r="M109" s="3"/>
    </row>
    <row r="110" spans="3:13" ht="15.75" customHeight="1" x14ac:dyDescent="0.2">
      <c r="C110" s="200">
        <v>44823</v>
      </c>
      <c r="D110" s="42">
        <v>0.66805555555555562</v>
      </c>
      <c r="E110" s="24">
        <v>8</v>
      </c>
      <c r="F110" s="40">
        <v>7.73</v>
      </c>
      <c r="G110" s="41">
        <v>83.7</v>
      </c>
      <c r="H110" s="41">
        <v>19.2</v>
      </c>
      <c r="I110" s="2"/>
      <c r="J110" s="3"/>
      <c r="K110" s="3"/>
      <c r="M110" s="3"/>
    </row>
    <row r="111" spans="3:13" ht="15.75" customHeight="1" x14ac:dyDescent="0.2">
      <c r="C111" s="200">
        <v>44823</v>
      </c>
      <c r="D111" s="42">
        <v>0.66805555555555562</v>
      </c>
      <c r="E111" s="24">
        <v>9</v>
      </c>
      <c r="F111" s="40">
        <v>7.74</v>
      </c>
      <c r="G111" s="41">
        <v>83.3</v>
      </c>
      <c r="H111" s="41">
        <v>18.899999999999999</v>
      </c>
      <c r="I111" s="2"/>
      <c r="J111" s="3"/>
      <c r="K111" s="3"/>
      <c r="M111" s="3"/>
    </row>
    <row r="112" spans="3:13" ht="15.75" customHeight="1" x14ac:dyDescent="0.2">
      <c r="C112" s="200">
        <v>44823</v>
      </c>
      <c r="D112" s="42">
        <v>0.66805555555555562</v>
      </c>
      <c r="E112" s="24">
        <v>10</v>
      </c>
      <c r="F112" s="40">
        <v>8.57</v>
      </c>
      <c r="G112" s="41">
        <v>88.7</v>
      </c>
      <c r="H112" s="41">
        <v>17</v>
      </c>
      <c r="I112" s="2"/>
      <c r="J112" s="3"/>
      <c r="K112" s="3"/>
      <c r="M112" s="3"/>
    </row>
    <row r="113" spans="3:13" ht="15.75" customHeight="1" x14ac:dyDescent="0.2">
      <c r="C113" s="200">
        <v>44823</v>
      </c>
      <c r="D113" s="42">
        <v>0.66805555555555562</v>
      </c>
      <c r="E113" s="24">
        <v>11</v>
      </c>
      <c r="F113" s="40">
        <v>8.56</v>
      </c>
      <c r="G113" s="41">
        <v>86.3</v>
      </c>
      <c r="H113" s="41">
        <v>15.7</v>
      </c>
      <c r="I113" s="2"/>
      <c r="J113" s="3"/>
      <c r="K113" s="3"/>
      <c r="M113" s="3"/>
    </row>
    <row r="114" spans="3:13" ht="15.75" customHeight="1" x14ac:dyDescent="0.2">
      <c r="C114" s="200"/>
      <c r="D114" s="42"/>
      <c r="E114" s="24"/>
      <c r="F114" s="40"/>
      <c r="G114" s="41"/>
      <c r="H114" s="41"/>
      <c r="I114" s="2"/>
      <c r="J114" s="3"/>
      <c r="K114" s="3"/>
      <c r="M114" s="3"/>
    </row>
    <row r="115" spans="3:13" ht="15.75" customHeight="1" x14ac:dyDescent="0.2">
      <c r="C115" s="201">
        <v>44369</v>
      </c>
      <c r="D115" s="19">
        <v>0.67361111111111116</v>
      </c>
      <c r="E115" s="24"/>
      <c r="F115" s="24"/>
      <c r="G115" s="7"/>
      <c r="H115" s="7"/>
      <c r="I115" s="7"/>
      <c r="J115" s="3">
        <v>8</v>
      </c>
      <c r="K115" s="3">
        <v>9.5</v>
      </c>
      <c r="M115" s="3"/>
    </row>
    <row r="116" spans="3:13" ht="15.75" customHeight="1" x14ac:dyDescent="0.2">
      <c r="C116" s="201">
        <v>44369</v>
      </c>
      <c r="D116" s="19">
        <v>0.67708333333333337</v>
      </c>
      <c r="E116" s="24">
        <v>0.1</v>
      </c>
      <c r="F116" s="24">
        <v>7.89</v>
      </c>
      <c r="G116" s="7">
        <v>87.2</v>
      </c>
      <c r="H116" s="7">
        <v>20.2</v>
      </c>
      <c r="J116" s="3"/>
      <c r="K116" s="3"/>
      <c r="M116" s="3"/>
    </row>
    <row r="117" spans="3:13" ht="15.75" customHeight="1" x14ac:dyDescent="0.2">
      <c r="C117" s="201">
        <v>44369</v>
      </c>
      <c r="D117" s="19">
        <v>0.67708333333333337</v>
      </c>
      <c r="E117" s="24">
        <v>1</v>
      </c>
      <c r="F117" s="24">
        <v>8</v>
      </c>
      <c r="G117" s="7">
        <v>86.8</v>
      </c>
      <c r="H117" s="7">
        <v>19.3</v>
      </c>
      <c r="J117" s="3"/>
      <c r="K117" s="3"/>
      <c r="M117" s="3"/>
    </row>
    <row r="118" spans="3:13" ht="15.75" customHeight="1" x14ac:dyDescent="0.2">
      <c r="C118" s="201">
        <v>44369</v>
      </c>
      <c r="D118" s="19">
        <v>0.67708333333333337</v>
      </c>
      <c r="E118" s="24">
        <v>2</v>
      </c>
      <c r="F118" s="24">
        <v>8.06</v>
      </c>
      <c r="G118" s="7">
        <v>86.8</v>
      </c>
      <c r="H118" s="7">
        <v>19</v>
      </c>
      <c r="J118" s="3"/>
      <c r="K118" s="3"/>
      <c r="M118" s="3"/>
    </row>
    <row r="119" spans="3:13" ht="15.75" customHeight="1" x14ac:dyDescent="0.2">
      <c r="C119" s="201">
        <v>44369</v>
      </c>
      <c r="D119" s="19">
        <v>0.67708333333333337</v>
      </c>
      <c r="E119" s="24">
        <v>3</v>
      </c>
      <c r="F119" s="24">
        <v>8.26</v>
      </c>
      <c r="G119" s="7">
        <v>86.7</v>
      </c>
      <c r="H119" s="7">
        <v>17.7</v>
      </c>
      <c r="J119" s="3"/>
      <c r="K119" s="3"/>
      <c r="M119" s="3"/>
    </row>
    <row r="120" spans="3:13" ht="15.75" customHeight="1" x14ac:dyDescent="0.2">
      <c r="C120" s="201">
        <v>44369</v>
      </c>
      <c r="D120" s="19">
        <v>0.67708333333333337</v>
      </c>
      <c r="E120" s="24">
        <v>4</v>
      </c>
      <c r="F120" s="24">
        <v>8.31</v>
      </c>
      <c r="G120" s="7">
        <v>86.5</v>
      </c>
      <c r="H120" s="7">
        <v>17.3</v>
      </c>
      <c r="J120" s="3"/>
      <c r="K120" s="3"/>
      <c r="M120" s="3"/>
    </row>
    <row r="121" spans="3:13" ht="15.75" customHeight="1" x14ac:dyDescent="0.2">
      <c r="C121" s="201">
        <v>44369</v>
      </c>
      <c r="D121" s="19">
        <v>0.67708333333333337</v>
      </c>
      <c r="E121" s="24">
        <v>5</v>
      </c>
      <c r="F121" s="24"/>
      <c r="G121" s="7"/>
      <c r="H121" s="7"/>
      <c r="J121" s="3"/>
      <c r="K121" s="3"/>
      <c r="M121" s="3"/>
    </row>
    <row r="122" spans="3:13" ht="15.75" customHeight="1" x14ac:dyDescent="0.2">
      <c r="C122" s="201">
        <v>44369</v>
      </c>
      <c r="D122" s="19">
        <v>0.67708333333333337</v>
      </c>
      <c r="E122" s="24">
        <v>6</v>
      </c>
      <c r="F122" s="24">
        <v>8.32</v>
      </c>
      <c r="G122" s="7">
        <v>86</v>
      </c>
      <c r="H122" s="7">
        <v>16.899999999999999</v>
      </c>
      <c r="J122" s="3"/>
      <c r="K122" s="3"/>
      <c r="M122" s="3"/>
    </row>
    <row r="123" spans="3:13" ht="15.75" customHeight="1" x14ac:dyDescent="0.2">
      <c r="C123" s="201">
        <v>44369</v>
      </c>
      <c r="D123" s="19">
        <v>0.67708333333333337</v>
      </c>
      <c r="E123" s="24">
        <v>7</v>
      </c>
      <c r="F123" s="24"/>
      <c r="G123" s="7"/>
      <c r="H123" s="7"/>
      <c r="J123" s="3"/>
      <c r="K123" s="3"/>
      <c r="M123" s="3"/>
    </row>
    <row r="124" spans="3:13" ht="15.75" customHeight="1" x14ac:dyDescent="0.2">
      <c r="C124" s="201">
        <v>44369</v>
      </c>
      <c r="D124" s="19">
        <v>0.67708333333333337</v>
      </c>
      <c r="E124" s="24">
        <v>8</v>
      </c>
      <c r="F124" s="24">
        <v>8.5299999999999994</v>
      </c>
      <c r="G124" s="7">
        <v>85.5</v>
      </c>
      <c r="H124" s="7">
        <v>15.4</v>
      </c>
      <c r="J124" s="3"/>
      <c r="K124" s="3"/>
      <c r="M124" s="3"/>
    </row>
    <row r="125" spans="3:13" ht="15.75" customHeight="1" x14ac:dyDescent="0.2">
      <c r="C125" s="201">
        <v>44369</v>
      </c>
      <c r="D125" s="19">
        <v>0.67708333333333337</v>
      </c>
      <c r="E125" s="24">
        <v>9</v>
      </c>
      <c r="F125" s="24"/>
      <c r="G125" s="7"/>
      <c r="H125" s="7"/>
      <c r="J125" s="3"/>
      <c r="K125" s="3"/>
      <c r="M125" s="3"/>
    </row>
    <row r="126" spans="3:13" ht="15.75" customHeight="1" x14ac:dyDescent="0.2">
      <c r="C126" s="201">
        <v>44369</v>
      </c>
      <c r="D126" s="19">
        <v>0.67708333333333337</v>
      </c>
      <c r="E126" s="24">
        <v>10</v>
      </c>
      <c r="F126" s="24">
        <v>8.89</v>
      </c>
      <c r="G126" s="7">
        <v>86.3</v>
      </c>
      <c r="H126" s="7">
        <v>14.1</v>
      </c>
      <c r="J126" s="3"/>
      <c r="K126" s="3"/>
      <c r="M126" s="3"/>
    </row>
    <row r="127" spans="3:13" ht="15.75" customHeight="1" x14ac:dyDescent="0.2">
      <c r="C127" s="201"/>
      <c r="D127" s="19"/>
      <c r="E127" s="24"/>
      <c r="F127" s="24"/>
      <c r="G127" s="7"/>
      <c r="H127" s="7"/>
      <c r="J127" s="3"/>
      <c r="K127" s="3"/>
      <c r="M127" s="3"/>
    </row>
    <row r="128" spans="3:13" ht="15.75" customHeight="1" x14ac:dyDescent="0.2">
      <c r="C128" s="201">
        <v>44403</v>
      </c>
      <c r="D128" s="19">
        <v>0.55555555555555558</v>
      </c>
      <c r="E128" s="24"/>
      <c r="F128" s="24"/>
      <c r="G128" s="7"/>
      <c r="H128" s="7"/>
      <c r="I128" s="7"/>
      <c r="J128" s="3">
        <v>11</v>
      </c>
      <c r="K128" s="3">
        <v>13</v>
      </c>
      <c r="M128" s="3"/>
    </row>
    <row r="129" spans="3:13" ht="15.75" customHeight="1" x14ac:dyDescent="0.2">
      <c r="C129" s="201">
        <v>44403</v>
      </c>
      <c r="D129" s="19">
        <v>0.56388888888888888</v>
      </c>
      <c r="E129" s="24">
        <v>0.1</v>
      </c>
      <c r="F129" s="24">
        <v>6.9</v>
      </c>
      <c r="G129" s="7">
        <v>82.6</v>
      </c>
      <c r="H129" s="7">
        <v>24.3</v>
      </c>
      <c r="J129" s="3"/>
      <c r="K129" s="3"/>
      <c r="M129" s="3"/>
    </row>
    <row r="130" spans="3:13" ht="15.75" customHeight="1" x14ac:dyDescent="0.2">
      <c r="C130" s="201">
        <v>44403</v>
      </c>
      <c r="D130" s="19">
        <v>0.56388888888888888</v>
      </c>
      <c r="E130" s="24">
        <v>1</v>
      </c>
      <c r="F130" s="24">
        <v>6.96</v>
      </c>
      <c r="G130" s="7">
        <v>82.4</v>
      </c>
      <c r="H130" s="7">
        <v>23.8</v>
      </c>
      <c r="J130" s="3"/>
      <c r="K130" s="3"/>
      <c r="M130" s="3"/>
    </row>
    <row r="131" spans="3:13" ht="15.75" customHeight="1" x14ac:dyDescent="0.2">
      <c r="C131" s="201">
        <v>44403</v>
      </c>
      <c r="D131" s="19">
        <v>0.56388888888888888</v>
      </c>
      <c r="E131" s="24">
        <v>2</v>
      </c>
      <c r="F131" s="24">
        <v>7</v>
      </c>
      <c r="G131" s="7">
        <v>82.1</v>
      </c>
      <c r="H131" s="7">
        <v>23.3</v>
      </c>
      <c r="J131" s="3"/>
      <c r="K131" s="3"/>
      <c r="M131" s="3"/>
    </row>
    <row r="132" spans="3:13" ht="15.75" customHeight="1" x14ac:dyDescent="0.2">
      <c r="C132" s="201">
        <v>44403</v>
      </c>
      <c r="D132" s="19">
        <v>0.56388888888888888</v>
      </c>
      <c r="E132" s="24">
        <v>3</v>
      </c>
      <c r="F132" s="24">
        <v>7.01</v>
      </c>
      <c r="G132" s="7">
        <v>81.8</v>
      </c>
      <c r="H132" s="7">
        <v>23</v>
      </c>
      <c r="J132" s="3"/>
      <c r="K132" s="3"/>
      <c r="M132" s="3"/>
    </row>
    <row r="133" spans="3:13" ht="15.75" customHeight="1" x14ac:dyDescent="0.2">
      <c r="C133" s="201">
        <v>44403</v>
      </c>
      <c r="D133" s="19">
        <v>0.56388888888888888</v>
      </c>
      <c r="E133" s="24">
        <v>4</v>
      </c>
      <c r="F133" s="24">
        <v>7.01</v>
      </c>
      <c r="G133" s="7">
        <v>81.2</v>
      </c>
      <c r="H133" s="7">
        <v>22.8</v>
      </c>
      <c r="J133" s="3"/>
      <c r="K133" s="3"/>
      <c r="M133" s="3"/>
    </row>
    <row r="134" spans="3:13" ht="15.75" customHeight="1" x14ac:dyDescent="0.2">
      <c r="C134" s="201">
        <v>44403</v>
      </c>
      <c r="D134" s="19">
        <v>0.56388888888888888</v>
      </c>
      <c r="E134" s="24">
        <v>5</v>
      </c>
      <c r="F134" s="24">
        <v>7.02</v>
      </c>
      <c r="G134" s="7">
        <v>81.3</v>
      </c>
      <c r="H134" s="7">
        <v>22.6</v>
      </c>
      <c r="J134" s="3"/>
      <c r="K134" s="3"/>
      <c r="M134" s="3"/>
    </row>
    <row r="135" spans="3:13" ht="15.75" customHeight="1" x14ac:dyDescent="0.2">
      <c r="C135" s="201">
        <v>44403</v>
      </c>
      <c r="D135" s="19">
        <v>0.56388888888888888</v>
      </c>
      <c r="E135" s="24">
        <v>6</v>
      </c>
      <c r="F135" s="24">
        <v>7.05</v>
      </c>
      <c r="G135" s="7">
        <v>81.5</v>
      </c>
      <c r="H135" s="7">
        <v>22.5</v>
      </c>
      <c r="J135" s="3"/>
      <c r="K135" s="3"/>
      <c r="M135" s="3"/>
    </row>
    <row r="136" spans="3:13" ht="15.75" customHeight="1" x14ac:dyDescent="0.2">
      <c r="C136" s="201">
        <v>44403</v>
      </c>
      <c r="D136" s="19">
        <v>0.56388888888888888</v>
      </c>
      <c r="E136" s="24">
        <v>7</v>
      </c>
      <c r="F136" s="24">
        <v>7.16</v>
      </c>
      <c r="G136" s="7">
        <v>82.2</v>
      </c>
      <c r="H136" s="7">
        <v>22.2</v>
      </c>
      <c r="J136" s="3"/>
      <c r="K136" s="3"/>
      <c r="M136" s="3"/>
    </row>
    <row r="137" spans="3:13" ht="15.75" customHeight="1" x14ac:dyDescent="0.2">
      <c r="C137" s="201">
        <v>44403</v>
      </c>
      <c r="D137" s="19">
        <v>0.56388888888888888</v>
      </c>
      <c r="E137" s="24">
        <v>8</v>
      </c>
      <c r="F137" s="24">
        <v>7.27</v>
      </c>
      <c r="G137" s="7">
        <v>82.5</v>
      </c>
      <c r="H137" s="7">
        <v>21.6</v>
      </c>
      <c r="J137" s="3"/>
      <c r="K137" s="3"/>
      <c r="M137" s="3"/>
    </row>
    <row r="138" spans="3:13" ht="15.75" customHeight="1" x14ac:dyDescent="0.2">
      <c r="C138" s="201">
        <v>44403</v>
      </c>
      <c r="D138" s="19">
        <v>0.56388888888888888</v>
      </c>
      <c r="E138" s="24">
        <v>9</v>
      </c>
      <c r="F138" s="24">
        <v>8.65</v>
      </c>
      <c r="G138" s="7">
        <v>93</v>
      </c>
      <c r="H138" s="7">
        <v>18.8</v>
      </c>
      <c r="J138" s="3"/>
      <c r="K138" s="3"/>
      <c r="M138" s="3"/>
    </row>
    <row r="139" spans="3:13" ht="15.75" customHeight="1" x14ac:dyDescent="0.2">
      <c r="C139" s="201">
        <v>44403</v>
      </c>
      <c r="D139" s="19">
        <v>0.56388888888888888</v>
      </c>
      <c r="E139" s="24">
        <v>10</v>
      </c>
      <c r="F139" s="24"/>
      <c r="G139" s="7"/>
      <c r="H139" s="7"/>
      <c r="J139" s="3"/>
      <c r="K139" s="3"/>
      <c r="M139" s="3"/>
    </row>
    <row r="140" spans="3:13" ht="15.75" customHeight="1" x14ac:dyDescent="0.2">
      <c r="C140" s="201">
        <v>44403</v>
      </c>
      <c r="D140" s="19">
        <v>0.56388888888888888</v>
      </c>
      <c r="E140" s="24">
        <v>11</v>
      </c>
      <c r="F140" s="24">
        <v>9.1</v>
      </c>
      <c r="G140" s="7">
        <v>87.8</v>
      </c>
      <c r="H140" s="7">
        <v>13.7</v>
      </c>
      <c r="J140" s="3"/>
      <c r="K140" s="3"/>
      <c r="M140" s="3"/>
    </row>
    <row r="141" spans="3:13" ht="15.75" customHeight="1" x14ac:dyDescent="0.2">
      <c r="C141" s="201"/>
      <c r="D141" s="19"/>
      <c r="E141" s="24"/>
      <c r="F141" s="24"/>
      <c r="G141" s="7"/>
      <c r="H141" s="7"/>
      <c r="J141" s="3"/>
      <c r="K141" s="3"/>
      <c r="M141" s="3"/>
    </row>
    <row r="142" spans="3:13" ht="15.75" customHeight="1" x14ac:dyDescent="0.2">
      <c r="C142" s="201">
        <v>44438</v>
      </c>
      <c r="D142" s="19">
        <v>0.69097222222222221</v>
      </c>
      <c r="E142" s="24"/>
      <c r="F142" s="24"/>
      <c r="G142" s="7"/>
      <c r="H142" s="7"/>
      <c r="J142" s="3">
        <v>8.5</v>
      </c>
      <c r="K142" s="3">
        <v>11</v>
      </c>
      <c r="M142" s="3"/>
    </row>
    <row r="143" spans="3:13" ht="15.75" customHeight="1" x14ac:dyDescent="0.2">
      <c r="C143" s="201">
        <v>44438</v>
      </c>
      <c r="D143" s="19">
        <v>0.69097222222222221</v>
      </c>
      <c r="E143" s="24">
        <v>0.1</v>
      </c>
      <c r="F143" s="24">
        <v>7.77</v>
      </c>
      <c r="G143" s="7">
        <v>87.5</v>
      </c>
      <c r="H143" s="7">
        <v>21.3</v>
      </c>
      <c r="I143" s="3"/>
      <c r="J143" s="3"/>
      <c r="K143" s="3"/>
      <c r="M143" s="3"/>
    </row>
    <row r="144" spans="3:13" ht="15.75" customHeight="1" x14ac:dyDescent="0.2">
      <c r="C144" s="201">
        <v>44438</v>
      </c>
      <c r="D144" s="19">
        <v>0.69097222222222221</v>
      </c>
      <c r="E144" s="24">
        <v>1</v>
      </c>
      <c r="F144" s="24">
        <v>7.75</v>
      </c>
      <c r="G144" s="7">
        <v>86.5</v>
      </c>
      <c r="H144" s="7">
        <v>20.8</v>
      </c>
      <c r="I144" s="3"/>
      <c r="J144" s="3"/>
      <c r="K144" s="3"/>
    </row>
    <row r="145" spans="3:13" ht="15.75" customHeight="1" x14ac:dyDescent="0.2">
      <c r="C145" s="201">
        <v>44438</v>
      </c>
      <c r="D145" s="19">
        <v>0.69097222222222221</v>
      </c>
      <c r="E145" s="24">
        <v>2</v>
      </c>
      <c r="F145" s="24">
        <v>7.73</v>
      </c>
      <c r="G145" s="7">
        <v>86</v>
      </c>
      <c r="H145" s="7">
        <v>20.6</v>
      </c>
      <c r="I145" s="3"/>
      <c r="J145" s="3"/>
      <c r="K145" s="3"/>
    </row>
    <row r="146" spans="3:13" ht="15.75" customHeight="1" x14ac:dyDescent="0.2">
      <c r="C146" s="201">
        <v>44438</v>
      </c>
      <c r="D146" s="19">
        <v>0.69097222222222221</v>
      </c>
      <c r="E146" s="24">
        <v>3</v>
      </c>
      <c r="F146" s="24">
        <v>7.71</v>
      </c>
      <c r="G146" s="7">
        <v>85.6</v>
      </c>
      <c r="H146" s="7">
        <v>20.5</v>
      </c>
      <c r="I146" s="3"/>
      <c r="J146" s="3"/>
      <c r="K146" s="3"/>
    </row>
    <row r="147" spans="3:13" ht="15.75" customHeight="1" x14ac:dyDescent="0.2">
      <c r="C147" s="201">
        <v>44438</v>
      </c>
      <c r="D147" s="19">
        <v>0.69097222222222221</v>
      </c>
      <c r="E147" s="24">
        <v>4</v>
      </c>
      <c r="F147" s="24">
        <v>7.71</v>
      </c>
      <c r="G147" s="7">
        <v>85.3</v>
      </c>
      <c r="H147" s="7">
        <v>20.3</v>
      </c>
      <c r="I147" s="3"/>
      <c r="J147" s="3"/>
      <c r="K147" s="3"/>
    </row>
    <row r="148" spans="3:13" ht="15.75" customHeight="1" x14ac:dyDescent="0.2">
      <c r="C148" s="201">
        <v>44438</v>
      </c>
      <c r="D148" s="19">
        <v>0.69097222222222221</v>
      </c>
      <c r="E148" s="24">
        <v>5</v>
      </c>
      <c r="F148" s="24">
        <v>7.69</v>
      </c>
      <c r="G148" s="7">
        <v>84.9</v>
      </c>
      <c r="H148" s="7">
        <v>20.2</v>
      </c>
      <c r="I148" s="3"/>
      <c r="J148" s="3"/>
      <c r="K148" s="3"/>
    </row>
    <row r="149" spans="3:13" ht="15.75" customHeight="1" x14ac:dyDescent="0.2">
      <c r="C149" s="201">
        <v>44438</v>
      </c>
      <c r="D149" s="19">
        <v>0.69097222222222221</v>
      </c>
      <c r="E149" s="24">
        <v>6</v>
      </c>
      <c r="F149" s="24">
        <v>7.69</v>
      </c>
      <c r="G149" s="7">
        <v>84.6</v>
      </c>
      <c r="H149" s="7">
        <v>20</v>
      </c>
      <c r="I149" s="3"/>
      <c r="J149" s="3"/>
      <c r="K149" s="3"/>
    </row>
    <row r="150" spans="3:13" ht="15.75" customHeight="1" x14ac:dyDescent="0.2">
      <c r="C150" s="201">
        <v>44438</v>
      </c>
      <c r="D150" s="19">
        <v>0.69097222222222221</v>
      </c>
      <c r="E150" s="24">
        <v>7</v>
      </c>
      <c r="F150" s="24">
        <v>7.7</v>
      </c>
      <c r="G150" s="7">
        <v>84.5</v>
      </c>
      <c r="H150" s="7">
        <v>20</v>
      </c>
      <c r="I150" s="3"/>
      <c r="J150" s="3"/>
      <c r="K150" s="3"/>
    </row>
    <row r="151" spans="3:13" ht="15.75" customHeight="1" x14ac:dyDescent="0.2">
      <c r="C151" s="201">
        <v>44438</v>
      </c>
      <c r="D151" s="19">
        <v>0.69097222222222221</v>
      </c>
      <c r="E151" s="24">
        <v>8</v>
      </c>
      <c r="F151" s="24">
        <v>7.66</v>
      </c>
      <c r="G151" s="7">
        <v>84.1</v>
      </c>
      <c r="H151" s="7">
        <v>19.899999999999999</v>
      </c>
      <c r="I151" s="3"/>
      <c r="J151" s="3"/>
      <c r="K151" s="3"/>
    </row>
    <row r="152" spans="3:13" ht="15.75" customHeight="1" x14ac:dyDescent="0.2">
      <c r="C152" s="201">
        <v>44438</v>
      </c>
      <c r="D152" s="19">
        <v>0.69097222222222221</v>
      </c>
      <c r="E152" s="24">
        <v>9</v>
      </c>
      <c r="F152" s="24">
        <v>7.64</v>
      </c>
      <c r="G152" s="7">
        <v>83.7</v>
      </c>
      <c r="H152" s="7">
        <v>19.8</v>
      </c>
      <c r="I152" s="3"/>
      <c r="J152" s="3"/>
      <c r="K152" s="3"/>
      <c r="M152" s="3"/>
    </row>
    <row r="153" spans="3:13" ht="15.75" customHeight="1" x14ac:dyDescent="0.2">
      <c r="C153" s="201">
        <v>44438</v>
      </c>
      <c r="D153" s="19">
        <v>0.69097222222222221</v>
      </c>
      <c r="E153" s="24">
        <v>10</v>
      </c>
      <c r="F153" s="24">
        <v>7.63</v>
      </c>
      <c r="G153" s="7">
        <v>83.3</v>
      </c>
      <c r="H153" s="7">
        <v>19.7</v>
      </c>
      <c r="I153" s="3"/>
      <c r="J153" s="3"/>
      <c r="K153" s="3"/>
      <c r="M153" s="3"/>
    </row>
    <row r="154" spans="3:13" ht="15.75" customHeight="1" x14ac:dyDescent="0.2">
      <c r="C154" s="201">
        <v>44438</v>
      </c>
      <c r="D154" s="19">
        <v>0.69097222222222221</v>
      </c>
      <c r="E154" s="24">
        <v>11</v>
      </c>
      <c r="F154" s="24">
        <v>7.75</v>
      </c>
      <c r="G154" s="7">
        <v>84.1</v>
      </c>
      <c r="H154" s="7">
        <v>19.3</v>
      </c>
      <c r="I154" s="3"/>
      <c r="J154" s="3"/>
      <c r="K154" s="3"/>
      <c r="M154" s="3"/>
    </row>
    <row r="155" spans="3:13" ht="15.75" customHeight="1" x14ac:dyDescent="0.2">
      <c r="C155" s="201"/>
      <c r="D155" s="19"/>
      <c r="E155" s="24"/>
      <c r="F155" s="24"/>
      <c r="G155" s="7"/>
      <c r="H155" s="7"/>
      <c r="I155" s="3"/>
      <c r="J155" s="3"/>
      <c r="K155" s="3"/>
      <c r="M155" s="3"/>
    </row>
    <row r="156" spans="3:13" ht="15.75" customHeight="1" x14ac:dyDescent="0.2">
      <c r="C156" s="201">
        <v>44459</v>
      </c>
      <c r="D156" s="19">
        <v>0.65625</v>
      </c>
      <c r="E156" s="24"/>
      <c r="F156" s="24"/>
      <c r="G156" s="7"/>
      <c r="H156" s="7"/>
      <c r="I156" s="3"/>
      <c r="J156" s="3">
        <v>9</v>
      </c>
      <c r="K156" s="3">
        <v>12</v>
      </c>
      <c r="M156" s="3"/>
    </row>
    <row r="157" spans="3:13" ht="15.75" customHeight="1" x14ac:dyDescent="0.2">
      <c r="C157" s="201">
        <v>44459</v>
      </c>
      <c r="D157" s="19">
        <v>0.65972222222222221</v>
      </c>
      <c r="E157" s="24">
        <v>0.1</v>
      </c>
      <c r="F157" s="24">
        <v>8.0299999999999994</v>
      </c>
      <c r="G157" s="7">
        <v>83.3</v>
      </c>
      <c r="H157" s="7">
        <v>17.2</v>
      </c>
      <c r="I157" s="3"/>
      <c r="J157" s="3"/>
      <c r="K157" s="3"/>
      <c r="M157" s="3"/>
    </row>
    <row r="158" spans="3:13" ht="15.75" customHeight="1" x14ac:dyDescent="0.2">
      <c r="C158" s="201">
        <v>44459</v>
      </c>
      <c r="D158" s="19">
        <v>0.65972222222222221</v>
      </c>
      <c r="E158" s="24">
        <v>1</v>
      </c>
      <c r="F158" s="24">
        <v>7.97</v>
      </c>
      <c r="G158" s="7">
        <v>82.9</v>
      </c>
      <c r="H158" s="7">
        <v>17.3</v>
      </c>
      <c r="I158" s="3"/>
      <c r="J158" s="3"/>
      <c r="K158" s="3"/>
      <c r="M158" s="3"/>
    </row>
    <row r="159" spans="3:13" ht="15.75" customHeight="1" x14ac:dyDescent="0.2">
      <c r="C159" s="201">
        <v>44459</v>
      </c>
      <c r="D159" s="19">
        <v>0.65972222222222221</v>
      </c>
      <c r="E159" s="24">
        <v>2</v>
      </c>
      <c r="F159" s="24">
        <v>7.95</v>
      </c>
      <c r="G159" s="7">
        <v>82.8</v>
      </c>
      <c r="H159" s="7">
        <v>17.3</v>
      </c>
      <c r="I159" s="3"/>
      <c r="J159" s="3"/>
      <c r="K159" s="3"/>
      <c r="M159" s="3"/>
    </row>
    <row r="160" spans="3:13" ht="15.75" customHeight="1" x14ac:dyDescent="0.2">
      <c r="C160" s="201">
        <v>44459</v>
      </c>
      <c r="D160" s="19">
        <v>0.65972222222222221</v>
      </c>
      <c r="E160" s="24">
        <v>3</v>
      </c>
      <c r="F160" s="24">
        <v>7.93</v>
      </c>
      <c r="G160" s="7">
        <v>82.6</v>
      </c>
      <c r="H160" s="7">
        <v>17.3</v>
      </c>
      <c r="I160" s="3"/>
      <c r="J160" s="3"/>
      <c r="K160" s="3"/>
      <c r="M160" s="3"/>
    </row>
    <row r="161" spans="3:13" ht="15.75" customHeight="1" x14ac:dyDescent="0.2">
      <c r="C161" s="201">
        <v>44459</v>
      </c>
      <c r="D161" s="19">
        <v>0.65972222222222221</v>
      </c>
      <c r="E161" s="24">
        <v>4</v>
      </c>
      <c r="F161" s="24">
        <v>7.92</v>
      </c>
      <c r="G161" s="7">
        <v>82.5</v>
      </c>
      <c r="H161" s="7">
        <v>17.3</v>
      </c>
      <c r="I161" s="3"/>
      <c r="J161" s="3"/>
      <c r="K161" s="3"/>
      <c r="M161" s="3"/>
    </row>
    <row r="162" spans="3:13" ht="15.75" customHeight="1" x14ac:dyDescent="0.2">
      <c r="C162" s="201">
        <v>44459</v>
      </c>
      <c r="D162" s="19">
        <v>0.65972222222222221</v>
      </c>
      <c r="E162" s="24">
        <v>5</v>
      </c>
      <c r="F162" s="24">
        <v>7.91</v>
      </c>
      <c r="G162" s="7">
        <v>82.3</v>
      </c>
      <c r="H162" s="7">
        <v>17.3</v>
      </c>
      <c r="I162" s="3"/>
      <c r="J162" s="3"/>
      <c r="K162" s="3"/>
      <c r="M162" s="3"/>
    </row>
    <row r="163" spans="3:13" ht="15.75" customHeight="1" x14ac:dyDescent="0.2">
      <c r="C163" s="201">
        <v>44459</v>
      </c>
      <c r="D163" s="19">
        <v>0.65972222222222221</v>
      </c>
      <c r="E163" s="24">
        <v>6</v>
      </c>
      <c r="F163" s="24">
        <v>7.89</v>
      </c>
      <c r="G163" s="7">
        <v>82.2</v>
      </c>
      <c r="H163" s="7">
        <v>17.3</v>
      </c>
      <c r="I163" s="3"/>
      <c r="J163" s="3"/>
      <c r="K163" s="3"/>
      <c r="M163" s="3"/>
    </row>
    <row r="164" spans="3:13" ht="15.75" customHeight="1" x14ac:dyDescent="0.2">
      <c r="C164" s="201">
        <v>44459</v>
      </c>
      <c r="D164" s="19">
        <v>0.65972222222222221</v>
      </c>
      <c r="E164" s="24">
        <v>7</v>
      </c>
      <c r="F164" s="24">
        <v>7.88</v>
      </c>
      <c r="G164" s="7">
        <v>82</v>
      </c>
      <c r="H164" s="7">
        <v>17.3</v>
      </c>
      <c r="I164" s="3"/>
      <c r="J164" s="3"/>
      <c r="K164" s="3"/>
      <c r="M164" s="3"/>
    </row>
    <row r="165" spans="3:13" ht="15.75" customHeight="1" x14ac:dyDescent="0.2">
      <c r="C165" s="201">
        <v>44459</v>
      </c>
      <c r="D165" s="19">
        <v>0.65972222222222221</v>
      </c>
      <c r="E165" s="24">
        <v>8</v>
      </c>
      <c r="F165" s="24">
        <v>7.87</v>
      </c>
      <c r="G165" s="7">
        <v>81.900000000000006</v>
      </c>
      <c r="H165" s="7">
        <v>17.3</v>
      </c>
      <c r="I165" s="3"/>
      <c r="J165" s="3"/>
      <c r="K165" s="3"/>
      <c r="M165" s="3"/>
    </row>
    <row r="166" spans="3:13" ht="15.75" customHeight="1" x14ac:dyDescent="0.2">
      <c r="C166" s="201">
        <v>44459</v>
      </c>
      <c r="D166" s="19">
        <v>0.65972222222222221</v>
      </c>
      <c r="E166" s="24">
        <v>9</v>
      </c>
      <c r="F166" s="24">
        <v>7.86</v>
      </c>
      <c r="G166" s="7">
        <v>81.8</v>
      </c>
      <c r="H166" s="7">
        <v>17.3</v>
      </c>
      <c r="I166" s="3"/>
      <c r="J166" s="3"/>
      <c r="K166" s="3"/>
      <c r="M166" s="3"/>
    </row>
    <row r="167" spans="3:13" ht="15.75" customHeight="1" x14ac:dyDescent="0.2">
      <c r="C167" s="201">
        <v>44459</v>
      </c>
      <c r="D167" s="19">
        <v>0.65972222222222221</v>
      </c>
      <c r="E167" s="24">
        <v>10</v>
      </c>
      <c r="F167" s="24">
        <v>7.88</v>
      </c>
      <c r="G167" s="7">
        <v>81.8</v>
      </c>
      <c r="H167" s="7">
        <v>17.3</v>
      </c>
      <c r="I167" s="3"/>
      <c r="J167" s="3"/>
      <c r="K167" s="3"/>
      <c r="M167" s="3"/>
    </row>
    <row r="168" spans="3:13" ht="15.75" customHeight="1" x14ac:dyDescent="0.2">
      <c r="C168" s="201">
        <v>44459</v>
      </c>
      <c r="D168" s="19">
        <v>0.65972222222222221</v>
      </c>
      <c r="E168" s="24">
        <v>11</v>
      </c>
      <c r="F168" s="24">
        <v>7.89</v>
      </c>
      <c r="G168" s="7">
        <v>81.8</v>
      </c>
      <c r="H168" s="7">
        <v>17.2</v>
      </c>
      <c r="I168" s="3"/>
      <c r="J168" s="3"/>
      <c r="K168" s="3"/>
      <c r="M168" s="3"/>
    </row>
    <row r="169" spans="3:13" ht="15.75" customHeight="1" x14ac:dyDescent="0.2">
      <c r="C169" s="201"/>
      <c r="D169" s="19"/>
      <c r="E169" s="24"/>
      <c r="F169" s="24"/>
      <c r="G169" s="7"/>
      <c r="H169" s="7"/>
      <c r="I169" s="3"/>
      <c r="J169" s="3"/>
      <c r="K169" s="3"/>
      <c r="M169" s="3"/>
    </row>
    <row r="170" spans="3:13" ht="15.75" customHeight="1" x14ac:dyDescent="0.2">
      <c r="C170" s="199">
        <v>43634</v>
      </c>
      <c r="D170" s="19">
        <v>0.46527777777777773</v>
      </c>
      <c r="E170" s="24"/>
      <c r="F170" s="24"/>
      <c r="G170" s="7"/>
      <c r="H170" s="7"/>
      <c r="I170" s="3"/>
      <c r="J170" s="43">
        <v>6</v>
      </c>
      <c r="K170" s="3">
        <v>7.5</v>
      </c>
    </row>
    <row r="171" spans="3:13" ht="15.75" customHeight="1" x14ac:dyDescent="0.2">
      <c r="C171" s="199">
        <v>43634</v>
      </c>
      <c r="D171" s="19">
        <v>0.47222222222222227</v>
      </c>
      <c r="E171" s="24">
        <v>0.1</v>
      </c>
      <c r="F171" s="24">
        <v>7.54</v>
      </c>
      <c r="G171" s="7">
        <v>83.1</v>
      </c>
      <c r="H171" s="7">
        <v>20</v>
      </c>
      <c r="I171" s="3"/>
      <c r="J171" s="43"/>
      <c r="K171" s="3"/>
    </row>
    <row r="172" spans="3:13" ht="15.75" customHeight="1" x14ac:dyDescent="0.2">
      <c r="C172" s="199">
        <v>43634</v>
      </c>
      <c r="D172" s="19">
        <v>0.47222222222222227</v>
      </c>
      <c r="E172" s="24">
        <v>1</v>
      </c>
      <c r="F172" s="24">
        <v>7.68</v>
      </c>
      <c r="G172" s="7"/>
      <c r="H172" s="7">
        <v>19.8</v>
      </c>
      <c r="I172" s="3"/>
      <c r="J172" s="43"/>
      <c r="K172" s="3"/>
    </row>
    <row r="173" spans="3:13" ht="15.75" customHeight="1" x14ac:dyDescent="0.2">
      <c r="C173" s="199">
        <v>43634</v>
      </c>
      <c r="D173" s="19">
        <v>0.47222222222222227</v>
      </c>
      <c r="E173" s="24">
        <v>2</v>
      </c>
      <c r="F173" s="24">
        <v>7.67</v>
      </c>
      <c r="G173" s="7"/>
      <c r="H173" s="7">
        <v>19.8</v>
      </c>
      <c r="I173" s="3"/>
      <c r="J173" s="43"/>
      <c r="K173" s="3"/>
    </row>
    <row r="174" spans="3:13" ht="15.75" customHeight="1" x14ac:dyDescent="0.2">
      <c r="C174" s="199">
        <v>43634</v>
      </c>
      <c r="D174" s="19">
        <v>0.47222222222222227</v>
      </c>
      <c r="E174" s="24">
        <v>3</v>
      </c>
      <c r="F174" s="24">
        <v>7.67</v>
      </c>
      <c r="G174" s="7"/>
      <c r="H174" s="7">
        <v>19.600000000000001</v>
      </c>
      <c r="I174" s="3"/>
      <c r="J174" s="43"/>
      <c r="K174" s="3"/>
    </row>
    <row r="175" spans="3:13" ht="15.75" customHeight="1" x14ac:dyDescent="0.2">
      <c r="C175" s="199">
        <v>43634</v>
      </c>
      <c r="D175" s="19">
        <v>0.47222222222222227</v>
      </c>
      <c r="E175" s="24">
        <v>4</v>
      </c>
      <c r="F175" s="24">
        <v>7.67</v>
      </c>
      <c r="G175" s="7"/>
      <c r="H175" s="7">
        <v>19.5</v>
      </c>
      <c r="I175" s="3"/>
      <c r="J175" s="43"/>
      <c r="K175" s="3"/>
    </row>
    <row r="176" spans="3:13" ht="15.75" customHeight="1" x14ac:dyDescent="0.2">
      <c r="C176" s="199">
        <v>43634</v>
      </c>
      <c r="D176" s="19">
        <v>0.47222222222222227</v>
      </c>
      <c r="E176" s="24">
        <v>5</v>
      </c>
      <c r="F176" s="24">
        <v>7.62</v>
      </c>
      <c r="G176" s="7"/>
      <c r="H176" s="7">
        <v>19.2</v>
      </c>
      <c r="I176" s="3"/>
      <c r="J176" s="43"/>
      <c r="K176" s="3"/>
    </row>
    <row r="177" spans="3:13" ht="15.75" customHeight="1" x14ac:dyDescent="0.2">
      <c r="C177" s="199">
        <v>43634</v>
      </c>
      <c r="D177" s="19">
        <v>0.47222222222222227</v>
      </c>
      <c r="E177" s="24">
        <v>6</v>
      </c>
      <c r="F177" s="24">
        <v>7.7</v>
      </c>
      <c r="G177" s="7">
        <v>82.4</v>
      </c>
      <c r="H177" s="7">
        <v>18.7</v>
      </c>
      <c r="I177" s="3"/>
      <c r="J177" s="43"/>
      <c r="K177" s="3"/>
    </row>
    <row r="178" spans="3:13" ht="15.75" customHeight="1" x14ac:dyDescent="0.2">
      <c r="C178" s="199">
        <v>43634</v>
      </c>
      <c r="D178" s="19">
        <v>0.47222222222222227</v>
      </c>
      <c r="E178" s="24">
        <v>7</v>
      </c>
      <c r="F178" s="24">
        <v>8.07</v>
      </c>
      <c r="G178" s="7">
        <v>83</v>
      </c>
      <c r="H178" s="7">
        <v>16.600000000000001</v>
      </c>
      <c r="I178" s="3"/>
      <c r="J178" s="43"/>
      <c r="K178" s="3"/>
    </row>
    <row r="179" spans="3:13" ht="15.75" customHeight="1" x14ac:dyDescent="0.2">
      <c r="C179" s="199">
        <v>43634</v>
      </c>
      <c r="D179" s="19">
        <v>0.47222222222222227</v>
      </c>
      <c r="E179" s="24">
        <v>8</v>
      </c>
      <c r="F179" s="24">
        <v>8.3699999999999992</v>
      </c>
      <c r="G179" s="7">
        <v>82</v>
      </c>
      <c r="H179" s="7">
        <v>14.6</v>
      </c>
      <c r="I179" s="3"/>
      <c r="J179" s="43"/>
      <c r="K179" s="3"/>
    </row>
    <row r="180" spans="3:13" ht="15.75" customHeight="1" x14ac:dyDescent="0.2">
      <c r="C180" s="199">
        <v>43634</v>
      </c>
      <c r="D180" s="19">
        <v>0.47222222222222227</v>
      </c>
      <c r="E180" s="24">
        <v>9</v>
      </c>
      <c r="F180" s="24">
        <v>9.17</v>
      </c>
      <c r="G180" s="7">
        <v>84.4</v>
      </c>
      <c r="H180" s="7">
        <v>11.4</v>
      </c>
      <c r="I180" s="3"/>
      <c r="J180" s="43"/>
      <c r="K180" s="3"/>
    </row>
    <row r="181" spans="3:13" ht="15.75" customHeight="1" x14ac:dyDescent="0.2">
      <c r="C181" s="199">
        <v>43671</v>
      </c>
      <c r="D181" s="19">
        <v>0.51250000000000007</v>
      </c>
      <c r="E181" s="24"/>
      <c r="F181" s="24"/>
      <c r="G181" s="7"/>
      <c r="H181" s="7"/>
      <c r="I181" s="3"/>
      <c r="J181" s="43">
        <v>8.5</v>
      </c>
      <c r="K181" s="3">
        <v>10.5</v>
      </c>
    </row>
    <row r="182" spans="3:13" ht="15.75" customHeight="1" x14ac:dyDescent="0.2">
      <c r="C182" s="199">
        <v>43671</v>
      </c>
      <c r="D182" s="19">
        <v>0.51874999999999993</v>
      </c>
      <c r="E182" s="24">
        <v>0.1</v>
      </c>
      <c r="F182" s="24">
        <v>7.45</v>
      </c>
      <c r="G182" s="7">
        <v>85.6</v>
      </c>
      <c r="H182" s="7">
        <v>20.9</v>
      </c>
      <c r="I182" s="3"/>
      <c r="J182" s="43"/>
      <c r="K182" s="3"/>
    </row>
    <row r="183" spans="3:13" ht="15.75" customHeight="1" x14ac:dyDescent="0.2">
      <c r="C183" s="199">
        <v>43671</v>
      </c>
      <c r="D183" s="19">
        <v>0.51874999999999993</v>
      </c>
      <c r="E183" s="24">
        <v>1</v>
      </c>
      <c r="F183" s="24">
        <v>7.51</v>
      </c>
      <c r="G183" s="7"/>
      <c r="H183" s="7">
        <v>20.5</v>
      </c>
      <c r="I183" s="3"/>
      <c r="J183" s="43"/>
      <c r="K183" s="3"/>
    </row>
    <row r="184" spans="3:13" ht="15.75" customHeight="1" x14ac:dyDescent="0.2">
      <c r="C184" s="199">
        <v>43671</v>
      </c>
      <c r="D184" s="19">
        <v>0.51874999999999993</v>
      </c>
      <c r="E184" s="24">
        <v>2</v>
      </c>
      <c r="F184" s="24">
        <v>7.52</v>
      </c>
      <c r="G184" s="7"/>
      <c r="H184" s="7">
        <v>20.2</v>
      </c>
      <c r="I184" s="3"/>
      <c r="J184" s="43"/>
      <c r="K184" s="3"/>
      <c r="M184" s="3"/>
    </row>
    <row r="185" spans="3:13" ht="15.75" customHeight="1" x14ac:dyDescent="0.2">
      <c r="C185" s="199">
        <v>43671</v>
      </c>
      <c r="D185" s="19">
        <v>0.51874999999999993</v>
      </c>
      <c r="E185" s="24">
        <v>3</v>
      </c>
      <c r="F185" s="24">
        <v>7.52</v>
      </c>
      <c r="G185" s="7"/>
      <c r="H185" s="7">
        <v>20</v>
      </c>
      <c r="I185" s="3"/>
      <c r="J185" s="43"/>
      <c r="K185" s="3"/>
      <c r="M185" s="3"/>
    </row>
    <row r="186" spans="3:13" ht="15.75" customHeight="1" x14ac:dyDescent="0.2">
      <c r="C186" s="199">
        <v>43671</v>
      </c>
      <c r="D186" s="19">
        <v>0.51874999999999993</v>
      </c>
      <c r="E186" s="24">
        <v>4</v>
      </c>
      <c r="F186" s="24">
        <v>7.52</v>
      </c>
      <c r="G186" s="7"/>
      <c r="H186" s="7">
        <v>19.899999999999999</v>
      </c>
      <c r="I186" s="3"/>
      <c r="J186" s="43"/>
      <c r="K186" s="3"/>
      <c r="M186" s="3"/>
    </row>
    <row r="187" spans="3:13" ht="15.75" customHeight="1" x14ac:dyDescent="0.2">
      <c r="C187" s="199">
        <v>43671</v>
      </c>
      <c r="D187" s="19">
        <v>0.51874999999999993</v>
      </c>
      <c r="E187" s="24">
        <v>5</v>
      </c>
      <c r="F187" s="24">
        <v>7.49</v>
      </c>
      <c r="G187" s="7"/>
      <c r="H187" s="7">
        <v>19.8</v>
      </c>
      <c r="I187" s="3"/>
      <c r="J187" s="43"/>
      <c r="K187" s="3"/>
      <c r="M187" s="3"/>
    </row>
    <row r="188" spans="3:13" ht="15.75" customHeight="1" x14ac:dyDescent="0.2">
      <c r="C188" s="199">
        <v>43671</v>
      </c>
      <c r="D188" s="19">
        <v>0.51874999999999993</v>
      </c>
      <c r="E188" s="24">
        <v>6</v>
      </c>
      <c r="F188" s="24">
        <v>7.49</v>
      </c>
      <c r="G188" s="7">
        <v>81.900000000000006</v>
      </c>
      <c r="H188" s="7">
        <v>19.7</v>
      </c>
      <c r="I188" s="3"/>
      <c r="J188" s="43"/>
      <c r="K188" s="3"/>
      <c r="M188" s="3"/>
    </row>
    <row r="189" spans="3:13" ht="15.75" customHeight="1" x14ac:dyDescent="0.2">
      <c r="C189" s="199">
        <v>43671</v>
      </c>
      <c r="D189" s="19">
        <v>0.51874999999999993</v>
      </c>
      <c r="E189" s="24">
        <v>7</v>
      </c>
      <c r="F189" s="24">
        <v>7.54</v>
      </c>
      <c r="G189" s="7">
        <v>82.6</v>
      </c>
      <c r="H189" s="7">
        <v>19.600000000000001</v>
      </c>
      <c r="I189" s="3"/>
      <c r="J189" s="43"/>
      <c r="K189" s="3"/>
      <c r="M189" s="3"/>
    </row>
    <row r="190" spans="3:13" ht="15.75" customHeight="1" x14ac:dyDescent="0.2">
      <c r="C190" s="199">
        <v>43671</v>
      </c>
      <c r="D190" s="19">
        <v>0.51874999999999993</v>
      </c>
      <c r="E190" s="24">
        <v>8</v>
      </c>
      <c r="F190" s="24">
        <v>7.71</v>
      </c>
      <c r="G190" s="7">
        <v>83.5</v>
      </c>
      <c r="H190" s="7">
        <v>19.399999999999999</v>
      </c>
      <c r="I190" s="3"/>
      <c r="J190" s="43"/>
      <c r="K190" s="3"/>
      <c r="M190" s="3"/>
    </row>
    <row r="191" spans="3:13" ht="15.75" customHeight="1" x14ac:dyDescent="0.2">
      <c r="C191" s="199">
        <v>43671</v>
      </c>
      <c r="D191" s="19">
        <v>0.51874999999999993</v>
      </c>
      <c r="E191" s="24">
        <v>9</v>
      </c>
      <c r="F191" s="24">
        <v>8.31</v>
      </c>
      <c r="G191" s="7">
        <v>85.7</v>
      </c>
      <c r="H191" s="7">
        <v>16.8</v>
      </c>
      <c r="I191" s="3"/>
      <c r="J191" s="43"/>
      <c r="K191" s="3"/>
      <c r="M191" s="3"/>
    </row>
    <row r="192" spans="3:13" ht="15.75" customHeight="1" x14ac:dyDescent="0.2">
      <c r="C192" s="199">
        <v>43671</v>
      </c>
      <c r="D192" s="19">
        <v>0.51874999999999993</v>
      </c>
      <c r="E192" s="24">
        <v>10</v>
      </c>
      <c r="F192" s="24">
        <v>8.9700000000000006</v>
      </c>
      <c r="G192" s="7">
        <v>89.5</v>
      </c>
      <c r="H192" s="7">
        <v>15.1</v>
      </c>
      <c r="I192" s="3"/>
      <c r="J192" s="43"/>
      <c r="K192" s="3"/>
      <c r="M192" s="3"/>
    </row>
    <row r="193" spans="3:13" ht="15.75" customHeight="1" x14ac:dyDescent="0.2">
      <c r="C193" s="199">
        <v>43671</v>
      </c>
      <c r="D193" s="19">
        <v>0.51874999999999993</v>
      </c>
      <c r="E193" s="24">
        <v>11</v>
      </c>
      <c r="F193" s="24">
        <v>9.1999999999999993</v>
      </c>
      <c r="G193" s="7">
        <v>89.5</v>
      </c>
      <c r="H193" s="7">
        <v>14.3</v>
      </c>
      <c r="I193" s="3"/>
      <c r="J193" s="43"/>
      <c r="K193" s="3"/>
      <c r="M193" s="3"/>
    </row>
    <row r="194" spans="3:13" ht="15.75" customHeight="1" x14ac:dyDescent="0.2">
      <c r="C194" s="199">
        <v>43705</v>
      </c>
      <c r="D194" s="19">
        <v>0.72222222222222221</v>
      </c>
      <c r="E194" s="24"/>
      <c r="F194" s="24"/>
      <c r="G194" s="7"/>
      <c r="H194" s="7"/>
      <c r="I194" s="3"/>
      <c r="J194" s="44">
        <v>10.5</v>
      </c>
      <c r="K194" s="3">
        <v>12</v>
      </c>
      <c r="M194" s="3"/>
    </row>
    <row r="195" spans="3:13" ht="15.75" customHeight="1" x14ac:dyDescent="0.2">
      <c r="C195" s="199">
        <v>43705</v>
      </c>
      <c r="D195" s="19">
        <v>0.72916666666666663</v>
      </c>
      <c r="E195" s="24">
        <v>0.1</v>
      </c>
      <c r="F195" s="24">
        <v>7.41</v>
      </c>
      <c r="G195" s="7">
        <v>85.7</v>
      </c>
      <c r="H195" s="7">
        <v>22.6</v>
      </c>
      <c r="I195" s="3"/>
      <c r="J195" s="44"/>
      <c r="K195" s="3"/>
      <c r="M195" s="3"/>
    </row>
    <row r="196" spans="3:13" ht="15.75" customHeight="1" x14ac:dyDescent="0.2">
      <c r="C196" s="199">
        <v>43705</v>
      </c>
      <c r="D196" s="19">
        <v>0.72916666666666663</v>
      </c>
      <c r="E196" s="24">
        <v>1</v>
      </c>
      <c r="F196" s="24">
        <v>7.37</v>
      </c>
      <c r="G196" s="7"/>
      <c r="H196" s="7">
        <v>22.6</v>
      </c>
      <c r="I196" s="3"/>
      <c r="J196" s="44"/>
      <c r="K196" s="3"/>
      <c r="M196" s="3"/>
    </row>
    <row r="197" spans="3:13" ht="15.75" customHeight="1" x14ac:dyDescent="0.2">
      <c r="C197" s="199">
        <v>43705</v>
      </c>
      <c r="D197" s="19">
        <v>0.72916666666666663</v>
      </c>
      <c r="E197" s="24">
        <v>2</v>
      </c>
      <c r="F197" s="24">
        <v>7.36</v>
      </c>
      <c r="G197" s="7"/>
      <c r="H197" s="7">
        <v>22.6</v>
      </c>
      <c r="I197" s="3"/>
      <c r="J197" s="44"/>
      <c r="K197" s="3"/>
      <c r="M197" s="3"/>
    </row>
    <row r="198" spans="3:13" ht="15.75" customHeight="1" x14ac:dyDescent="0.2">
      <c r="C198" s="199">
        <v>43705</v>
      </c>
      <c r="D198" s="19">
        <v>0.72916666666666663</v>
      </c>
      <c r="E198" s="24">
        <v>3</v>
      </c>
      <c r="F198" s="24">
        <v>7.47</v>
      </c>
      <c r="G198" s="7"/>
      <c r="H198" s="7">
        <v>21.8</v>
      </c>
      <c r="I198" s="3"/>
      <c r="J198" s="44"/>
      <c r="K198" s="3"/>
      <c r="M198" s="3"/>
    </row>
    <row r="199" spans="3:13" ht="15.75" customHeight="1" x14ac:dyDescent="0.2">
      <c r="C199" s="199">
        <v>43705</v>
      </c>
      <c r="D199" s="19">
        <v>0.72916666666666663</v>
      </c>
      <c r="E199" s="24">
        <v>4</v>
      </c>
      <c r="F199" s="24">
        <v>7.47</v>
      </c>
      <c r="G199" s="7"/>
      <c r="H199" s="7">
        <v>21.3</v>
      </c>
      <c r="I199" s="3"/>
      <c r="J199" s="44"/>
      <c r="K199" s="3"/>
      <c r="M199" s="3"/>
    </row>
    <row r="200" spans="3:13" ht="15.75" customHeight="1" x14ac:dyDescent="0.2">
      <c r="C200" s="199">
        <v>43705</v>
      </c>
      <c r="D200" s="19">
        <v>0.72916666666666663</v>
      </c>
      <c r="E200" s="24">
        <v>5</v>
      </c>
      <c r="F200" s="24">
        <v>7.42</v>
      </c>
      <c r="G200" s="7"/>
      <c r="H200" s="7">
        <v>21</v>
      </c>
      <c r="I200" s="3"/>
      <c r="J200" s="44"/>
      <c r="K200" s="3"/>
    </row>
    <row r="201" spans="3:13" ht="15.75" customHeight="1" x14ac:dyDescent="0.2">
      <c r="C201" s="199">
        <v>43705</v>
      </c>
      <c r="D201" s="19">
        <v>0.72916666666666663</v>
      </c>
      <c r="E201" s="24">
        <v>6</v>
      </c>
      <c r="F201" s="24">
        <v>7.41</v>
      </c>
      <c r="G201" s="7"/>
      <c r="H201" s="7">
        <v>20.9</v>
      </c>
      <c r="I201" s="3"/>
      <c r="J201" s="44"/>
      <c r="K201" s="3"/>
    </row>
    <row r="202" spans="3:13" ht="15.75" customHeight="1" x14ac:dyDescent="0.2">
      <c r="C202" s="199">
        <v>43705</v>
      </c>
      <c r="D202" s="19">
        <v>0.72916666666666663</v>
      </c>
      <c r="E202" s="24">
        <v>7</v>
      </c>
      <c r="F202" s="24">
        <v>7.4</v>
      </c>
      <c r="G202" s="7"/>
      <c r="H202" s="7">
        <v>20.9</v>
      </c>
      <c r="I202" s="3"/>
      <c r="J202" s="44"/>
      <c r="K202" s="3"/>
    </row>
    <row r="203" spans="3:13" ht="15.75" customHeight="1" x14ac:dyDescent="0.2">
      <c r="C203" s="199">
        <v>43705</v>
      </c>
      <c r="D203" s="19">
        <v>0.72916666666666663</v>
      </c>
      <c r="E203" s="24">
        <v>8</v>
      </c>
      <c r="F203" s="24">
        <v>7.38</v>
      </c>
      <c r="G203" s="7"/>
      <c r="H203" s="7">
        <v>20.8</v>
      </c>
      <c r="I203" s="3"/>
      <c r="J203" s="44"/>
      <c r="K203" s="3"/>
    </row>
    <row r="204" spans="3:13" ht="15.75" customHeight="1" x14ac:dyDescent="0.2">
      <c r="C204" s="199">
        <v>43705</v>
      </c>
      <c r="D204" s="19">
        <v>0.72916666666666663</v>
      </c>
      <c r="E204" s="24">
        <v>9</v>
      </c>
      <c r="F204" s="24">
        <v>7.47</v>
      </c>
      <c r="G204" s="7">
        <v>83.1</v>
      </c>
      <c r="H204" s="7">
        <v>20.6</v>
      </c>
      <c r="I204" s="3"/>
      <c r="J204" s="44"/>
      <c r="K204" s="3"/>
    </row>
    <row r="205" spans="3:13" ht="15.75" customHeight="1" x14ac:dyDescent="0.2">
      <c r="C205" s="199">
        <v>43705</v>
      </c>
      <c r="D205" s="19">
        <v>0.72916666666666663</v>
      </c>
      <c r="E205" s="24">
        <v>10</v>
      </c>
      <c r="F205" s="24">
        <v>7.47</v>
      </c>
      <c r="G205" s="7">
        <v>82.9</v>
      </c>
      <c r="H205" s="7">
        <v>20.5</v>
      </c>
      <c r="I205" s="3"/>
      <c r="J205" s="44"/>
      <c r="K205" s="3"/>
    </row>
    <row r="206" spans="3:13" ht="15.75" customHeight="1" x14ac:dyDescent="0.2">
      <c r="C206" s="199">
        <v>43705</v>
      </c>
      <c r="D206" s="19">
        <v>0.72916666666666663</v>
      </c>
      <c r="E206" s="24">
        <v>11</v>
      </c>
      <c r="F206" s="24">
        <v>8.6300000000000008</v>
      </c>
      <c r="G206" s="7">
        <v>89</v>
      </c>
      <c r="H206" s="7">
        <v>16.8</v>
      </c>
      <c r="I206" s="7"/>
      <c r="J206" s="44"/>
      <c r="K206" s="3"/>
    </row>
    <row r="207" spans="3:13" ht="15.75" customHeight="1" x14ac:dyDescent="0.2">
      <c r="C207" s="199">
        <v>43732</v>
      </c>
      <c r="D207" s="19">
        <v>0.4375</v>
      </c>
      <c r="E207" s="24"/>
      <c r="F207" s="24"/>
      <c r="G207" s="7"/>
      <c r="H207" s="7"/>
      <c r="I207" s="3"/>
      <c r="J207" s="44">
        <v>7.5</v>
      </c>
      <c r="K207" s="3">
        <v>9.5</v>
      </c>
      <c r="M207" s="3"/>
    </row>
    <row r="208" spans="3:13" ht="15.75" customHeight="1" x14ac:dyDescent="0.2">
      <c r="C208" s="199">
        <v>43732</v>
      </c>
      <c r="D208" s="19">
        <v>0.44444444444444442</v>
      </c>
      <c r="E208" s="24">
        <v>0.1</v>
      </c>
      <c r="F208" s="24">
        <v>8.15</v>
      </c>
      <c r="G208" s="7">
        <v>84.7</v>
      </c>
      <c r="H208" s="7">
        <v>17.2</v>
      </c>
      <c r="I208" s="3"/>
      <c r="J208" s="3"/>
      <c r="K208" s="3"/>
      <c r="M208" s="3"/>
    </row>
    <row r="209" spans="3:14" ht="15.75" customHeight="1" x14ac:dyDescent="0.2">
      <c r="C209" s="199">
        <v>43732</v>
      </c>
      <c r="D209" s="19">
        <v>0.44444444444444442</v>
      </c>
      <c r="E209" s="24">
        <v>1</v>
      </c>
      <c r="F209" s="24">
        <v>8.07</v>
      </c>
      <c r="G209" s="7"/>
      <c r="H209" s="7">
        <v>17.399999999999999</v>
      </c>
      <c r="J209" s="3"/>
      <c r="K209" s="3"/>
      <c r="M209" s="3"/>
    </row>
    <row r="210" spans="3:14" ht="15.75" customHeight="1" x14ac:dyDescent="0.2">
      <c r="C210" s="199">
        <v>43732</v>
      </c>
      <c r="D210" s="19">
        <v>0.44444444444444442</v>
      </c>
      <c r="E210" s="24">
        <v>2</v>
      </c>
      <c r="F210" s="24">
        <v>8.0399999999999991</v>
      </c>
      <c r="G210" s="7"/>
      <c r="H210" s="7">
        <v>17.5</v>
      </c>
      <c r="J210" s="3"/>
      <c r="K210" s="3"/>
      <c r="M210" s="3"/>
    </row>
    <row r="211" spans="3:14" ht="15.75" customHeight="1" x14ac:dyDescent="0.2">
      <c r="C211" s="199">
        <v>43732</v>
      </c>
      <c r="D211" s="19">
        <v>0.44444444444444442</v>
      </c>
      <c r="E211" s="24">
        <v>3</v>
      </c>
      <c r="F211" s="24">
        <v>8.02</v>
      </c>
      <c r="G211" s="7"/>
      <c r="H211" s="7">
        <v>17.5</v>
      </c>
      <c r="J211" s="3"/>
      <c r="K211" s="3"/>
      <c r="M211" s="3"/>
    </row>
    <row r="212" spans="3:14" ht="15.75" customHeight="1" x14ac:dyDescent="0.2">
      <c r="C212" s="199">
        <v>43732</v>
      </c>
      <c r="D212" s="19">
        <v>0.44444444444444442</v>
      </c>
      <c r="E212" s="24">
        <v>4</v>
      </c>
      <c r="F212" s="24">
        <v>8.02</v>
      </c>
      <c r="G212" s="7"/>
      <c r="H212" s="7">
        <v>17.5</v>
      </c>
      <c r="J212" s="3"/>
      <c r="K212" s="3"/>
    </row>
    <row r="213" spans="3:14" ht="15.75" customHeight="1" x14ac:dyDescent="0.2">
      <c r="C213" s="199">
        <v>43732</v>
      </c>
      <c r="D213" s="19">
        <v>0.44444444444444442</v>
      </c>
      <c r="E213" s="24">
        <v>5</v>
      </c>
      <c r="F213" s="24">
        <v>8</v>
      </c>
      <c r="G213" s="7"/>
      <c r="H213" s="7">
        <v>17.5</v>
      </c>
      <c r="J213" s="3"/>
      <c r="K213" s="3"/>
    </row>
    <row r="214" spans="3:14" ht="15.75" customHeight="1" x14ac:dyDescent="0.2">
      <c r="C214" s="199">
        <v>43732</v>
      </c>
      <c r="D214" s="19">
        <v>0.44444444444444442</v>
      </c>
      <c r="E214" s="24">
        <v>6</v>
      </c>
      <c r="F214" s="24">
        <v>7.99</v>
      </c>
      <c r="G214" s="7"/>
      <c r="H214" s="7">
        <v>17.5</v>
      </c>
      <c r="J214" s="3"/>
      <c r="K214" s="3"/>
    </row>
    <row r="215" spans="3:14" ht="15.75" customHeight="1" x14ac:dyDescent="0.2">
      <c r="C215" s="199">
        <v>43732</v>
      </c>
      <c r="D215" s="19">
        <v>0.44444444444444442</v>
      </c>
      <c r="E215" s="24">
        <v>7</v>
      </c>
      <c r="F215" s="24">
        <v>7.98</v>
      </c>
      <c r="G215" s="7"/>
      <c r="H215" s="7">
        <v>17.5</v>
      </c>
      <c r="J215" s="3"/>
      <c r="K215" s="3"/>
    </row>
    <row r="216" spans="3:14" ht="15.75" customHeight="1" x14ac:dyDescent="0.2">
      <c r="C216" s="199">
        <v>43732</v>
      </c>
      <c r="D216" s="19">
        <v>0.44444444444444442</v>
      </c>
      <c r="E216" s="24">
        <v>8</v>
      </c>
      <c r="F216" s="24">
        <v>7.97</v>
      </c>
      <c r="G216" s="7"/>
      <c r="H216" s="7">
        <v>17.5</v>
      </c>
      <c r="J216" s="3"/>
      <c r="K216" s="3"/>
    </row>
    <row r="217" spans="3:14" ht="15.75" customHeight="1" x14ac:dyDescent="0.2">
      <c r="C217" s="199">
        <v>43732</v>
      </c>
      <c r="D217" s="19">
        <v>0.44444444444444442</v>
      </c>
      <c r="E217" s="24">
        <v>9</v>
      </c>
      <c r="F217" s="24">
        <v>7.97</v>
      </c>
      <c r="G217" s="7"/>
      <c r="H217" s="7">
        <v>17.399999999999999</v>
      </c>
      <c r="J217" s="3"/>
      <c r="K217" s="3"/>
    </row>
    <row r="218" spans="3:14" ht="15.75" customHeight="1" x14ac:dyDescent="0.2">
      <c r="C218" s="199">
        <v>43732</v>
      </c>
      <c r="D218" s="19">
        <v>0.44444444444444442</v>
      </c>
      <c r="E218" s="24">
        <v>10</v>
      </c>
      <c r="F218" s="24">
        <v>7.95</v>
      </c>
      <c r="G218" s="7"/>
      <c r="H218" s="7">
        <v>17.399999999999999</v>
      </c>
      <c r="J218" s="3"/>
      <c r="K218" s="3"/>
      <c r="L218" s="13"/>
      <c r="M218" s="24"/>
      <c r="N218" s="3"/>
    </row>
    <row r="219" spans="3:14" ht="15.75" customHeight="1" x14ac:dyDescent="0.2">
      <c r="C219" s="199">
        <v>43732</v>
      </c>
      <c r="D219" s="19">
        <v>0.44444444444444442</v>
      </c>
      <c r="E219" s="24">
        <v>11</v>
      </c>
      <c r="F219" s="24">
        <v>7.93</v>
      </c>
      <c r="G219" s="7">
        <v>82.5</v>
      </c>
      <c r="H219" s="7">
        <v>17.399999999999999</v>
      </c>
      <c r="J219" s="3"/>
      <c r="K219" s="3"/>
      <c r="L219" s="13"/>
      <c r="M219" s="24"/>
      <c r="N219" s="3"/>
    </row>
    <row r="220" spans="3:14" ht="15.75" customHeight="1" x14ac:dyDescent="0.2">
      <c r="C220" s="199">
        <v>43271</v>
      </c>
      <c r="D220" s="19"/>
      <c r="E220" s="40"/>
      <c r="F220" s="24"/>
      <c r="G220" s="41"/>
      <c r="H220" s="7"/>
      <c r="I220" s="3"/>
      <c r="J220" s="45">
        <v>5.5</v>
      </c>
      <c r="K220" s="3">
        <v>7.5</v>
      </c>
      <c r="M220" s="24"/>
      <c r="N220" s="3"/>
    </row>
    <row r="221" spans="3:14" ht="15.75" customHeight="1" x14ac:dyDescent="0.2">
      <c r="C221" s="199">
        <v>43271</v>
      </c>
      <c r="D221" s="19"/>
      <c r="E221" s="24">
        <v>0.1</v>
      </c>
      <c r="F221" s="40">
        <v>8.1</v>
      </c>
      <c r="G221" s="7"/>
      <c r="H221" s="46">
        <v>14.5</v>
      </c>
      <c r="I221" s="3"/>
      <c r="J221" s="3"/>
      <c r="K221" s="3"/>
      <c r="M221" s="24"/>
      <c r="N221" s="3"/>
    </row>
    <row r="222" spans="3:14" ht="15.75" customHeight="1" x14ac:dyDescent="0.2">
      <c r="C222" s="199">
        <v>43271</v>
      </c>
      <c r="D222" s="19"/>
      <c r="E222" s="24">
        <v>1</v>
      </c>
      <c r="F222" s="24">
        <v>8.19</v>
      </c>
      <c r="G222" s="41"/>
      <c r="H222" s="7">
        <v>14.4</v>
      </c>
      <c r="I222" s="3"/>
      <c r="J222" s="45"/>
      <c r="K222" s="3"/>
      <c r="M222" s="24"/>
      <c r="N222" s="3"/>
    </row>
    <row r="223" spans="3:14" ht="15.75" customHeight="1" x14ac:dyDescent="0.2">
      <c r="C223" s="199">
        <v>43271</v>
      </c>
      <c r="D223" s="19"/>
      <c r="E223" s="24">
        <v>2</v>
      </c>
      <c r="F223" s="24">
        <v>8.19</v>
      </c>
      <c r="G223" s="41"/>
      <c r="H223" s="7">
        <v>14.4</v>
      </c>
      <c r="I223" s="3"/>
      <c r="J223" s="45"/>
      <c r="K223" s="3"/>
      <c r="M223" s="24"/>
      <c r="N223" s="3"/>
    </row>
    <row r="224" spans="3:14" ht="15.75" customHeight="1" x14ac:dyDescent="0.2">
      <c r="C224" s="199">
        <v>43271</v>
      </c>
      <c r="D224" s="19"/>
      <c r="E224" s="24">
        <v>3</v>
      </c>
      <c r="F224" s="24">
        <v>8.1999999999999993</v>
      </c>
      <c r="G224" s="41"/>
      <c r="H224" s="7">
        <v>14.3</v>
      </c>
      <c r="I224" s="3"/>
      <c r="J224" s="45"/>
      <c r="K224" s="3"/>
      <c r="M224" s="24"/>
      <c r="N224" s="3"/>
    </row>
    <row r="225" spans="2:14" ht="15.75" customHeight="1" x14ac:dyDescent="0.2">
      <c r="C225" s="199">
        <v>43271</v>
      </c>
      <c r="D225" s="19"/>
      <c r="E225" s="24">
        <v>4</v>
      </c>
      <c r="F225" s="24">
        <v>8.18</v>
      </c>
      <c r="G225" s="41"/>
      <c r="H225" s="7">
        <v>14.2</v>
      </c>
      <c r="I225" s="3"/>
      <c r="J225" s="45"/>
      <c r="K225" s="3"/>
      <c r="M225" s="24"/>
      <c r="N225" s="3"/>
    </row>
    <row r="226" spans="2:14" ht="15.75" customHeight="1" x14ac:dyDescent="0.2">
      <c r="C226" s="199">
        <v>43271</v>
      </c>
      <c r="D226" s="19"/>
      <c r="E226" s="24">
        <v>5</v>
      </c>
      <c r="F226" s="24">
        <v>8.19</v>
      </c>
      <c r="G226" s="41"/>
      <c r="H226" s="7">
        <v>14</v>
      </c>
      <c r="I226" s="3"/>
      <c r="J226" s="45"/>
      <c r="K226" s="3"/>
      <c r="L226" s="13"/>
      <c r="M226" s="24"/>
      <c r="N226" s="3"/>
    </row>
    <row r="227" spans="2:14" ht="15.75" customHeight="1" x14ac:dyDescent="0.2">
      <c r="C227" s="199">
        <v>43271</v>
      </c>
      <c r="D227" s="19"/>
      <c r="E227" s="24">
        <v>6</v>
      </c>
      <c r="F227" s="24">
        <v>8.1999999999999993</v>
      </c>
      <c r="G227" s="41"/>
      <c r="H227" s="7">
        <v>13.8</v>
      </c>
      <c r="I227" s="3"/>
      <c r="J227" s="45"/>
      <c r="K227" s="3"/>
      <c r="L227" s="13"/>
      <c r="M227" s="24"/>
      <c r="N227" s="3"/>
    </row>
    <row r="228" spans="2:14" ht="15.75" customHeight="1" x14ac:dyDescent="0.2">
      <c r="C228" s="199">
        <v>43271</v>
      </c>
      <c r="D228" s="19"/>
      <c r="E228" s="24">
        <v>7</v>
      </c>
      <c r="F228" s="24">
        <v>8.1999999999999993</v>
      </c>
      <c r="G228" s="41"/>
      <c r="H228" s="7">
        <v>13.6</v>
      </c>
      <c r="I228" s="3"/>
      <c r="J228" s="45"/>
      <c r="K228" s="3"/>
      <c r="L228" s="13"/>
      <c r="M228" s="24"/>
      <c r="N228" s="3"/>
    </row>
    <row r="229" spans="2:14" ht="15.75" customHeight="1" x14ac:dyDescent="0.2">
      <c r="C229" s="199">
        <v>43271</v>
      </c>
      <c r="D229" s="19"/>
      <c r="E229" s="24">
        <v>8</v>
      </c>
      <c r="F229" s="24">
        <v>8.19</v>
      </c>
      <c r="G229" s="41"/>
      <c r="H229" s="7">
        <v>13.5</v>
      </c>
      <c r="I229" s="3"/>
      <c r="J229" s="45"/>
      <c r="K229" s="3"/>
      <c r="L229" s="13"/>
      <c r="M229" s="24"/>
      <c r="N229" s="3"/>
    </row>
    <row r="230" spans="2:14" ht="15.75" customHeight="1" x14ac:dyDescent="0.2">
      <c r="C230" s="199">
        <v>43271</v>
      </c>
      <c r="D230" s="19"/>
      <c r="E230" s="24">
        <v>9</v>
      </c>
      <c r="F230" s="24">
        <v>8.23</v>
      </c>
      <c r="G230" s="41"/>
      <c r="H230" s="7">
        <v>12.8</v>
      </c>
      <c r="I230" s="3"/>
      <c r="J230" s="45"/>
      <c r="K230" s="3"/>
      <c r="L230" s="13"/>
      <c r="M230" s="24"/>
      <c r="N230" s="3"/>
    </row>
    <row r="231" spans="2:14" ht="15.75" customHeight="1" x14ac:dyDescent="0.2">
      <c r="C231" s="199">
        <v>43271</v>
      </c>
      <c r="D231" s="19"/>
      <c r="E231" s="24">
        <v>10</v>
      </c>
      <c r="F231" s="24">
        <v>8.26</v>
      </c>
      <c r="G231" s="41"/>
      <c r="H231" s="7">
        <v>12.6</v>
      </c>
      <c r="I231" s="3"/>
      <c r="J231" s="45"/>
      <c r="K231" s="3"/>
      <c r="L231" s="13"/>
      <c r="M231" s="24"/>
      <c r="N231" s="3"/>
    </row>
    <row r="232" spans="2:14" ht="15.75" customHeight="1" x14ac:dyDescent="0.2">
      <c r="B232" s="47"/>
      <c r="C232" s="199">
        <v>43328</v>
      </c>
      <c r="D232" s="19">
        <v>0.50347222222222221</v>
      </c>
      <c r="E232" s="24"/>
      <c r="F232" s="24"/>
      <c r="G232" s="41"/>
      <c r="H232" s="7"/>
      <c r="I232" s="3"/>
      <c r="J232" s="2">
        <v>12</v>
      </c>
      <c r="K232" s="3">
        <v>12</v>
      </c>
      <c r="L232" s="13"/>
      <c r="M232" s="48"/>
    </row>
    <row r="233" spans="2:14" ht="15.75" customHeight="1" x14ac:dyDescent="0.2">
      <c r="B233" s="47"/>
      <c r="C233" s="199">
        <v>43328</v>
      </c>
      <c r="D233" s="19">
        <v>0.50694444444444442</v>
      </c>
      <c r="E233" s="24">
        <v>0.1</v>
      </c>
      <c r="F233" s="24">
        <v>7.35</v>
      </c>
      <c r="G233" s="41"/>
      <c r="H233" s="7">
        <v>23.5</v>
      </c>
      <c r="I233" s="3"/>
      <c r="J233" s="49"/>
      <c r="K233" s="3"/>
      <c r="L233" s="13"/>
      <c r="M233" s="48"/>
    </row>
    <row r="234" spans="2:14" ht="15.75" customHeight="1" x14ac:dyDescent="0.2">
      <c r="B234" s="47"/>
      <c r="C234" s="199">
        <v>43328</v>
      </c>
      <c r="D234" s="19"/>
      <c r="E234" s="24">
        <v>1</v>
      </c>
      <c r="F234" s="24">
        <v>7.39</v>
      </c>
      <c r="G234" s="41"/>
      <c r="H234" s="7">
        <v>23</v>
      </c>
      <c r="I234" s="3"/>
      <c r="J234" s="49"/>
      <c r="K234" s="3"/>
      <c r="L234" s="13"/>
      <c r="M234" s="48"/>
    </row>
    <row r="235" spans="2:14" ht="15.75" customHeight="1" x14ac:dyDescent="0.2">
      <c r="B235" s="47"/>
      <c r="C235" s="199">
        <v>43328</v>
      </c>
      <c r="D235" s="19"/>
      <c r="E235" s="24">
        <v>2</v>
      </c>
      <c r="F235" s="24">
        <v>7.43</v>
      </c>
      <c r="G235" s="41"/>
      <c r="H235" s="7">
        <v>22.6</v>
      </c>
      <c r="I235" s="3"/>
      <c r="J235" s="49"/>
      <c r="K235" s="3"/>
      <c r="L235" s="13"/>
      <c r="M235" s="48"/>
    </row>
    <row r="236" spans="2:14" ht="15.75" customHeight="1" x14ac:dyDescent="0.2">
      <c r="B236" s="47"/>
      <c r="C236" s="199">
        <v>43328</v>
      </c>
      <c r="D236" s="19"/>
      <c r="E236" s="24">
        <v>3</v>
      </c>
      <c r="F236" s="24">
        <v>7.39</v>
      </c>
      <c r="G236" s="41"/>
      <c r="H236" s="7">
        <v>22.4</v>
      </c>
      <c r="I236" s="3"/>
      <c r="J236" s="49"/>
      <c r="K236" s="3"/>
      <c r="M236" s="48"/>
    </row>
    <row r="237" spans="2:14" ht="15.75" customHeight="1" x14ac:dyDescent="0.2">
      <c r="B237" s="47"/>
      <c r="C237" s="199">
        <v>43328</v>
      </c>
      <c r="D237" s="19"/>
      <c r="E237" s="24">
        <v>4</v>
      </c>
      <c r="F237" s="24">
        <v>7.4</v>
      </c>
      <c r="G237" s="41"/>
      <c r="H237" s="7">
        <v>22.3</v>
      </c>
      <c r="I237" s="3"/>
      <c r="J237" s="49"/>
      <c r="K237" s="3"/>
      <c r="M237" s="48"/>
    </row>
    <row r="238" spans="2:14" ht="15.75" customHeight="1" x14ac:dyDescent="0.2">
      <c r="B238" s="47"/>
      <c r="C238" s="199">
        <v>43328</v>
      </c>
      <c r="D238" s="19"/>
      <c r="E238" s="24">
        <v>5</v>
      </c>
      <c r="F238" s="24">
        <v>7.4</v>
      </c>
      <c r="G238" s="41"/>
      <c r="H238" s="7">
        <v>22.2</v>
      </c>
      <c r="I238" s="3"/>
      <c r="J238" s="49"/>
      <c r="K238" s="3"/>
      <c r="M238" s="48"/>
    </row>
    <row r="239" spans="2:14" ht="15.75" customHeight="1" x14ac:dyDescent="0.2">
      <c r="B239" s="47"/>
      <c r="C239" s="199">
        <v>43328</v>
      </c>
      <c r="D239" s="19"/>
      <c r="E239" s="24">
        <v>6</v>
      </c>
      <c r="F239" s="24">
        <v>7.36</v>
      </c>
      <c r="G239" s="41"/>
      <c r="H239" s="7">
        <v>22.1</v>
      </c>
      <c r="I239" s="3"/>
      <c r="J239" s="49"/>
      <c r="K239" s="3"/>
      <c r="L239" s="13"/>
      <c r="M239" s="48"/>
    </row>
    <row r="240" spans="2:14" ht="15.75" customHeight="1" x14ac:dyDescent="0.2">
      <c r="B240" s="47"/>
      <c r="C240" s="199">
        <v>43328</v>
      </c>
      <c r="D240" s="19"/>
      <c r="E240" s="24">
        <v>7</v>
      </c>
      <c r="F240" s="24">
        <v>7.34</v>
      </c>
      <c r="G240" s="41"/>
      <c r="H240" s="7">
        <v>21.9</v>
      </c>
      <c r="I240" s="3"/>
      <c r="J240" s="49"/>
      <c r="K240" s="3"/>
      <c r="M240" s="48"/>
    </row>
    <row r="241" spans="2:13" ht="15.75" customHeight="1" x14ac:dyDescent="0.2">
      <c r="B241" s="47"/>
      <c r="C241" s="199">
        <v>43328</v>
      </c>
      <c r="D241" s="19"/>
      <c r="E241" s="24">
        <v>8</v>
      </c>
      <c r="F241" s="24">
        <v>7.48</v>
      </c>
      <c r="G241" s="41"/>
      <c r="H241" s="7">
        <v>21</v>
      </c>
      <c r="I241" s="3"/>
      <c r="J241" s="49"/>
      <c r="K241" s="3"/>
      <c r="M241" s="48"/>
    </row>
    <row r="242" spans="2:13" ht="15.75" customHeight="1" x14ac:dyDescent="0.2">
      <c r="B242" s="47"/>
      <c r="C242" s="199">
        <v>43328</v>
      </c>
      <c r="D242" s="19"/>
      <c r="E242" s="24">
        <v>9</v>
      </c>
      <c r="F242" s="24">
        <v>7.89</v>
      </c>
      <c r="G242" s="41"/>
      <c r="H242" s="7">
        <v>20.2</v>
      </c>
      <c r="I242" s="3"/>
      <c r="J242" s="49"/>
      <c r="K242" s="3"/>
      <c r="L242" s="13"/>
      <c r="M242" s="48"/>
    </row>
    <row r="243" spans="2:13" ht="15.75" customHeight="1" x14ac:dyDescent="0.2">
      <c r="B243" s="47"/>
      <c r="C243" s="199">
        <v>43328</v>
      </c>
      <c r="D243" s="19"/>
      <c r="E243" s="24">
        <v>10</v>
      </c>
      <c r="F243" s="24">
        <v>8.25</v>
      </c>
      <c r="G243" s="41"/>
      <c r="H243" s="7">
        <v>18.100000000000001</v>
      </c>
      <c r="I243" s="7"/>
      <c r="J243" s="49"/>
      <c r="K243" s="3"/>
      <c r="L243" s="13"/>
      <c r="M243" s="48"/>
    </row>
    <row r="244" spans="2:13" ht="15.75" customHeight="1" x14ac:dyDescent="0.2">
      <c r="B244" s="47"/>
      <c r="C244" s="199">
        <v>43018</v>
      </c>
      <c r="D244" s="19">
        <v>0.59722222222222221</v>
      </c>
      <c r="E244" s="24"/>
      <c r="F244" s="24"/>
      <c r="G244" s="7"/>
      <c r="H244" s="7"/>
      <c r="I244" s="3"/>
      <c r="J244" s="3">
        <v>11.5</v>
      </c>
      <c r="K244" s="3">
        <v>11.5</v>
      </c>
      <c r="L244" s="13"/>
      <c r="M244" s="48"/>
    </row>
    <row r="245" spans="2:13" ht="15.75" customHeight="1" x14ac:dyDescent="0.2">
      <c r="B245" s="47"/>
      <c r="C245" s="199">
        <v>43018</v>
      </c>
      <c r="D245" s="19">
        <v>0.59722222222222221</v>
      </c>
      <c r="E245" s="24">
        <v>0.1</v>
      </c>
      <c r="F245" s="24">
        <v>8.0500000000000007</v>
      </c>
      <c r="G245" s="7">
        <v>83.4</v>
      </c>
      <c r="H245" s="7">
        <v>13.7</v>
      </c>
      <c r="I245" s="3"/>
      <c r="J245" s="3"/>
      <c r="K245" s="3"/>
      <c r="L245" s="13"/>
      <c r="M245" s="48"/>
    </row>
    <row r="246" spans="2:13" ht="15.75" customHeight="1" x14ac:dyDescent="0.2">
      <c r="B246" s="47"/>
      <c r="C246" s="199">
        <v>43018</v>
      </c>
      <c r="D246" s="19">
        <v>0.59722222222222221</v>
      </c>
      <c r="E246" s="24">
        <v>1</v>
      </c>
      <c r="F246" s="24">
        <v>8.02</v>
      </c>
      <c r="G246" s="7">
        <v>83.2</v>
      </c>
      <c r="H246" s="7">
        <v>13.8</v>
      </c>
      <c r="I246" s="3"/>
      <c r="J246" s="3"/>
      <c r="K246" s="3"/>
      <c r="L246" s="13"/>
      <c r="M246" s="48"/>
    </row>
    <row r="247" spans="2:13" ht="15.75" customHeight="1" x14ac:dyDescent="0.2">
      <c r="B247" s="47"/>
      <c r="C247" s="199">
        <v>43018</v>
      </c>
      <c r="D247" s="19">
        <v>0.59722222222222221</v>
      </c>
      <c r="E247" s="24">
        <v>2</v>
      </c>
      <c r="F247" s="24">
        <v>8</v>
      </c>
      <c r="G247" s="7">
        <v>83</v>
      </c>
      <c r="H247" s="7">
        <v>13.8</v>
      </c>
      <c r="I247" s="3"/>
      <c r="J247" s="3"/>
      <c r="K247" s="3"/>
      <c r="L247" s="13"/>
      <c r="M247" s="48"/>
    </row>
    <row r="248" spans="2:13" ht="15.75" customHeight="1" x14ac:dyDescent="0.2">
      <c r="B248" s="47"/>
      <c r="C248" s="199">
        <v>43018</v>
      </c>
      <c r="D248" s="19">
        <v>0.59722222222222221</v>
      </c>
      <c r="E248" s="24">
        <v>3</v>
      </c>
      <c r="F248" s="24">
        <v>8.58</v>
      </c>
      <c r="G248" s="7">
        <v>82.9</v>
      </c>
      <c r="H248" s="7">
        <v>13.8</v>
      </c>
      <c r="I248" s="3"/>
      <c r="J248" s="3"/>
      <c r="K248" s="3"/>
      <c r="L248" s="13"/>
      <c r="M248" s="48"/>
    </row>
    <row r="249" spans="2:13" ht="15.75" customHeight="1" x14ac:dyDescent="0.2">
      <c r="B249" s="47"/>
      <c r="C249" s="199">
        <v>43018</v>
      </c>
      <c r="D249" s="19">
        <v>0.59722222222222221</v>
      </c>
      <c r="E249" s="24">
        <v>4</v>
      </c>
      <c r="F249" s="24">
        <v>8.56</v>
      </c>
      <c r="G249" s="7">
        <v>82.7</v>
      </c>
      <c r="H249" s="7">
        <v>13.8</v>
      </c>
      <c r="I249" s="3"/>
      <c r="J249" s="3"/>
      <c r="K249" s="3"/>
      <c r="L249" s="13"/>
      <c r="M249" s="48"/>
    </row>
    <row r="250" spans="2:13" ht="15.75" customHeight="1" x14ac:dyDescent="0.2">
      <c r="B250" s="47"/>
      <c r="C250" s="199">
        <v>43018</v>
      </c>
      <c r="D250" s="19">
        <v>0.59722222222222221</v>
      </c>
      <c r="E250" s="24">
        <v>5</v>
      </c>
      <c r="F250" s="24">
        <v>8.5500000000000007</v>
      </c>
      <c r="G250" s="7">
        <v>82.6</v>
      </c>
      <c r="H250" s="7">
        <v>13.8</v>
      </c>
      <c r="I250" s="3"/>
      <c r="J250" s="3"/>
      <c r="K250" s="3"/>
      <c r="L250" s="13"/>
      <c r="M250" s="48"/>
    </row>
    <row r="251" spans="2:13" ht="15.75" customHeight="1" x14ac:dyDescent="0.2">
      <c r="B251" s="47"/>
      <c r="C251" s="199">
        <v>43018</v>
      </c>
      <c r="D251" s="19">
        <v>0.59722222222222221</v>
      </c>
      <c r="E251" s="24">
        <v>6</v>
      </c>
      <c r="F251" s="24">
        <v>8.5299999999999994</v>
      </c>
      <c r="G251" s="7">
        <v>82.4</v>
      </c>
      <c r="H251" s="7">
        <v>13.8</v>
      </c>
      <c r="I251" s="3"/>
      <c r="J251" s="3"/>
      <c r="K251" s="3"/>
      <c r="L251" s="13"/>
      <c r="M251" s="48"/>
    </row>
    <row r="252" spans="2:13" ht="15.75" customHeight="1" x14ac:dyDescent="0.2">
      <c r="B252" s="47"/>
      <c r="C252" s="199">
        <v>43018</v>
      </c>
      <c r="D252" s="19">
        <v>0.59722222222222221</v>
      </c>
      <c r="E252" s="24">
        <v>7</v>
      </c>
      <c r="F252" s="24">
        <v>8.5299999999999994</v>
      </c>
      <c r="G252" s="7">
        <v>82.1</v>
      </c>
      <c r="H252" s="7">
        <v>13.8</v>
      </c>
      <c r="I252" s="3"/>
      <c r="J252" s="3"/>
      <c r="K252" s="3"/>
      <c r="L252" s="13"/>
      <c r="M252" s="48"/>
    </row>
    <row r="253" spans="2:13" ht="15.75" customHeight="1" x14ac:dyDescent="0.2">
      <c r="B253" s="47"/>
      <c r="C253" s="199">
        <v>43018</v>
      </c>
      <c r="D253" s="19">
        <v>0.59722222222222221</v>
      </c>
      <c r="E253" s="24">
        <v>8</v>
      </c>
      <c r="F253" s="24">
        <v>8.49</v>
      </c>
      <c r="G253" s="7">
        <v>82</v>
      </c>
      <c r="H253" s="7">
        <v>13.8</v>
      </c>
      <c r="I253" s="3"/>
      <c r="J253" s="3"/>
      <c r="K253" s="3"/>
      <c r="L253" s="13"/>
      <c r="M253" s="48"/>
    </row>
    <row r="254" spans="2:13" ht="15.75" customHeight="1" x14ac:dyDescent="0.2">
      <c r="B254" s="47"/>
      <c r="C254" s="199">
        <v>43018</v>
      </c>
      <c r="D254" s="19">
        <v>0.59722222222222221</v>
      </c>
      <c r="E254" s="24">
        <v>9</v>
      </c>
      <c r="F254" s="24">
        <v>8.48</v>
      </c>
      <c r="G254" s="7">
        <v>81.900000000000006</v>
      </c>
      <c r="H254" s="7">
        <v>13.8</v>
      </c>
      <c r="I254" s="3"/>
      <c r="J254" s="3"/>
      <c r="K254" s="3"/>
      <c r="L254" s="13"/>
      <c r="M254" s="48"/>
    </row>
    <row r="255" spans="2:13" ht="15.75" customHeight="1" x14ac:dyDescent="0.2">
      <c r="B255" s="47"/>
      <c r="C255" s="199">
        <v>43018</v>
      </c>
      <c r="D255" s="19">
        <v>0.59722222222222221</v>
      </c>
      <c r="E255" s="24">
        <v>10</v>
      </c>
      <c r="F255" s="24">
        <v>8.4600000000000009</v>
      </c>
      <c r="G255" s="7">
        <v>81.3</v>
      </c>
      <c r="H255" s="7">
        <v>13.7</v>
      </c>
      <c r="I255" s="3"/>
      <c r="J255" s="3"/>
      <c r="K255" s="3"/>
      <c r="L255" s="13"/>
      <c r="M255" s="48"/>
    </row>
    <row r="256" spans="2:13" ht="15.75" customHeight="1" x14ac:dyDescent="0.2">
      <c r="B256" s="47"/>
      <c r="C256" s="199">
        <v>42989</v>
      </c>
      <c r="D256" s="19">
        <v>0.61111111111111105</v>
      </c>
      <c r="E256" s="24"/>
      <c r="F256" s="24"/>
      <c r="G256" s="7"/>
      <c r="H256" s="7"/>
      <c r="I256" s="3"/>
      <c r="J256" s="3">
        <v>11.5</v>
      </c>
      <c r="K256" s="3">
        <v>11.5</v>
      </c>
      <c r="L256" s="13"/>
      <c r="M256" s="48"/>
    </row>
    <row r="257" spans="2:13" ht="15.75" customHeight="1" x14ac:dyDescent="0.2">
      <c r="B257" s="47"/>
      <c r="C257" s="199">
        <v>42989</v>
      </c>
      <c r="D257" s="19">
        <v>0.61111111111111105</v>
      </c>
      <c r="E257" s="24">
        <v>0.1</v>
      </c>
      <c r="F257" s="24">
        <v>7.65</v>
      </c>
      <c r="G257" s="7">
        <v>86.2</v>
      </c>
      <c r="H257" s="7">
        <v>21.2</v>
      </c>
      <c r="I257" s="3"/>
      <c r="J257" s="3"/>
      <c r="K257" s="3"/>
      <c r="L257" s="13"/>
      <c r="M257" s="48"/>
    </row>
    <row r="258" spans="2:13" ht="15.75" customHeight="1" x14ac:dyDescent="0.2">
      <c r="B258" s="47"/>
      <c r="C258" s="199">
        <v>42989</v>
      </c>
      <c r="D258" s="19">
        <v>0.61111111111111105</v>
      </c>
      <c r="E258" s="24">
        <v>1</v>
      </c>
      <c r="F258" s="24">
        <v>7.68</v>
      </c>
      <c r="G258" s="7">
        <v>86.3</v>
      </c>
      <c r="H258" s="7">
        <v>21.1</v>
      </c>
      <c r="I258" s="3"/>
      <c r="J258" s="3"/>
      <c r="K258" s="3"/>
      <c r="L258" s="13"/>
      <c r="M258" s="48"/>
    </row>
    <row r="259" spans="2:13" ht="15.75" customHeight="1" x14ac:dyDescent="0.2">
      <c r="B259" s="47"/>
      <c r="C259" s="199">
        <v>42989</v>
      </c>
      <c r="D259" s="19">
        <v>0.61111111111111105</v>
      </c>
      <c r="E259" s="24">
        <v>2</v>
      </c>
      <c r="F259" s="24">
        <v>7.67</v>
      </c>
      <c r="G259" s="7">
        <v>86</v>
      </c>
      <c r="H259" s="7">
        <v>21</v>
      </c>
      <c r="I259" s="3"/>
      <c r="J259" s="3"/>
      <c r="K259" s="3"/>
      <c r="L259" s="13"/>
      <c r="M259" s="48"/>
    </row>
    <row r="260" spans="2:13" ht="15.75" customHeight="1" x14ac:dyDescent="0.2">
      <c r="B260" s="47"/>
      <c r="C260" s="199">
        <v>42989</v>
      </c>
      <c r="D260" s="19">
        <v>0.61111111111111105</v>
      </c>
      <c r="E260" s="24">
        <v>3</v>
      </c>
      <c r="F260" s="24">
        <v>7.68</v>
      </c>
      <c r="G260" s="7">
        <v>85.6</v>
      </c>
      <c r="H260" s="7">
        <v>20.8</v>
      </c>
      <c r="I260" s="3"/>
      <c r="J260" s="3"/>
      <c r="K260" s="3"/>
      <c r="L260" s="13"/>
      <c r="M260" s="48"/>
    </row>
    <row r="261" spans="2:13" ht="15.75" customHeight="1" x14ac:dyDescent="0.2">
      <c r="B261" s="47"/>
      <c r="C261" s="199">
        <v>42989</v>
      </c>
      <c r="D261" s="19">
        <v>0.61111111111111105</v>
      </c>
      <c r="E261" s="24">
        <v>4</v>
      </c>
      <c r="F261" s="24">
        <v>7.68</v>
      </c>
      <c r="G261" s="7">
        <v>85.4</v>
      </c>
      <c r="H261" s="7">
        <v>20.5</v>
      </c>
      <c r="I261" s="3"/>
      <c r="J261" s="3"/>
      <c r="K261" s="3"/>
      <c r="L261" s="13"/>
      <c r="M261" s="48"/>
    </row>
    <row r="262" spans="2:13" ht="15.75" customHeight="1" x14ac:dyDescent="0.2">
      <c r="B262" s="47"/>
      <c r="C262" s="199">
        <v>42989</v>
      </c>
      <c r="D262" s="19">
        <v>0.61111111111111105</v>
      </c>
      <c r="E262" s="24">
        <v>5</v>
      </c>
      <c r="F262" s="24">
        <v>7.68</v>
      </c>
      <c r="G262" s="7">
        <v>85.2</v>
      </c>
      <c r="H262" s="7">
        <v>20.399999999999999</v>
      </c>
      <c r="I262" s="3"/>
      <c r="J262" s="3"/>
      <c r="K262" s="3"/>
      <c r="L262" s="13"/>
      <c r="M262" s="48"/>
    </row>
    <row r="263" spans="2:13" ht="15.75" customHeight="1" x14ac:dyDescent="0.2">
      <c r="B263" s="47"/>
      <c r="C263" s="199">
        <v>42989</v>
      </c>
      <c r="D263" s="19">
        <v>0.61111111111111105</v>
      </c>
      <c r="E263" s="24">
        <v>6</v>
      </c>
      <c r="F263" s="24">
        <v>7.68</v>
      </c>
      <c r="G263" s="7">
        <v>85.1</v>
      </c>
      <c r="H263" s="7">
        <v>20.399999999999999</v>
      </c>
      <c r="I263" s="3"/>
      <c r="J263" s="3"/>
      <c r="K263" s="3"/>
      <c r="L263" s="13"/>
      <c r="M263" s="48"/>
    </row>
    <row r="264" spans="2:13" ht="15.75" customHeight="1" x14ac:dyDescent="0.2">
      <c r="B264" s="47"/>
      <c r="C264" s="199">
        <v>42989</v>
      </c>
      <c r="D264" s="19">
        <v>0.61111111111111105</v>
      </c>
      <c r="E264" s="24">
        <v>7</v>
      </c>
      <c r="F264" s="24">
        <v>7.7</v>
      </c>
      <c r="G264" s="7">
        <v>85.4</v>
      </c>
      <c r="H264" s="7">
        <v>20.3</v>
      </c>
      <c r="I264" s="3"/>
      <c r="J264" s="3"/>
      <c r="K264" s="3"/>
      <c r="L264" s="13"/>
      <c r="M264" s="48"/>
    </row>
    <row r="265" spans="2:13" ht="15.75" customHeight="1" x14ac:dyDescent="0.2">
      <c r="B265" s="47"/>
      <c r="C265" s="199">
        <v>42989</v>
      </c>
      <c r="D265" s="19">
        <v>0.61111111111111105</v>
      </c>
      <c r="E265" s="24">
        <v>8</v>
      </c>
      <c r="F265" s="24">
        <v>7.73</v>
      </c>
      <c r="G265" s="7">
        <v>85.3</v>
      </c>
      <c r="H265" s="7">
        <v>20.2</v>
      </c>
      <c r="I265" s="3"/>
      <c r="J265" s="3"/>
      <c r="K265" s="3"/>
      <c r="L265" s="13"/>
      <c r="M265" s="48"/>
    </row>
    <row r="266" spans="2:13" ht="15.75" customHeight="1" x14ac:dyDescent="0.2">
      <c r="B266" s="47"/>
      <c r="C266" s="199">
        <v>42989</v>
      </c>
      <c r="D266" s="19">
        <v>0.61111111111111105</v>
      </c>
      <c r="E266" s="24">
        <v>9</v>
      </c>
      <c r="F266" s="24">
        <v>7.76</v>
      </c>
      <c r="G266" s="7">
        <v>84.6</v>
      </c>
      <c r="H266" s="7">
        <v>19.5</v>
      </c>
      <c r="I266" s="3"/>
      <c r="J266" s="3"/>
      <c r="K266" s="3"/>
      <c r="L266" s="13"/>
      <c r="M266" s="48"/>
    </row>
    <row r="267" spans="2:13" ht="15.75" customHeight="1" x14ac:dyDescent="0.2">
      <c r="B267" s="47"/>
      <c r="C267" s="199">
        <v>42989</v>
      </c>
      <c r="D267" s="19">
        <v>0.61111111111111105</v>
      </c>
      <c r="E267" s="24">
        <v>10</v>
      </c>
      <c r="F267" s="24">
        <v>8.19</v>
      </c>
      <c r="G267" s="7">
        <v>87.5</v>
      </c>
      <c r="H267" s="7">
        <v>18.5</v>
      </c>
      <c r="I267" s="3"/>
      <c r="J267" s="3"/>
      <c r="K267" s="3"/>
      <c r="L267" s="13"/>
      <c r="M267" s="48"/>
    </row>
    <row r="268" spans="2:13" ht="15.75" customHeight="1" x14ac:dyDescent="0.2">
      <c r="B268" s="47"/>
      <c r="C268" s="199">
        <v>42954</v>
      </c>
      <c r="D268" s="19">
        <v>0.61458333333333337</v>
      </c>
      <c r="E268" s="24"/>
      <c r="F268" s="24"/>
      <c r="G268" s="7"/>
      <c r="H268" s="7"/>
      <c r="I268" s="3"/>
      <c r="J268" s="3">
        <v>11</v>
      </c>
      <c r="K268" s="3">
        <v>11</v>
      </c>
      <c r="L268" s="13"/>
      <c r="M268" s="48"/>
    </row>
    <row r="269" spans="2:13" ht="15.75" customHeight="1" x14ac:dyDescent="0.2">
      <c r="B269" s="47"/>
      <c r="C269" s="199">
        <v>42954</v>
      </c>
      <c r="D269" s="19">
        <v>0.62152777777777779</v>
      </c>
      <c r="E269" s="24">
        <v>0.1</v>
      </c>
      <c r="F269" s="24">
        <v>7.21</v>
      </c>
      <c r="G269" s="7">
        <v>87.2</v>
      </c>
      <c r="H269" s="7">
        <v>25.1</v>
      </c>
      <c r="I269" s="3"/>
      <c r="J269" s="3"/>
      <c r="K269" s="3"/>
      <c r="L269" s="13"/>
      <c r="M269" s="48"/>
    </row>
    <row r="270" spans="2:13" ht="15.75" customHeight="1" x14ac:dyDescent="0.2">
      <c r="B270" s="47"/>
      <c r="C270" s="199">
        <v>42954</v>
      </c>
      <c r="D270" s="19">
        <v>0.62152777777777779</v>
      </c>
      <c r="E270" s="24">
        <v>1</v>
      </c>
      <c r="F270" s="24">
        <v>7.21</v>
      </c>
      <c r="G270" s="7">
        <v>86.4</v>
      </c>
      <c r="H270" s="7">
        <v>24.6</v>
      </c>
      <c r="I270" s="3"/>
      <c r="J270" s="3"/>
      <c r="K270" s="3"/>
      <c r="L270" s="13"/>
      <c r="M270" s="48"/>
    </row>
    <row r="271" spans="2:13" ht="15.75" customHeight="1" x14ac:dyDescent="0.2">
      <c r="B271" s="47"/>
      <c r="C271" s="199">
        <v>42954</v>
      </c>
      <c r="D271" s="19">
        <v>0.62152777777777779</v>
      </c>
      <c r="E271" s="24">
        <v>2</v>
      </c>
      <c r="F271" s="24">
        <v>7.2</v>
      </c>
      <c r="G271" s="7">
        <v>85.5</v>
      </c>
      <c r="H271" s="7">
        <v>24</v>
      </c>
      <c r="I271" s="3"/>
      <c r="J271" s="3"/>
      <c r="K271" s="3"/>
      <c r="L271" s="13"/>
      <c r="M271" s="48"/>
    </row>
    <row r="272" spans="2:13" ht="15.75" customHeight="1" x14ac:dyDescent="0.2">
      <c r="B272" s="47"/>
      <c r="C272" s="199">
        <v>42954</v>
      </c>
      <c r="D272" s="19">
        <v>0.62152777777777779</v>
      </c>
      <c r="E272" s="24">
        <v>3</v>
      </c>
      <c r="F272" s="24">
        <v>7.23</v>
      </c>
      <c r="G272" s="7">
        <v>85.4</v>
      </c>
      <c r="H272" s="7">
        <v>23.7</v>
      </c>
      <c r="I272" s="3"/>
      <c r="J272" s="3"/>
      <c r="K272" s="3"/>
      <c r="M272" s="48"/>
    </row>
    <row r="273" spans="2:13" ht="15.75" customHeight="1" x14ac:dyDescent="0.2">
      <c r="B273" s="47"/>
      <c r="C273" s="199">
        <v>42954</v>
      </c>
      <c r="D273" s="19">
        <v>0.62152777777777779</v>
      </c>
      <c r="E273" s="24">
        <v>4</v>
      </c>
      <c r="F273" s="24">
        <v>7.25</v>
      </c>
      <c r="G273" s="7">
        <v>85.3</v>
      </c>
      <c r="H273" s="7">
        <v>23.6</v>
      </c>
      <c r="I273" s="3"/>
      <c r="J273" s="3"/>
      <c r="K273" s="3"/>
      <c r="M273" s="48"/>
    </row>
    <row r="274" spans="2:13" ht="15.75" customHeight="1" x14ac:dyDescent="0.2">
      <c r="C274" s="199">
        <v>42954</v>
      </c>
      <c r="D274" s="19">
        <v>0.62152777777777779</v>
      </c>
      <c r="E274" s="24">
        <v>5</v>
      </c>
      <c r="F274" s="24">
        <v>7.2</v>
      </c>
      <c r="G274" s="7">
        <v>84.5</v>
      </c>
      <c r="H274" s="7">
        <v>23.4</v>
      </c>
      <c r="I274" s="3"/>
      <c r="J274" s="3"/>
      <c r="K274" s="3"/>
    </row>
    <row r="275" spans="2:13" ht="15.75" customHeight="1" x14ac:dyDescent="0.2">
      <c r="C275" s="199">
        <v>42954</v>
      </c>
      <c r="D275" s="19">
        <v>0.62152777777777779</v>
      </c>
      <c r="E275" s="24">
        <v>6</v>
      </c>
      <c r="F275" s="24">
        <v>7.15</v>
      </c>
      <c r="G275" s="7">
        <v>83.8</v>
      </c>
      <c r="H275" s="7">
        <v>23.3</v>
      </c>
      <c r="I275" s="3"/>
      <c r="J275" s="3"/>
      <c r="K275" s="3"/>
    </row>
    <row r="276" spans="2:13" ht="15.75" customHeight="1" x14ac:dyDescent="0.2">
      <c r="C276" s="199">
        <v>42954</v>
      </c>
      <c r="D276" s="19">
        <v>0.62152777777777779</v>
      </c>
      <c r="E276" s="24">
        <v>7</v>
      </c>
      <c r="F276" s="24">
        <v>7.22</v>
      </c>
      <c r="G276" s="7">
        <v>84.3</v>
      </c>
      <c r="H276" s="7">
        <v>23.1</v>
      </c>
      <c r="I276" s="3"/>
      <c r="J276" s="3"/>
      <c r="K276" s="3"/>
    </row>
    <row r="277" spans="2:13" ht="15.75" customHeight="1" x14ac:dyDescent="0.2">
      <c r="C277" s="199">
        <v>42954</v>
      </c>
      <c r="D277" s="19">
        <v>0.62152777777777779</v>
      </c>
      <c r="E277" s="24">
        <v>8</v>
      </c>
      <c r="F277" s="24">
        <v>7.39</v>
      </c>
      <c r="G277" s="7">
        <v>85</v>
      </c>
      <c r="H277" s="7">
        <v>22.3</v>
      </c>
      <c r="I277" s="3"/>
      <c r="J277" s="3"/>
      <c r="K277" s="3"/>
    </row>
    <row r="278" spans="2:13" ht="15.75" customHeight="1" x14ac:dyDescent="0.2">
      <c r="C278" s="199">
        <v>42954</v>
      </c>
      <c r="D278" s="19">
        <v>0.62152777777777779</v>
      </c>
      <c r="E278" s="24">
        <v>9</v>
      </c>
      <c r="F278" s="24">
        <v>7.93</v>
      </c>
      <c r="G278" s="7">
        <v>87.6</v>
      </c>
      <c r="H278" s="7">
        <v>20.3</v>
      </c>
      <c r="I278" s="7"/>
      <c r="J278" s="3"/>
      <c r="K278" s="3"/>
    </row>
    <row r="279" spans="2:13" ht="15.75" customHeight="1" x14ac:dyDescent="0.2">
      <c r="C279" s="199">
        <v>42928</v>
      </c>
      <c r="D279" s="19">
        <v>0.33819444444444446</v>
      </c>
      <c r="E279" s="24"/>
      <c r="F279" s="24"/>
      <c r="G279" s="7"/>
      <c r="H279" s="7"/>
      <c r="I279" s="3"/>
      <c r="J279" s="3">
        <v>11</v>
      </c>
      <c r="K279" s="3">
        <v>12</v>
      </c>
    </row>
    <row r="280" spans="2:13" ht="15.75" customHeight="1" x14ac:dyDescent="0.2">
      <c r="C280" s="199">
        <v>42928</v>
      </c>
      <c r="D280" s="19">
        <v>0.34722222222222227</v>
      </c>
      <c r="E280" s="24">
        <v>0.1</v>
      </c>
      <c r="F280" s="24">
        <v>7.74</v>
      </c>
      <c r="G280" s="7">
        <v>87.8</v>
      </c>
      <c r="H280" s="7">
        <v>21.6</v>
      </c>
      <c r="I280" s="3"/>
      <c r="J280" s="3"/>
      <c r="K280" s="3"/>
    </row>
    <row r="281" spans="2:13" ht="15.75" customHeight="1" x14ac:dyDescent="0.2">
      <c r="C281" s="199">
        <v>42928</v>
      </c>
      <c r="D281" s="19">
        <v>0.34722222222222227</v>
      </c>
      <c r="E281" s="24">
        <v>1</v>
      </c>
      <c r="F281" s="24">
        <v>7.68</v>
      </c>
      <c r="G281" s="7">
        <v>87.1</v>
      </c>
      <c r="H281" s="7">
        <v>21.6</v>
      </c>
      <c r="I281" s="3"/>
      <c r="J281" s="3"/>
      <c r="K281" s="3"/>
    </row>
    <row r="282" spans="2:13" ht="15.75" customHeight="1" x14ac:dyDescent="0.2">
      <c r="C282" s="199">
        <v>42928</v>
      </c>
      <c r="D282" s="19">
        <v>0.34722222222222227</v>
      </c>
      <c r="E282" s="24">
        <v>2</v>
      </c>
      <c r="F282" s="24">
        <v>7.62</v>
      </c>
      <c r="G282" s="7">
        <v>86.6</v>
      </c>
      <c r="H282" s="7">
        <v>21.7</v>
      </c>
      <c r="I282" s="3"/>
      <c r="J282" s="3"/>
      <c r="K282" s="3"/>
    </row>
    <row r="283" spans="2:13" ht="15.75" customHeight="1" x14ac:dyDescent="0.2">
      <c r="C283" s="199">
        <v>42928</v>
      </c>
      <c r="D283" s="19">
        <v>0.34722222222222227</v>
      </c>
      <c r="E283" s="24">
        <v>4</v>
      </c>
      <c r="F283" s="24">
        <v>7.56</v>
      </c>
      <c r="G283" s="7">
        <v>85.9</v>
      </c>
      <c r="H283" s="7">
        <v>21.7</v>
      </c>
      <c r="I283" s="3"/>
      <c r="J283" s="3"/>
      <c r="K283" s="3"/>
    </row>
    <row r="284" spans="2:13" ht="15.75" customHeight="1" x14ac:dyDescent="0.2">
      <c r="C284" s="199">
        <v>42898</v>
      </c>
      <c r="D284" s="19">
        <v>0.59375</v>
      </c>
      <c r="E284" s="24"/>
      <c r="F284" s="24"/>
      <c r="G284" s="7"/>
      <c r="H284" s="7"/>
      <c r="I284" s="3"/>
      <c r="J284" s="3">
        <v>8</v>
      </c>
      <c r="K284" s="3">
        <v>9</v>
      </c>
    </row>
    <row r="285" spans="2:13" ht="15.75" customHeight="1" x14ac:dyDescent="0.2">
      <c r="C285" s="199">
        <v>42898</v>
      </c>
      <c r="D285" s="19">
        <v>0.60416666666666663</v>
      </c>
      <c r="E285" s="24">
        <v>0.1</v>
      </c>
      <c r="F285" s="24">
        <v>8.5</v>
      </c>
      <c r="G285" s="7">
        <v>90</v>
      </c>
      <c r="H285" s="7">
        <v>18</v>
      </c>
      <c r="I285" s="3"/>
      <c r="J285" s="3"/>
      <c r="K285" s="3"/>
    </row>
    <row r="286" spans="2:13" ht="15.75" customHeight="1" x14ac:dyDescent="0.2">
      <c r="C286" s="199">
        <v>42898</v>
      </c>
      <c r="D286" s="19">
        <v>0.60416666666666663</v>
      </c>
      <c r="E286" s="24">
        <v>1</v>
      </c>
      <c r="F286" s="24">
        <v>8.6</v>
      </c>
      <c r="G286" s="7">
        <v>88</v>
      </c>
      <c r="H286" s="7">
        <v>16.600000000000001</v>
      </c>
      <c r="I286" s="3"/>
      <c r="J286" s="3"/>
      <c r="K286" s="3"/>
    </row>
    <row r="287" spans="2:13" ht="15.75" customHeight="1" x14ac:dyDescent="0.2">
      <c r="C287" s="199">
        <v>42898</v>
      </c>
      <c r="D287" s="19">
        <v>0.60416666666666663</v>
      </c>
      <c r="E287" s="24">
        <v>2</v>
      </c>
      <c r="F287" s="24">
        <v>8.6</v>
      </c>
      <c r="G287" s="7">
        <v>87.6</v>
      </c>
      <c r="H287" s="7">
        <v>16</v>
      </c>
      <c r="I287" s="3"/>
      <c r="J287" s="3"/>
      <c r="K287" s="3"/>
    </row>
    <row r="288" spans="2:13" ht="15.75" customHeight="1" x14ac:dyDescent="0.2">
      <c r="C288" s="199">
        <v>42898</v>
      </c>
      <c r="D288" s="19">
        <v>0.60416666666666663</v>
      </c>
      <c r="E288" s="24">
        <v>3</v>
      </c>
      <c r="F288" s="24">
        <v>8.69</v>
      </c>
      <c r="G288" s="7">
        <v>87.5</v>
      </c>
      <c r="H288" s="7">
        <v>15.8</v>
      </c>
      <c r="I288" s="3"/>
      <c r="J288" s="3"/>
      <c r="K288" s="3"/>
    </row>
    <row r="289" spans="3:11" ht="15.75" customHeight="1" x14ac:dyDescent="0.2">
      <c r="C289" s="199">
        <v>42898</v>
      </c>
      <c r="D289" s="19">
        <v>0.60416666666666663</v>
      </c>
      <c r="E289" s="24">
        <v>4</v>
      </c>
      <c r="F289" s="24">
        <v>8.69</v>
      </c>
      <c r="G289" s="7">
        <v>87.1</v>
      </c>
      <c r="H289" s="7">
        <v>15.5</v>
      </c>
      <c r="I289" s="3"/>
      <c r="J289" s="3"/>
      <c r="K289" s="3"/>
    </row>
    <row r="290" spans="3:11" ht="15.75" customHeight="1" x14ac:dyDescent="0.2">
      <c r="C290" s="199">
        <v>42898</v>
      </c>
      <c r="D290" s="19">
        <v>0.60416666666666663</v>
      </c>
      <c r="E290" s="24">
        <v>5</v>
      </c>
      <c r="F290" s="24">
        <v>8.8000000000000007</v>
      </c>
      <c r="G290" s="7">
        <v>86.4</v>
      </c>
      <c r="H290" s="7">
        <v>14.5</v>
      </c>
      <c r="I290" s="3"/>
      <c r="J290" s="3"/>
      <c r="K290" s="3"/>
    </row>
    <row r="291" spans="3:11" ht="15.75" customHeight="1" x14ac:dyDescent="0.2">
      <c r="C291" s="199">
        <v>42898</v>
      </c>
      <c r="D291" s="19">
        <v>0.60416666666666663</v>
      </c>
      <c r="E291" s="24">
        <v>6</v>
      </c>
      <c r="F291" s="24">
        <v>8.8800000000000008</v>
      </c>
      <c r="G291" s="7">
        <v>86.4</v>
      </c>
      <c r="H291" s="7">
        <v>14.1</v>
      </c>
      <c r="I291" s="3"/>
      <c r="J291" s="3"/>
      <c r="K291" s="3"/>
    </row>
    <row r="292" spans="3:11" ht="15.75" customHeight="1" x14ac:dyDescent="0.2">
      <c r="C292" s="199">
        <v>42898</v>
      </c>
      <c r="D292" s="19">
        <v>0.60416666666666663</v>
      </c>
      <c r="E292" s="24">
        <v>7</v>
      </c>
      <c r="F292" s="24">
        <v>8.9600000000000009</v>
      </c>
      <c r="G292" s="7">
        <v>86.6</v>
      </c>
      <c r="H292" s="7">
        <v>13.8</v>
      </c>
      <c r="I292" s="3"/>
      <c r="J292" s="3"/>
      <c r="K292" s="3"/>
    </row>
    <row r="293" spans="3:11" ht="15.75" customHeight="1" x14ac:dyDescent="0.2">
      <c r="C293" s="199">
        <v>42898</v>
      </c>
      <c r="D293" s="19">
        <v>0.60416666666666663</v>
      </c>
      <c r="E293" s="24">
        <v>8</v>
      </c>
      <c r="F293" s="24">
        <v>8.98</v>
      </c>
      <c r="G293" s="7">
        <v>86.2</v>
      </c>
      <c r="H293" s="7">
        <v>13.6</v>
      </c>
      <c r="I293" s="3"/>
      <c r="J293" s="3"/>
      <c r="K293" s="3"/>
    </row>
    <row r="294" spans="3:11" ht="15.75" customHeight="1" x14ac:dyDescent="0.2">
      <c r="C294" s="199">
        <v>42898</v>
      </c>
      <c r="D294" s="19">
        <v>0.60416666666666663</v>
      </c>
      <c r="E294" s="24">
        <v>9</v>
      </c>
      <c r="F294" s="24">
        <v>8.99</v>
      </c>
      <c r="G294" s="7">
        <v>85.7</v>
      </c>
      <c r="H294" s="7">
        <v>13.3</v>
      </c>
      <c r="I294" s="3"/>
      <c r="J294" s="3"/>
      <c r="K294" s="3"/>
    </row>
    <row r="295" spans="3:11" ht="15.75" customHeight="1" x14ac:dyDescent="0.2">
      <c r="C295" s="199">
        <v>42898</v>
      </c>
      <c r="D295" s="19">
        <v>0.60416666666666663</v>
      </c>
      <c r="E295" s="24">
        <v>10</v>
      </c>
      <c r="F295" s="24">
        <v>8.9499999999999993</v>
      </c>
      <c r="G295" s="7">
        <v>84.3</v>
      </c>
      <c r="H295" s="7">
        <v>12.8</v>
      </c>
      <c r="I295" s="3"/>
      <c r="J295" s="3"/>
      <c r="K295" s="3"/>
    </row>
    <row r="296" spans="3:11" ht="15.75" customHeight="1" x14ac:dyDescent="0.2">
      <c r="C296" s="199">
        <v>42870</v>
      </c>
      <c r="D296" s="19">
        <v>0.57638888888888895</v>
      </c>
      <c r="E296" s="24"/>
      <c r="F296" s="24"/>
      <c r="G296" s="7"/>
      <c r="H296" s="7"/>
      <c r="I296" s="3"/>
      <c r="J296" s="3">
        <v>8.9</v>
      </c>
      <c r="K296" s="3">
        <v>10</v>
      </c>
    </row>
    <row r="297" spans="3:11" ht="15.75" customHeight="1" x14ac:dyDescent="0.2">
      <c r="C297" s="199">
        <v>42870</v>
      </c>
      <c r="D297" s="19">
        <v>0.57986111111111105</v>
      </c>
      <c r="E297" s="24">
        <v>0.1</v>
      </c>
      <c r="F297" s="24">
        <v>9.2100000000000009</v>
      </c>
      <c r="G297" s="7">
        <v>84.9</v>
      </c>
      <c r="H297" s="7">
        <v>11.7</v>
      </c>
      <c r="I297" s="3"/>
      <c r="J297" s="3"/>
      <c r="K297" s="3"/>
    </row>
    <row r="298" spans="3:11" ht="15.75" customHeight="1" x14ac:dyDescent="0.2">
      <c r="C298" s="199">
        <v>42870</v>
      </c>
      <c r="D298" s="19">
        <v>0.57986111111111105</v>
      </c>
      <c r="E298" s="24">
        <v>1</v>
      </c>
      <c r="F298" s="24">
        <v>9.3699999999999992</v>
      </c>
      <c r="G298" s="7">
        <v>84.7</v>
      </c>
      <c r="H298" s="7">
        <v>10.9</v>
      </c>
      <c r="I298" s="3"/>
      <c r="J298" s="3"/>
      <c r="K298" s="3"/>
    </row>
    <row r="299" spans="3:11" ht="15.75" customHeight="1" x14ac:dyDescent="0.2">
      <c r="C299" s="199">
        <v>42870</v>
      </c>
      <c r="D299" s="19">
        <v>0.57986111111111105</v>
      </c>
      <c r="E299" s="24">
        <v>2</v>
      </c>
      <c r="F299" s="24">
        <v>9.44</v>
      </c>
      <c r="G299" s="7">
        <v>84.6</v>
      </c>
      <c r="H299" s="7">
        <v>10.5</v>
      </c>
      <c r="I299" s="3"/>
      <c r="J299" s="3"/>
      <c r="K299" s="3"/>
    </row>
    <row r="300" spans="3:11" ht="15.75" customHeight="1" x14ac:dyDescent="0.2">
      <c r="C300" s="199">
        <v>42870</v>
      </c>
      <c r="D300" s="19">
        <v>0.57986111111111105</v>
      </c>
      <c r="E300" s="24">
        <v>3</v>
      </c>
      <c r="F300" s="24">
        <v>9.4499999999999993</v>
      </c>
      <c r="G300" s="7">
        <v>83</v>
      </c>
      <c r="H300" s="7">
        <v>9.6999999999999993</v>
      </c>
      <c r="I300" s="3"/>
      <c r="J300" s="3"/>
      <c r="K300" s="3"/>
    </row>
    <row r="301" spans="3:11" ht="15.75" customHeight="1" x14ac:dyDescent="0.2">
      <c r="C301" s="199">
        <v>42870</v>
      </c>
      <c r="D301" s="19">
        <v>0.57986111111111105</v>
      </c>
      <c r="E301" s="24">
        <v>4</v>
      </c>
      <c r="F301" s="24">
        <v>9.48</v>
      </c>
      <c r="G301" s="7">
        <v>82.8</v>
      </c>
      <c r="H301" s="7">
        <v>9.4</v>
      </c>
      <c r="I301" s="3"/>
      <c r="J301" s="3"/>
      <c r="K301" s="3"/>
    </row>
    <row r="302" spans="3:11" ht="15.75" customHeight="1" x14ac:dyDescent="0.2">
      <c r="C302" s="199">
        <v>42870</v>
      </c>
      <c r="D302" s="19">
        <v>0.57986111111111105</v>
      </c>
      <c r="E302" s="24">
        <v>5</v>
      </c>
      <c r="F302" s="24">
        <v>9.5</v>
      </c>
      <c r="G302" s="7">
        <v>82.2</v>
      </c>
      <c r="H302" s="7">
        <v>9.1</v>
      </c>
      <c r="I302" s="3"/>
      <c r="J302" s="3"/>
      <c r="K302" s="3"/>
    </row>
    <row r="303" spans="3:11" ht="15.75" customHeight="1" x14ac:dyDescent="0.2">
      <c r="C303" s="199">
        <v>42870</v>
      </c>
      <c r="D303" s="19">
        <v>0.57986111111111105</v>
      </c>
      <c r="E303" s="24">
        <v>6</v>
      </c>
      <c r="F303" s="24">
        <v>9.51</v>
      </c>
      <c r="G303" s="7">
        <v>82.1</v>
      </c>
      <c r="H303" s="7">
        <v>8.9</v>
      </c>
      <c r="I303" s="3"/>
      <c r="J303" s="3"/>
      <c r="K303" s="3"/>
    </row>
    <row r="304" spans="3:11" ht="15.75" customHeight="1" x14ac:dyDescent="0.2">
      <c r="C304" s="199">
        <v>42870</v>
      </c>
      <c r="D304" s="19">
        <v>0.57986111111111105</v>
      </c>
      <c r="E304" s="24">
        <v>7</v>
      </c>
      <c r="F304" s="24">
        <v>9.51</v>
      </c>
      <c r="G304" s="7">
        <v>81.7</v>
      </c>
      <c r="H304" s="7">
        <v>8.6999999999999993</v>
      </c>
      <c r="I304" s="3"/>
      <c r="J304" s="3"/>
      <c r="K304" s="3"/>
    </row>
    <row r="305" spans="3:11" ht="15.75" customHeight="1" x14ac:dyDescent="0.2">
      <c r="C305" s="199">
        <v>42870</v>
      </c>
      <c r="D305" s="19">
        <v>0.57986111111111105</v>
      </c>
      <c r="E305" s="24">
        <v>8</v>
      </c>
      <c r="F305" s="24">
        <v>9.51</v>
      </c>
      <c r="G305" s="7">
        <v>81.5</v>
      </c>
      <c r="H305" s="7">
        <v>8.6</v>
      </c>
      <c r="I305" s="3"/>
      <c r="J305" s="3"/>
      <c r="K305" s="3"/>
    </row>
    <row r="306" spans="3:11" ht="15.75" customHeight="1" x14ac:dyDescent="0.2">
      <c r="C306" s="199">
        <v>42870</v>
      </c>
      <c r="D306" s="19">
        <v>0.57986111111111105</v>
      </c>
      <c r="E306" s="24">
        <v>9</v>
      </c>
      <c r="F306" s="24">
        <v>9.49</v>
      </c>
      <c r="G306" s="7">
        <v>81.2</v>
      </c>
      <c r="H306" s="7">
        <v>8.6</v>
      </c>
      <c r="I306" s="3"/>
      <c r="J306" s="3"/>
      <c r="K306" s="3"/>
    </row>
    <row r="307" spans="3:11" ht="15.75" customHeight="1" x14ac:dyDescent="0.2">
      <c r="C307" s="199">
        <v>42870</v>
      </c>
      <c r="D307" s="19">
        <v>0.57986111111111105</v>
      </c>
      <c r="E307" s="24">
        <v>10</v>
      </c>
      <c r="F307" s="24">
        <v>9.4600000000000009</v>
      </c>
      <c r="G307" s="7">
        <v>80.8</v>
      </c>
      <c r="H307" s="7">
        <v>8.6</v>
      </c>
      <c r="I307" s="3"/>
      <c r="J307" s="3"/>
      <c r="K307" s="3"/>
    </row>
    <row r="308" spans="3:11" ht="15.75" customHeight="1" x14ac:dyDescent="0.2">
      <c r="C308" s="199">
        <v>42604</v>
      </c>
      <c r="D308" s="19">
        <v>0.54166666666666663</v>
      </c>
      <c r="E308" s="24"/>
      <c r="F308" s="24"/>
      <c r="G308" s="7"/>
      <c r="H308" s="7"/>
      <c r="I308" s="3"/>
      <c r="J308" s="7">
        <v>8</v>
      </c>
      <c r="K308" s="7">
        <v>11</v>
      </c>
    </row>
    <row r="309" spans="3:11" ht="15.75" customHeight="1" x14ac:dyDescent="0.2">
      <c r="C309" s="199">
        <v>42604</v>
      </c>
      <c r="D309" s="19">
        <v>0.54652777777777783</v>
      </c>
      <c r="E309" s="24">
        <v>0.1</v>
      </c>
      <c r="F309" s="24">
        <v>7.77</v>
      </c>
      <c r="G309" s="7">
        <v>86.7</v>
      </c>
      <c r="H309" s="7">
        <v>20.7</v>
      </c>
      <c r="I309" s="3"/>
      <c r="J309" s="7"/>
      <c r="K309" s="7"/>
    </row>
    <row r="310" spans="3:11" ht="15.75" customHeight="1" x14ac:dyDescent="0.2">
      <c r="C310" s="199">
        <v>42604</v>
      </c>
      <c r="D310" s="19">
        <v>0.54652777777777783</v>
      </c>
      <c r="E310" s="24">
        <v>1</v>
      </c>
      <c r="F310" s="24">
        <v>7.79</v>
      </c>
      <c r="G310" s="7">
        <v>86.8</v>
      </c>
      <c r="H310" s="7">
        <v>20.7</v>
      </c>
      <c r="I310" s="3"/>
      <c r="J310" s="7"/>
      <c r="K310" s="7"/>
    </row>
    <row r="311" spans="3:11" ht="15.75" customHeight="1" x14ac:dyDescent="0.2">
      <c r="C311" s="199">
        <v>42604</v>
      </c>
      <c r="D311" s="19">
        <v>0.54652777777777783</v>
      </c>
      <c r="E311" s="24">
        <v>2</v>
      </c>
      <c r="F311" s="24">
        <v>7.82</v>
      </c>
      <c r="G311" s="7">
        <v>87</v>
      </c>
      <c r="H311" s="7">
        <v>20.6</v>
      </c>
      <c r="I311" s="3"/>
      <c r="J311" s="7"/>
      <c r="K311" s="7"/>
    </row>
    <row r="312" spans="3:11" ht="15.75" customHeight="1" x14ac:dyDescent="0.2">
      <c r="C312" s="199">
        <v>42604</v>
      </c>
      <c r="D312" s="19">
        <v>0.54652777777777783</v>
      </c>
      <c r="E312" s="24">
        <v>3</v>
      </c>
      <c r="F312" s="24">
        <v>7.84</v>
      </c>
      <c r="G312" s="7">
        <v>87</v>
      </c>
      <c r="H312" s="7">
        <v>20.5</v>
      </c>
      <c r="I312" s="3"/>
      <c r="J312" s="7"/>
      <c r="K312" s="7"/>
    </row>
    <row r="313" spans="3:11" ht="15.75" customHeight="1" x14ac:dyDescent="0.2">
      <c r="C313" s="199">
        <v>42604</v>
      </c>
      <c r="D313" s="19">
        <v>0.54652777777777783</v>
      </c>
      <c r="E313" s="24">
        <v>4</v>
      </c>
      <c r="F313" s="24">
        <v>7.84</v>
      </c>
      <c r="G313" s="7">
        <v>87.1</v>
      </c>
      <c r="H313" s="7">
        <v>20.5</v>
      </c>
      <c r="I313" s="3"/>
      <c r="J313" s="7"/>
      <c r="K313" s="7"/>
    </row>
    <row r="314" spans="3:11" ht="15.75" customHeight="1" x14ac:dyDescent="0.2">
      <c r="C314" s="199">
        <v>42604</v>
      </c>
      <c r="D314" s="19">
        <v>0.54652777777777783</v>
      </c>
      <c r="E314" s="24">
        <v>5</v>
      </c>
      <c r="F314" s="24">
        <v>7.82</v>
      </c>
      <c r="G314" s="7">
        <v>86.7</v>
      </c>
      <c r="H314" s="7">
        <v>20.5</v>
      </c>
      <c r="I314" s="3"/>
      <c r="J314" s="7"/>
      <c r="K314" s="7"/>
    </row>
    <row r="315" spans="3:11" ht="15.75" customHeight="1" x14ac:dyDescent="0.2">
      <c r="C315" s="199">
        <v>42604</v>
      </c>
      <c r="D315" s="19">
        <v>0.54652777777777783</v>
      </c>
      <c r="E315" s="24">
        <v>6</v>
      </c>
      <c r="F315" s="24">
        <v>8.01</v>
      </c>
      <c r="G315" s="7">
        <v>87.9</v>
      </c>
      <c r="H315" s="7">
        <v>20</v>
      </c>
      <c r="I315" s="3"/>
      <c r="J315" s="7"/>
      <c r="K315" s="7"/>
    </row>
    <row r="316" spans="3:11" ht="15.75" customHeight="1" x14ac:dyDescent="0.2">
      <c r="C316" s="199">
        <v>42604</v>
      </c>
      <c r="D316" s="19">
        <v>0.54652777777777783</v>
      </c>
      <c r="E316" s="24">
        <v>7</v>
      </c>
      <c r="F316" s="24">
        <v>8.1199999999999992</v>
      </c>
      <c r="G316" s="7">
        <v>88.4</v>
      </c>
      <c r="H316" s="7">
        <v>19.5</v>
      </c>
      <c r="I316" s="3"/>
      <c r="J316" s="7"/>
      <c r="K316" s="7"/>
    </row>
    <row r="317" spans="3:11" ht="15.75" customHeight="1" x14ac:dyDescent="0.2">
      <c r="C317" s="199">
        <v>42604</v>
      </c>
      <c r="D317" s="19">
        <v>0.54652777777777783</v>
      </c>
      <c r="E317" s="24">
        <v>8</v>
      </c>
      <c r="F317" s="24">
        <v>8.23</v>
      </c>
      <c r="G317" s="7">
        <v>88.9</v>
      </c>
      <c r="H317" s="7">
        <v>19.2</v>
      </c>
      <c r="I317" s="3"/>
      <c r="J317" s="7"/>
      <c r="K317" s="7"/>
    </row>
    <row r="318" spans="3:11" ht="15.75" customHeight="1" x14ac:dyDescent="0.2">
      <c r="C318" s="199">
        <v>42604</v>
      </c>
      <c r="D318" s="19">
        <v>0.54652777777777783</v>
      </c>
      <c r="E318" s="24">
        <v>9</v>
      </c>
      <c r="F318" s="24">
        <v>8.26</v>
      </c>
      <c r="G318" s="7">
        <v>88.9</v>
      </c>
      <c r="H318" s="7">
        <v>18.899999999999999</v>
      </c>
      <c r="I318" s="3"/>
      <c r="J318" s="7"/>
      <c r="K318" s="7"/>
    </row>
    <row r="319" spans="3:11" ht="15.75" customHeight="1" x14ac:dyDescent="0.2">
      <c r="C319" s="199">
        <v>42604</v>
      </c>
      <c r="D319" s="19">
        <v>0.54652777777777783</v>
      </c>
      <c r="E319" s="24">
        <v>10</v>
      </c>
      <c r="F319" s="24">
        <v>8.3800000000000008</v>
      </c>
      <c r="G319" s="7">
        <v>89.3</v>
      </c>
      <c r="H319" s="7">
        <v>18.399999999999999</v>
      </c>
      <c r="I319" s="3"/>
      <c r="J319" s="7"/>
      <c r="K319" s="7"/>
    </row>
    <row r="320" spans="3:11" ht="15.75" customHeight="1" x14ac:dyDescent="0.2">
      <c r="C320" s="199">
        <v>42214</v>
      </c>
      <c r="D320" s="19">
        <v>0.51041666666666663</v>
      </c>
      <c r="E320" s="24"/>
      <c r="F320" s="24"/>
      <c r="G320" s="7"/>
      <c r="H320" s="7"/>
      <c r="I320" s="3"/>
      <c r="J320" s="7">
        <v>8</v>
      </c>
      <c r="K320" s="7">
        <v>10</v>
      </c>
    </row>
    <row r="321" spans="3:11" ht="15.75" customHeight="1" x14ac:dyDescent="0.2">
      <c r="C321" s="199">
        <v>42214</v>
      </c>
      <c r="D321" s="19">
        <v>0.51041666666666663</v>
      </c>
      <c r="E321" s="24">
        <v>0.1</v>
      </c>
      <c r="F321" s="24">
        <v>7.45</v>
      </c>
      <c r="G321" s="7">
        <v>84.5</v>
      </c>
      <c r="H321" s="7">
        <v>22.1</v>
      </c>
      <c r="I321" s="3"/>
      <c r="J321" s="7"/>
      <c r="K321" s="7"/>
    </row>
    <row r="322" spans="3:11" ht="15.75" customHeight="1" x14ac:dyDescent="0.2">
      <c r="C322" s="199">
        <v>42214</v>
      </c>
      <c r="D322" s="19">
        <v>0.51041666666666663</v>
      </c>
      <c r="E322" s="24">
        <v>1</v>
      </c>
      <c r="F322" s="24">
        <v>7.47</v>
      </c>
      <c r="G322" s="7">
        <v>84.4</v>
      </c>
      <c r="H322" s="7">
        <v>21.4</v>
      </c>
      <c r="I322" s="3"/>
      <c r="J322" s="7"/>
      <c r="K322" s="7"/>
    </row>
    <row r="323" spans="3:11" ht="15.75" customHeight="1" x14ac:dyDescent="0.2">
      <c r="C323" s="199">
        <v>42214</v>
      </c>
      <c r="D323" s="19">
        <v>0.51041666666666663</v>
      </c>
      <c r="E323" s="24">
        <v>2</v>
      </c>
      <c r="F323" s="24">
        <v>7.46</v>
      </c>
      <c r="G323" s="7">
        <v>84</v>
      </c>
      <c r="H323" s="7">
        <v>21.3</v>
      </c>
      <c r="I323" s="3"/>
      <c r="J323" s="7"/>
      <c r="K323" s="7"/>
    </row>
    <row r="324" spans="3:11" ht="15.75" customHeight="1" x14ac:dyDescent="0.2">
      <c r="C324" s="199">
        <v>42214</v>
      </c>
      <c r="D324" s="19">
        <v>0.51041666666666663</v>
      </c>
      <c r="E324" s="24">
        <v>3</v>
      </c>
      <c r="F324" s="24">
        <v>7.47</v>
      </c>
      <c r="G324" s="7">
        <v>83.4</v>
      </c>
      <c r="H324" s="7">
        <v>21.1</v>
      </c>
      <c r="I324" s="3"/>
      <c r="J324" s="7"/>
      <c r="K324" s="7"/>
    </row>
    <row r="325" spans="3:11" ht="15.75" customHeight="1" x14ac:dyDescent="0.2">
      <c r="C325" s="199">
        <v>42214</v>
      </c>
      <c r="D325" s="19">
        <v>0.51041666666666663</v>
      </c>
      <c r="E325" s="24">
        <v>4</v>
      </c>
      <c r="F325" s="24">
        <v>7.46</v>
      </c>
      <c r="G325" s="7">
        <v>83.3</v>
      </c>
      <c r="H325" s="7">
        <v>20.8</v>
      </c>
      <c r="I325" s="3"/>
      <c r="J325" s="7"/>
      <c r="K325" s="7"/>
    </row>
    <row r="326" spans="3:11" ht="15.75" customHeight="1" x14ac:dyDescent="0.2">
      <c r="C326" s="199">
        <v>42214</v>
      </c>
      <c r="D326" s="19">
        <v>0.51041666666666663</v>
      </c>
      <c r="E326" s="24">
        <v>5</v>
      </c>
      <c r="F326" s="24">
        <v>7.43</v>
      </c>
      <c r="G326" s="7">
        <v>82.8</v>
      </c>
      <c r="H326" s="7">
        <v>20.7</v>
      </c>
      <c r="I326" s="3"/>
      <c r="J326" s="7"/>
      <c r="K326" s="7"/>
    </row>
    <row r="327" spans="3:11" ht="15.75" customHeight="1" x14ac:dyDescent="0.2">
      <c r="C327" s="199">
        <v>42214</v>
      </c>
      <c r="D327" s="19">
        <v>0.51041666666666663</v>
      </c>
      <c r="E327" s="24">
        <v>6</v>
      </c>
      <c r="F327" s="24">
        <v>7.43</v>
      </c>
      <c r="G327" s="7">
        <v>83</v>
      </c>
      <c r="H327" s="7">
        <v>20.7</v>
      </c>
      <c r="I327" s="3"/>
      <c r="J327" s="7"/>
      <c r="K327" s="7"/>
    </row>
    <row r="328" spans="3:11" ht="15.75" customHeight="1" x14ac:dyDescent="0.2">
      <c r="C328" s="199">
        <v>42214</v>
      </c>
      <c r="D328" s="19">
        <v>0.51041666666666663</v>
      </c>
      <c r="E328" s="24">
        <v>7</v>
      </c>
      <c r="F328" s="24">
        <v>7.44</v>
      </c>
      <c r="G328" s="7">
        <v>82.8</v>
      </c>
      <c r="H328" s="7">
        <v>20.6</v>
      </c>
      <c r="I328" s="3"/>
      <c r="J328" s="7"/>
      <c r="K328" s="7"/>
    </row>
    <row r="329" spans="3:11" ht="15.75" customHeight="1" x14ac:dyDescent="0.2">
      <c r="C329" s="199">
        <v>42214</v>
      </c>
      <c r="D329" s="19">
        <v>0.51041666666666663</v>
      </c>
      <c r="E329" s="24">
        <v>8</v>
      </c>
      <c r="F329" s="24">
        <v>7.44</v>
      </c>
      <c r="G329" s="7">
        <v>82.6</v>
      </c>
      <c r="H329" s="7">
        <v>20.6</v>
      </c>
      <c r="I329" s="3"/>
      <c r="J329" s="7"/>
      <c r="K329" s="7"/>
    </row>
    <row r="330" spans="3:11" ht="15.75" customHeight="1" x14ac:dyDescent="0.2">
      <c r="C330" s="199">
        <v>42214</v>
      </c>
      <c r="D330" s="19">
        <v>0.51041666666666663</v>
      </c>
      <c r="E330" s="24">
        <v>9</v>
      </c>
      <c r="F330" s="24">
        <v>7.44</v>
      </c>
      <c r="G330" s="7">
        <v>82.8</v>
      </c>
      <c r="H330" s="7">
        <v>20.6</v>
      </c>
      <c r="I330" s="3"/>
      <c r="J330" s="7"/>
      <c r="K330" s="7"/>
    </row>
    <row r="331" spans="3:11" ht="15.75" customHeight="1" x14ac:dyDescent="0.2">
      <c r="C331" s="199">
        <v>42214</v>
      </c>
      <c r="D331" s="19">
        <v>0.51041666666666663</v>
      </c>
      <c r="E331" s="24">
        <v>10</v>
      </c>
      <c r="F331" s="24">
        <v>7.71</v>
      </c>
      <c r="G331" s="7">
        <v>86.5</v>
      </c>
      <c r="H331" s="7">
        <v>20.399999999999999</v>
      </c>
      <c r="I331" s="3"/>
      <c r="J331" s="7"/>
      <c r="K331" s="7"/>
    </row>
    <row r="332" spans="3:11" ht="15.75" customHeight="1" x14ac:dyDescent="0.2">
      <c r="C332" s="199">
        <v>41897</v>
      </c>
      <c r="D332" s="19">
        <v>0.54166666666666663</v>
      </c>
      <c r="E332" s="24"/>
      <c r="F332" s="24"/>
      <c r="G332" s="7"/>
      <c r="H332" s="7"/>
      <c r="I332" s="3"/>
      <c r="J332" s="7">
        <v>11.1</v>
      </c>
      <c r="K332" s="7">
        <v>11.1</v>
      </c>
    </row>
    <row r="333" spans="3:11" ht="15.75" customHeight="1" x14ac:dyDescent="0.2">
      <c r="C333" s="199">
        <v>41897</v>
      </c>
      <c r="D333" s="19">
        <v>0.54166666666666663</v>
      </c>
      <c r="E333" s="24">
        <v>0.1</v>
      </c>
      <c r="F333" s="24">
        <v>7.95</v>
      </c>
      <c r="G333" s="7">
        <v>85.9</v>
      </c>
      <c r="H333" s="7">
        <v>19.100000000000001</v>
      </c>
      <c r="I333" s="3"/>
      <c r="J333" s="7"/>
      <c r="K333" s="7"/>
    </row>
    <row r="334" spans="3:11" ht="15.75" customHeight="1" x14ac:dyDescent="0.2">
      <c r="C334" s="199">
        <v>41897</v>
      </c>
      <c r="D334" s="19">
        <v>0.54166666666666663</v>
      </c>
      <c r="E334" s="24">
        <v>1</v>
      </c>
      <c r="F334" s="24">
        <v>8.07</v>
      </c>
      <c r="G334" s="7">
        <v>85.8</v>
      </c>
      <c r="H334" s="7">
        <v>18.3</v>
      </c>
      <c r="I334" s="3"/>
      <c r="J334" s="7"/>
      <c r="K334" s="7"/>
    </row>
    <row r="335" spans="3:11" ht="15.75" customHeight="1" x14ac:dyDescent="0.2">
      <c r="C335" s="199">
        <v>41897</v>
      </c>
      <c r="D335" s="19">
        <v>0.54166666666666663</v>
      </c>
      <c r="E335" s="24">
        <v>2</v>
      </c>
      <c r="F335" s="24">
        <v>8.06</v>
      </c>
      <c r="G335" s="7">
        <v>84.9</v>
      </c>
      <c r="H335" s="7">
        <v>17.899999999999999</v>
      </c>
      <c r="I335" s="3"/>
      <c r="J335" s="7"/>
      <c r="K335" s="7"/>
    </row>
    <row r="336" spans="3:11" ht="15.75" customHeight="1" x14ac:dyDescent="0.2">
      <c r="C336" s="199">
        <v>41897</v>
      </c>
      <c r="D336" s="19">
        <v>0.54166666666666663</v>
      </c>
      <c r="E336" s="24">
        <v>3</v>
      </c>
      <c r="F336" s="24">
        <v>8.11</v>
      </c>
      <c r="G336" s="7">
        <v>85.1</v>
      </c>
      <c r="H336" s="7">
        <v>17.7</v>
      </c>
      <c r="I336" s="3"/>
      <c r="J336" s="7"/>
      <c r="K336" s="7"/>
    </row>
    <row r="337" spans="3:11" ht="15.75" customHeight="1" x14ac:dyDescent="0.2">
      <c r="C337" s="199">
        <v>41897</v>
      </c>
      <c r="D337" s="19">
        <v>0.54166666666666663</v>
      </c>
      <c r="E337" s="24">
        <v>4</v>
      </c>
      <c r="F337" s="24">
        <v>8.11</v>
      </c>
      <c r="G337" s="7">
        <v>85</v>
      </c>
      <c r="H337" s="7">
        <v>17.600000000000001</v>
      </c>
      <c r="I337" s="3"/>
      <c r="J337" s="7"/>
      <c r="K337" s="7"/>
    </row>
    <row r="338" spans="3:11" ht="15.75" customHeight="1" x14ac:dyDescent="0.2">
      <c r="C338" s="199">
        <v>41897</v>
      </c>
      <c r="D338" s="19">
        <v>0.54166666666666663</v>
      </c>
      <c r="E338" s="24">
        <v>5</v>
      </c>
      <c r="F338" s="24">
        <v>8.11</v>
      </c>
      <c r="G338" s="7">
        <v>84.7</v>
      </c>
      <c r="H338" s="7">
        <v>17.5</v>
      </c>
      <c r="I338" s="3"/>
      <c r="J338" s="7"/>
      <c r="K338" s="7"/>
    </row>
    <row r="339" spans="3:11" ht="15.75" customHeight="1" x14ac:dyDescent="0.2">
      <c r="C339" s="199">
        <v>41897</v>
      </c>
      <c r="D339" s="19">
        <v>0.54166666666666663</v>
      </c>
      <c r="E339" s="24">
        <v>6</v>
      </c>
      <c r="F339" s="24">
        <v>8.09</v>
      </c>
      <c r="G339" s="7">
        <v>84.6</v>
      </c>
      <c r="H339" s="7">
        <v>17.5</v>
      </c>
      <c r="I339" s="3"/>
      <c r="J339" s="7"/>
      <c r="K339" s="7"/>
    </row>
    <row r="340" spans="3:11" ht="15.75" customHeight="1" x14ac:dyDescent="0.2">
      <c r="C340" s="199">
        <v>41897</v>
      </c>
      <c r="D340" s="19">
        <v>0.54166666666666663</v>
      </c>
      <c r="E340" s="24">
        <v>7</v>
      </c>
      <c r="F340" s="24">
        <v>8.08</v>
      </c>
      <c r="G340" s="7">
        <v>84.3</v>
      </c>
      <c r="H340" s="7">
        <v>17.399999999999999</v>
      </c>
      <c r="I340" s="3"/>
      <c r="J340" s="7"/>
      <c r="K340" s="7"/>
    </row>
    <row r="341" spans="3:11" ht="15.75" customHeight="1" x14ac:dyDescent="0.2">
      <c r="C341" s="199">
        <v>41897</v>
      </c>
      <c r="D341" s="19">
        <v>0.54166666666666663</v>
      </c>
      <c r="E341" s="24">
        <v>8</v>
      </c>
      <c r="F341" s="24">
        <v>8.0399999999999991</v>
      </c>
      <c r="G341" s="7">
        <v>83.7</v>
      </c>
      <c r="H341" s="7">
        <v>17.3</v>
      </c>
      <c r="I341" s="3"/>
      <c r="J341" s="7"/>
      <c r="K341" s="7"/>
    </row>
    <row r="342" spans="3:11" ht="15.75" customHeight="1" x14ac:dyDescent="0.2">
      <c r="C342" s="199">
        <v>41897</v>
      </c>
      <c r="D342" s="19">
        <v>0.54166666666666663</v>
      </c>
      <c r="E342" s="24">
        <v>9</v>
      </c>
      <c r="F342" s="24">
        <v>8.0500000000000007</v>
      </c>
      <c r="G342" s="7">
        <v>83.6</v>
      </c>
      <c r="H342" s="7">
        <v>17.2</v>
      </c>
      <c r="I342" s="3"/>
      <c r="J342" s="7"/>
      <c r="K342" s="7"/>
    </row>
    <row r="343" spans="3:11" ht="15.75" customHeight="1" x14ac:dyDescent="0.2">
      <c r="C343" s="199">
        <v>41841</v>
      </c>
      <c r="D343" s="19">
        <v>0.60069444444444442</v>
      </c>
      <c r="E343" s="24"/>
      <c r="F343" s="24"/>
      <c r="G343" s="7"/>
      <c r="H343" s="7"/>
      <c r="I343" s="7"/>
      <c r="J343" s="7">
        <v>7</v>
      </c>
      <c r="K343" s="7">
        <v>9</v>
      </c>
    </row>
    <row r="344" spans="3:11" ht="15.75" customHeight="1" x14ac:dyDescent="0.2">
      <c r="C344" s="199">
        <v>41841</v>
      </c>
      <c r="D344" s="19">
        <v>0.60069444444444442</v>
      </c>
      <c r="E344" s="24">
        <v>0.1</v>
      </c>
      <c r="F344" s="24">
        <v>7.57</v>
      </c>
      <c r="G344" s="7">
        <v>86.8</v>
      </c>
      <c r="H344" s="7">
        <v>22.1</v>
      </c>
      <c r="I344" s="7"/>
      <c r="J344" s="7"/>
      <c r="K344" s="7"/>
    </row>
    <row r="345" spans="3:11" ht="15.75" customHeight="1" x14ac:dyDescent="0.2">
      <c r="C345" s="199">
        <v>41841</v>
      </c>
      <c r="D345" s="19">
        <v>0.60069444444444442</v>
      </c>
      <c r="E345" s="24">
        <v>1</v>
      </c>
      <c r="F345" s="24">
        <v>7.58</v>
      </c>
      <c r="G345" s="7">
        <v>86.8</v>
      </c>
      <c r="H345" s="7">
        <v>22.1</v>
      </c>
      <c r="I345" s="7"/>
      <c r="J345" s="7"/>
      <c r="K345" s="7"/>
    </row>
    <row r="346" spans="3:11" ht="15.75" customHeight="1" x14ac:dyDescent="0.2">
      <c r="C346" s="199">
        <v>41841</v>
      </c>
      <c r="D346" s="19">
        <v>0.60069444444444442</v>
      </c>
      <c r="E346" s="24">
        <v>2</v>
      </c>
      <c r="F346" s="24">
        <v>7.57</v>
      </c>
      <c r="G346" s="7">
        <v>86.8</v>
      </c>
      <c r="H346" s="7">
        <v>22.1</v>
      </c>
      <c r="I346" s="7"/>
      <c r="J346" s="7"/>
      <c r="K346" s="7"/>
    </row>
    <row r="347" spans="3:11" ht="15.75" customHeight="1" x14ac:dyDescent="0.2">
      <c r="C347" s="199">
        <v>41841</v>
      </c>
      <c r="D347" s="19">
        <v>0.60069444444444442</v>
      </c>
      <c r="E347" s="24">
        <v>3</v>
      </c>
      <c r="F347" s="24">
        <v>7.56</v>
      </c>
      <c r="G347" s="7">
        <v>86.7</v>
      </c>
      <c r="H347" s="7">
        <v>22.1</v>
      </c>
      <c r="I347" s="7"/>
      <c r="J347" s="7"/>
      <c r="K347" s="7"/>
    </row>
    <row r="348" spans="3:11" ht="15.75" customHeight="1" x14ac:dyDescent="0.2">
      <c r="C348" s="199">
        <v>41841</v>
      </c>
      <c r="D348" s="19">
        <v>0.60069444444444442</v>
      </c>
      <c r="E348" s="24">
        <v>4</v>
      </c>
      <c r="F348" s="24">
        <v>7.55</v>
      </c>
      <c r="G348" s="7">
        <v>86.5</v>
      </c>
      <c r="H348" s="7">
        <v>22.1</v>
      </c>
      <c r="I348" s="7"/>
      <c r="J348" s="7"/>
      <c r="K348" s="7"/>
    </row>
    <row r="349" spans="3:11" ht="15.75" customHeight="1" x14ac:dyDescent="0.2">
      <c r="C349" s="199">
        <v>41841</v>
      </c>
      <c r="D349" s="19">
        <v>0.60069444444444442</v>
      </c>
      <c r="E349" s="24">
        <v>5</v>
      </c>
      <c r="F349" s="24">
        <v>7.54</v>
      </c>
      <c r="G349" s="7">
        <v>86.4</v>
      </c>
      <c r="H349" s="7">
        <v>22.1</v>
      </c>
      <c r="I349" s="7"/>
      <c r="J349" s="7"/>
      <c r="K349" s="7"/>
    </row>
    <row r="350" spans="3:11" ht="15.75" customHeight="1" x14ac:dyDescent="0.2">
      <c r="C350" s="199">
        <v>41841</v>
      </c>
      <c r="D350" s="19">
        <v>0.60069444444444442</v>
      </c>
      <c r="E350" s="24">
        <v>6</v>
      </c>
      <c r="F350" s="24">
        <v>7.58</v>
      </c>
      <c r="G350" s="7">
        <v>86.7</v>
      </c>
      <c r="H350" s="7">
        <v>22</v>
      </c>
      <c r="I350" s="7"/>
      <c r="J350" s="7"/>
      <c r="K350" s="7"/>
    </row>
    <row r="351" spans="3:11" ht="15.75" customHeight="1" x14ac:dyDescent="0.2">
      <c r="C351" s="199">
        <v>41841</v>
      </c>
      <c r="D351" s="19">
        <v>0.60069444444444442</v>
      </c>
      <c r="E351" s="24">
        <v>7</v>
      </c>
      <c r="F351" s="24">
        <v>8.08</v>
      </c>
      <c r="G351" s="7">
        <v>87.9</v>
      </c>
      <c r="H351" s="7">
        <v>19.100000000000001</v>
      </c>
      <c r="I351" s="7"/>
      <c r="J351" s="7"/>
      <c r="K351" s="7"/>
    </row>
    <row r="352" spans="3:11" ht="15.75" customHeight="1" x14ac:dyDescent="0.2">
      <c r="C352" s="199">
        <v>41841</v>
      </c>
      <c r="D352" s="19">
        <v>0.60069444444444442</v>
      </c>
      <c r="E352" s="24">
        <v>8</v>
      </c>
      <c r="F352" s="24">
        <v>8.89</v>
      </c>
      <c r="G352" s="7">
        <v>87.2</v>
      </c>
      <c r="H352" s="7">
        <v>14.5</v>
      </c>
      <c r="I352" s="7"/>
      <c r="J352" s="7"/>
      <c r="K352" s="7"/>
    </row>
    <row r="353" spans="3:11" ht="15.75" customHeight="1" x14ac:dyDescent="0.2">
      <c r="C353" s="199">
        <v>41841</v>
      </c>
      <c r="D353" s="19">
        <v>0.60069444444444442</v>
      </c>
      <c r="E353" s="24">
        <v>9</v>
      </c>
      <c r="F353" s="24">
        <v>9.3000000000000007</v>
      </c>
      <c r="G353" s="7">
        <v>87.6</v>
      </c>
      <c r="H353" s="7">
        <v>12.6</v>
      </c>
      <c r="I353" s="7"/>
      <c r="J353" s="7"/>
      <c r="K353" s="7"/>
    </row>
    <row r="354" spans="3:11" ht="15.75" customHeight="1" x14ac:dyDescent="0.2">
      <c r="C354" s="199">
        <v>41841</v>
      </c>
      <c r="D354" s="19">
        <v>0.60069444444444442</v>
      </c>
      <c r="E354" s="24">
        <v>10</v>
      </c>
      <c r="F354" s="24">
        <v>7.4</v>
      </c>
      <c r="G354" s="7">
        <v>61</v>
      </c>
      <c r="H354" s="7">
        <v>11.1</v>
      </c>
      <c r="I354" s="7"/>
      <c r="J354" s="7"/>
      <c r="K354" s="7"/>
    </row>
    <row r="355" spans="3:11" ht="15.75" customHeight="1" x14ac:dyDescent="0.2">
      <c r="C355" s="199">
        <v>41506</v>
      </c>
      <c r="D355" s="19">
        <v>0.625</v>
      </c>
      <c r="E355" s="24"/>
      <c r="F355" s="24"/>
      <c r="G355" s="7"/>
      <c r="H355" s="7"/>
      <c r="I355" s="3"/>
      <c r="J355" s="7">
        <v>10</v>
      </c>
      <c r="K355" s="7">
        <v>10.5</v>
      </c>
    </row>
    <row r="356" spans="3:11" ht="15.75" customHeight="1" x14ac:dyDescent="0.2">
      <c r="C356" s="199">
        <v>41506</v>
      </c>
      <c r="D356" s="19">
        <v>0.625</v>
      </c>
      <c r="E356" s="24">
        <v>0.1</v>
      </c>
      <c r="F356" s="24">
        <v>7.11</v>
      </c>
      <c r="G356" s="7">
        <v>83.5</v>
      </c>
      <c r="H356" s="7">
        <v>23.4</v>
      </c>
      <c r="I356" s="3"/>
      <c r="J356" s="7"/>
      <c r="K356" s="7"/>
    </row>
    <row r="357" spans="3:11" ht="15.75" customHeight="1" x14ac:dyDescent="0.2">
      <c r="C357" s="199">
        <v>41506</v>
      </c>
      <c r="D357" s="19">
        <v>0.625</v>
      </c>
      <c r="E357" s="24">
        <v>1</v>
      </c>
      <c r="F357" s="24">
        <v>7.15</v>
      </c>
      <c r="G357" s="7">
        <v>83.8</v>
      </c>
      <c r="H357" s="7">
        <v>23.3</v>
      </c>
      <c r="I357" s="3"/>
      <c r="J357" s="7"/>
      <c r="K357" s="7"/>
    </row>
    <row r="358" spans="3:11" ht="15.75" customHeight="1" x14ac:dyDescent="0.2">
      <c r="C358" s="199">
        <v>41506</v>
      </c>
      <c r="D358" s="19">
        <v>0.625</v>
      </c>
      <c r="E358" s="24">
        <v>2</v>
      </c>
      <c r="F358" s="24">
        <v>7.16</v>
      </c>
      <c r="G358" s="7">
        <v>83.7</v>
      </c>
      <c r="H358" s="7">
        <v>23.2</v>
      </c>
      <c r="I358" s="3"/>
      <c r="J358" s="7"/>
      <c r="K358" s="7"/>
    </row>
    <row r="359" spans="3:11" ht="15.75" customHeight="1" x14ac:dyDescent="0.2">
      <c r="C359" s="199">
        <v>41506</v>
      </c>
      <c r="D359" s="19">
        <v>0.625</v>
      </c>
      <c r="E359" s="24">
        <v>3</v>
      </c>
      <c r="F359" s="24">
        <v>7.19</v>
      </c>
      <c r="G359" s="7">
        <v>83.6</v>
      </c>
      <c r="H359" s="7">
        <v>23</v>
      </c>
      <c r="I359" s="3"/>
      <c r="J359" s="7"/>
      <c r="K359" s="7"/>
    </row>
    <row r="360" spans="3:11" ht="15.75" customHeight="1" x14ac:dyDescent="0.2">
      <c r="C360" s="199">
        <v>41506</v>
      </c>
      <c r="D360" s="19">
        <v>0.625</v>
      </c>
      <c r="E360" s="24">
        <v>4</v>
      </c>
      <c r="F360" s="24">
        <v>7.19</v>
      </c>
      <c r="G360" s="7">
        <v>83.5</v>
      </c>
      <c r="H360" s="7">
        <v>22.8</v>
      </c>
      <c r="I360" s="3"/>
      <c r="J360" s="7"/>
      <c r="K360" s="7"/>
    </row>
    <row r="361" spans="3:11" ht="15.75" customHeight="1" x14ac:dyDescent="0.2">
      <c r="C361" s="199">
        <v>41506</v>
      </c>
      <c r="D361" s="19">
        <v>0.625</v>
      </c>
      <c r="E361" s="24">
        <v>5</v>
      </c>
      <c r="F361" s="24">
        <v>7.2</v>
      </c>
      <c r="G361" s="7">
        <v>83.5</v>
      </c>
      <c r="H361" s="7">
        <v>22.7</v>
      </c>
      <c r="I361" s="3"/>
      <c r="J361" s="7"/>
      <c r="K361" s="7"/>
    </row>
    <row r="362" spans="3:11" ht="15.75" customHeight="1" x14ac:dyDescent="0.2">
      <c r="C362" s="199">
        <v>41506</v>
      </c>
      <c r="D362" s="19">
        <v>0.625</v>
      </c>
      <c r="E362" s="24">
        <v>6</v>
      </c>
      <c r="F362" s="24">
        <v>7.22</v>
      </c>
      <c r="G362" s="7">
        <v>83.5</v>
      </c>
      <c r="H362" s="7">
        <v>22.6</v>
      </c>
      <c r="I362" s="3"/>
      <c r="J362" s="7"/>
      <c r="K362" s="7"/>
    </row>
    <row r="363" spans="3:11" ht="15.75" customHeight="1" x14ac:dyDescent="0.2">
      <c r="C363" s="199">
        <v>41506</v>
      </c>
      <c r="D363" s="19">
        <v>0.625</v>
      </c>
      <c r="E363" s="24">
        <v>7</v>
      </c>
      <c r="F363" s="24">
        <v>7.25</v>
      </c>
      <c r="G363" s="7">
        <v>83.6</v>
      </c>
      <c r="H363" s="7">
        <v>22.5</v>
      </c>
      <c r="I363" s="3"/>
      <c r="J363" s="7"/>
      <c r="K363" s="7"/>
    </row>
    <row r="364" spans="3:11" ht="15.75" customHeight="1" x14ac:dyDescent="0.2">
      <c r="C364" s="199">
        <v>41506</v>
      </c>
      <c r="D364" s="19">
        <v>0.625</v>
      </c>
      <c r="E364" s="24">
        <v>8</v>
      </c>
      <c r="F364" s="24">
        <v>7.37</v>
      </c>
      <c r="G364" s="7">
        <v>83.7</v>
      </c>
      <c r="H364" s="7">
        <v>22.2</v>
      </c>
      <c r="I364" s="3"/>
      <c r="J364" s="7"/>
      <c r="K364" s="7"/>
    </row>
    <row r="365" spans="3:11" ht="15.75" customHeight="1" x14ac:dyDescent="0.2">
      <c r="C365" s="199">
        <v>41506</v>
      </c>
      <c r="D365" s="19">
        <v>0.625</v>
      </c>
      <c r="E365" s="24">
        <v>9</v>
      </c>
      <c r="F365" s="24">
        <v>8.14</v>
      </c>
      <c r="G365" s="7">
        <v>88</v>
      </c>
      <c r="H365" s="7">
        <v>19.5</v>
      </c>
      <c r="I365" s="3"/>
      <c r="J365" s="7"/>
      <c r="K365" s="7"/>
    </row>
    <row r="366" spans="3:11" ht="15.75" customHeight="1" x14ac:dyDescent="0.2">
      <c r="C366" s="199">
        <v>41506</v>
      </c>
      <c r="D366" s="19">
        <v>0.625</v>
      </c>
      <c r="E366" s="24">
        <v>10</v>
      </c>
      <c r="F366" s="24">
        <v>8.61</v>
      </c>
      <c r="G366" s="7">
        <v>90.6</v>
      </c>
      <c r="H366" s="7">
        <v>17.600000000000001</v>
      </c>
      <c r="I366" s="7"/>
      <c r="J366" s="7"/>
      <c r="K366" s="7"/>
    </row>
    <row r="367" spans="3:11" ht="15.75" customHeight="1" x14ac:dyDescent="0.2">
      <c r="C367" s="199">
        <v>41479</v>
      </c>
      <c r="D367" s="19">
        <v>0.56666666666666665</v>
      </c>
      <c r="E367" s="24"/>
      <c r="F367" s="24"/>
      <c r="G367" s="7"/>
      <c r="H367" s="7"/>
      <c r="I367" s="7"/>
      <c r="J367" s="7">
        <v>9</v>
      </c>
      <c r="K367" s="7">
        <v>10</v>
      </c>
    </row>
    <row r="368" spans="3:11" ht="15.75" customHeight="1" x14ac:dyDescent="0.2">
      <c r="C368" s="199">
        <v>41479</v>
      </c>
      <c r="D368" s="19">
        <v>0.56666666666666665</v>
      </c>
      <c r="E368" s="24">
        <v>0.1</v>
      </c>
      <c r="F368" s="24">
        <v>7.08</v>
      </c>
      <c r="G368" s="7">
        <v>85.6</v>
      </c>
      <c r="H368" s="7">
        <v>25.4</v>
      </c>
      <c r="I368" s="7"/>
      <c r="J368" s="7"/>
      <c r="K368" s="7"/>
    </row>
    <row r="369" spans="3:11" ht="15.75" customHeight="1" x14ac:dyDescent="0.2">
      <c r="C369" s="199">
        <v>41479</v>
      </c>
      <c r="D369" s="19">
        <v>0.56666666666666665</v>
      </c>
      <c r="E369" s="24">
        <v>1</v>
      </c>
      <c r="F369" s="24">
        <v>7.13</v>
      </c>
      <c r="G369" s="7">
        <v>85.8</v>
      </c>
      <c r="H369" s="7">
        <v>24.9</v>
      </c>
      <c r="I369" s="7"/>
      <c r="J369" s="7"/>
      <c r="K369" s="7"/>
    </row>
    <row r="370" spans="3:11" ht="15.75" customHeight="1" x14ac:dyDescent="0.2">
      <c r="C370" s="199">
        <v>41479</v>
      </c>
      <c r="D370" s="19">
        <v>0.56666666666666665</v>
      </c>
      <c r="E370" s="24">
        <v>2</v>
      </c>
      <c r="F370" s="24">
        <v>7.18</v>
      </c>
      <c r="G370" s="7">
        <v>84.9</v>
      </c>
      <c r="H370" s="7">
        <v>24</v>
      </c>
      <c r="I370" s="7"/>
      <c r="J370" s="7"/>
      <c r="K370" s="7"/>
    </row>
    <row r="371" spans="3:11" ht="15.75" customHeight="1" x14ac:dyDescent="0.2">
      <c r="C371" s="199">
        <v>41479</v>
      </c>
      <c r="D371" s="19">
        <v>0.56666666666666665</v>
      </c>
      <c r="E371" s="24">
        <v>3</v>
      </c>
      <c r="F371" s="24">
        <v>7.22</v>
      </c>
      <c r="G371" s="7">
        <v>84.9</v>
      </c>
      <c r="H371" s="7">
        <v>23.5</v>
      </c>
      <c r="I371" s="7"/>
      <c r="J371" s="7"/>
      <c r="K371" s="7"/>
    </row>
    <row r="372" spans="3:11" ht="15.75" customHeight="1" x14ac:dyDescent="0.2">
      <c r="C372" s="199">
        <v>41479</v>
      </c>
      <c r="D372" s="19">
        <v>0.56666666666666665</v>
      </c>
      <c r="E372" s="24">
        <v>4</v>
      </c>
      <c r="F372" s="24">
        <v>7.23</v>
      </c>
      <c r="G372" s="7">
        <v>84.7</v>
      </c>
      <c r="H372" s="7">
        <v>23.4</v>
      </c>
      <c r="I372" s="7"/>
      <c r="J372" s="7"/>
      <c r="K372" s="7"/>
    </row>
    <row r="373" spans="3:11" ht="15.75" customHeight="1" x14ac:dyDescent="0.2">
      <c r="C373" s="199">
        <v>41479</v>
      </c>
      <c r="D373" s="19">
        <v>0.56666666666666665</v>
      </c>
      <c r="E373" s="24">
        <v>5</v>
      </c>
      <c r="F373" s="24">
        <v>7.15</v>
      </c>
      <c r="G373" s="7">
        <v>83</v>
      </c>
      <c r="H373" s="7">
        <v>23</v>
      </c>
      <c r="I373" s="7"/>
      <c r="J373" s="7"/>
      <c r="K373" s="7"/>
    </row>
    <row r="374" spans="3:11" ht="15.75" customHeight="1" x14ac:dyDescent="0.2">
      <c r="C374" s="199">
        <v>41479</v>
      </c>
      <c r="D374" s="19">
        <v>0.56666666666666665</v>
      </c>
      <c r="E374" s="24">
        <v>6</v>
      </c>
      <c r="F374" s="24">
        <v>7.5</v>
      </c>
      <c r="G374" s="7">
        <v>85.4</v>
      </c>
      <c r="H374" s="7">
        <v>22.3</v>
      </c>
      <c r="I374" s="7"/>
      <c r="J374" s="7"/>
      <c r="K374" s="7"/>
    </row>
    <row r="375" spans="3:11" ht="15.75" customHeight="1" x14ac:dyDescent="0.2">
      <c r="C375" s="199">
        <v>41479</v>
      </c>
      <c r="D375" s="19">
        <v>0.56666666666666665</v>
      </c>
      <c r="E375" s="24">
        <v>7</v>
      </c>
      <c r="F375" s="24">
        <v>7.54</v>
      </c>
      <c r="G375" s="7">
        <v>84.8</v>
      </c>
      <c r="H375" s="7">
        <v>21.4</v>
      </c>
      <c r="I375" s="7"/>
      <c r="J375" s="7"/>
      <c r="K375" s="7"/>
    </row>
    <row r="376" spans="3:11" ht="15.75" customHeight="1" x14ac:dyDescent="0.2">
      <c r="C376" s="199">
        <v>41479</v>
      </c>
      <c r="D376" s="19">
        <v>0.56666666666666665</v>
      </c>
      <c r="E376" s="24">
        <v>8</v>
      </c>
      <c r="F376" s="24">
        <v>8.15</v>
      </c>
      <c r="G376" s="7">
        <v>87.7</v>
      </c>
      <c r="H376" s="7">
        <v>19.399999999999999</v>
      </c>
      <c r="I376" s="7"/>
      <c r="J376" s="7"/>
      <c r="K376" s="7"/>
    </row>
    <row r="377" spans="3:11" ht="15.75" customHeight="1" x14ac:dyDescent="0.2">
      <c r="C377" s="199">
        <v>41479</v>
      </c>
      <c r="D377" s="19">
        <v>0.56666666666666665</v>
      </c>
      <c r="E377" s="24">
        <v>9</v>
      </c>
      <c r="F377" s="24">
        <v>8.64</v>
      </c>
      <c r="G377" s="7">
        <v>89.1</v>
      </c>
      <c r="H377" s="7">
        <v>16.8</v>
      </c>
      <c r="I377" s="7"/>
      <c r="J377" s="7"/>
      <c r="K377" s="7"/>
    </row>
    <row r="378" spans="3:11" ht="15.75" customHeight="1" x14ac:dyDescent="0.2">
      <c r="C378" s="199">
        <v>41429</v>
      </c>
      <c r="D378" s="19">
        <v>0.58402777777777781</v>
      </c>
      <c r="E378" s="24"/>
      <c r="F378" s="24"/>
      <c r="G378" s="7"/>
      <c r="H378" s="7"/>
      <c r="I378" s="7"/>
      <c r="J378" s="7">
        <v>6</v>
      </c>
      <c r="K378" s="7">
        <v>8</v>
      </c>
    </row>
    <row r="379" spans="3:11" ht="15.75" customHeight="1" x14ac:dyDescent="0.2">
      <c r="C379" s="199">
        <v>41429</v>
      </c>
      <c r="D379" s="19">
        <v>0.58402777777777781</v>
      </c>
      <c r="E379" s="24">
        <v>0.1</v>
      </c>
      <c r="F379" s="24">
        <v>9.11</v>
      </c>
      <c r="G379" s="7">
        <v>95.5</v>
      </c>
      <c r="H379" s="7">
        <v>18.3</v>
      </c>
      <c r="I379" s="7"/>
      <c r="J379" s="7"/>
      <c r="K379" s="7"/>
    </row>
    <row r="380" spans="3:11" ht="15.75" customHeight="1" x14ac:dyDescent="0.2">
      <c r="C380" s="199">
        <v>41429</v>
      </c>
      <c r="D380" s="19">
        <v>0.58402777777777781</v>
      </c>
      <c r="E380" s="24">
        <v>1</v>
      </c>
      <c r="F380" s="24">
        <v>9.3000000000000007</v>
      </c>
      <c r="G380" s="7">
        <v>93.1</v>
      </c>
      <c r="H380" s="7">
        <v>15.5</v>
      </c>
      <c r="I380" s="7"/>
      <c r="J380" s="7"/>
      <c r="K380" s="7"/>
    </row>
    <row r="381" spans="3:11" ht="15.75" customHeight="1" x14ac:dyDescent="0.2">
      <c r="C381" s="199">
        <v>41429</v>
      </c>
      <c r="D381" s="19">
        <v>0.58402777777777781</v>
      </c>
      <c r="E381" s="24">
        <v>2</v>
      </c>
      <c r="F381" s="24">
        <v>9.4700000000000006</v>
      </c>
      <c r="G381" s="7">
        <v>91.5</v>
      </c>
      <c r="H381" s="7">
        <v>14</v>
      </c>
      <c r="I381" s="7"/>
      <c r="J381" s="7"/>
      <c r="K381" s="7"/>
    </row>
    <row r="382" spans="3:11" ht="15.75" customHeight="1" x14ac:dyDescent="0.2">
      <c r="C382" s="199">
        <v>41429</v>
      </c>
      <c r="D382" s="19">
        <v>0.58402777777777781</v>
      </c>
      <c r="E382" s="24">
        <v>3</v>
      </c>
      <c r="F382" s="24">
        <v>9.65</v>
      </c>
      <c r="G382" s="7">
        <v>91.3</v>
      </c>
      <c r="H382" s="7">
        <v>13.2</v>
      </c>
      <c r="I382" s="7"/>
      <c r="J382" s="7"/>
      <c r="K382" s="7"/>
    </row>
    <row r="383" spans="3:11" ht="15.75" customHeight="1" x14ac:dyDescent="0.2">
      <c r="C383" s="199">
        <v>41429</v>
      </c>
      <c r="D383" s="19">
        <v>0.58402777777777781</v>
      </c>
      <c r="E383" s="24">
        <v>4</v>
      </c>
      <c r="F383" s="24">
        <v>9.7200000000000006</v>
      </c>
      <c r="G383" s="7">
        <v>91.7</v>
      </c>
      <c r="H383" s="7">
        <v>12.8</v>
      </c>
      <c r="I383" s="7"/>
      <c r="J383" s="7"/>
      <c r="K383" s="7"/>
    </row>
    <row r="384" spans="3:11" ht="15.75" customHeight="1" x14ac:dyDescent="0.2">
      <c r="C384" s="199">
        <v>41429</v>
      </c>
      <c r="D384" s="19">
        <v>0.58402777777777781</v>
      </c>
      <c r="E384" s="24">
        <v>5</v>
      </c>
      <c r="F384" s="24">
        <v>9.75</v>
      </c>
      <c r="G384" s="7">
        <v>91.8</v>
      </c>
      <c r="H384" s="7">
        <v>12.7</v>
      </c>
      <c r="I384" s="7"/>
      <c r="J384" s="7"/>
      <c r="K384" s="7"/>
    </row>
    <row r="385" spans="3:17" ht="15.75" customHeight="1" x14ac:dyDescent="0.2">
      <c r="C385" s="199">
        <v>41429</v>
      </c>
      <c r="D385" s="19">
        <v>0.58402777777777781</v>
      </c>
      <c r="E385" s="24">
        <v>6</v>
      </c>
      <c r="F385" s="24">
        <v>9.74</v>
      </c>
      <c r="G385" s="7">
        <v>91.2</v>
      </c>
      <c r="H385" s="7">
        <v>12.4</v>
      </c>
      <c r="I385" s="7"/>
      <c r="J385" s="7"/>
      <c r="K385" s="7"/>
    </row>
    <row r="386" spans="3:17" ht="15.75" customHeight="1" x14ac:dyDescent="0.2">
      <c r="C386" s="199">
        <v>41429</v>
      </c>
      <c r="D386" s="19">
        <v>0.58402777777777781</v>
      </c>
      <c r="E386" s="24">
        <v>7</v>
      </c>
      <c r="F386" s="24">
        <v>9.73</v>
      </c>
      <c r="G386" s="7">
        <v>90.6</v>
      </c>
      <c r="H386" s="7">
        <v>12.2</v>
      </c>
      <c r="I386" s="7"/>
      <c r="J386" s="7"/>
      <c r="K386" s="7"/>
    </row>
    <row r="387" spans="3:17" ht="15.75" customHeight="1" x14ac:dyDescent="0.2">
      <c r="C387" s="199">
        <v>41429</v>
      </c>
      <c r="D387" s="19">
        <v>0.58402777777777781</v>
      </c>
      <c r="E387" s="24">
        <v>8</v>
      </c>
      <c r="F387" s="24">
        <v>9.7899999999999991</v>
      </c>
      <c r="G387" s="7">
        <v>90</v>
      </c>
      <c r="H387" s="7">
        <v>11.7</v>
      </c>
      <c r="I387" s="7"/>
      <c r="J387" s="7"/>
      <c r="K387" s="7"/>
    </row>
    <row r="388" spans="3:17" ht="15.75" customHeight="1" x14ac:dyDescent="0.2">
      <c r="C388" s="199">
        <v>41147</v>
      </c>
      <c r="D388" s="19">
        <v>0.5</v>
      </c>
      <c r="E388" s="24"/>
      <c r="F388" s="24"/>
      <c r="G388" s="7"/>
      <c r="H388" s="7"/>
      <c r="I388" s="3"/>
      <c r="J388" s="3">
        <v>9.5</v>
      </c>
      <c r="K388" s="3">
        <v>9.5</v>
      </c>
    </row>
    <row r="389" spans="3:17" ht="15.75" customHeight="1" x14ac:dyDescent="0.2">
      <c r="C389" s="199">
        <v>41147</v>
      </c>
      <c r="D389" s="19">
        <v>0.5</v>
      </c>
      <c r="E389" s="24">
        <v>0.1</v>
      </c>
      <c r="F389" s="24">
        <v>8.4</v>
      </c>
      <c r="G389" s="7">
        <v>93</v>
      </c>
      <c r="H389" s="7">
        <v>20.9</v>
      </c>
      <c r="I389" s="3"/>
      <c r="J389" s="3"/>
      <c r="K389" s="3"/>
    </row>
    <row r="390" spans="3:17" ht="15.75" customHeight="1" x14ac:dyDescent="0.2">
      <c r="C390" s="199">
        <v>41147</v>
      </c>
      <c r="D390" s="19">
        <v>0.5</v>
      </c>
      <c r="E390" s="24">
        <v>1</v>
      </c>
      <c r="F390" s="24">
        <v>8.3000000000000007</v>
      </c>
      <c r="G390" s="7">
        <v>91.5</v>
      </c>
      <c r="H390" s="7">
        <v>20.8</v>
      </c>
      <c r="I390" s="3"/>
      <c r="J390" s="3"/>
      <c r="K390" s="3"/>
    </row>
    <row r="391" spans="3:17" ht="15.75" customHeight="1" x14ac:dyDescent="0.2">
      <c r="C391" s="199">
        <v>41147</v>
      </c>
      <c r="D391" s="19">
        <v>0.5</v>
      </c>
      <c r="E391" s="24">
        <v>2</v>
      </c>
      <c r="F391" s="24">
        <v>8.1999999999999993</v>
      </c>
      <c r="G391" s="7">
        <v>89.5</v>
      </c>
      <c r="H391" s="7">
        <v>20.7</v>
      </c>
      <c r="I391" s="3"/>
      <c r="J391" s="3"/>
      <c r="K391" s="3"/>
    </row>
    <row r="392" spans="3:17" ht="15.75" customHeight="1" x14ac:dyDescent="0.2">
      <c r="C392" s="199">
        <v>41147</v>
      </c>
      <c r="D392" s="19">
        <v>0.5</v>
      </c>
      <c r="E392" s="24">
        <v>3</v>
      </c>
      <c r="F392" s="24">
        <v>8.1999999999999993</v>
      </c>
      <c r="G392" s="7">
        <v>89</v>
      </c>
      <c r="H392" s="7">
        <v>20.6</v>
      </c>
      <c r="I392" s="3"/>
      <c r="J392" s="3"/>
      <c r="K392" s="3"/>
    </row>
    <row r="393" spans="3:17" ht="15.75" customHeight="1" x14ac:dyDescent="0.2">
      <c r="C393" s="199">
        <v>41147</v>
      </c>
      <c r="D393" s="19">
        <v>0.5</v>
      </c>
      <c r="E393" s="24">
        <v>4</v>
      </c>
      <c r="F393" s="24">
        <v>8.15</v>
      </c>
      <c r="G393" s="7">
        <v>89.2</v>
      </c>
      <c r="H393" s="7">
        <v>20.6</v>
      </c>
      <c r="I393" s="3"/>
      <c r="J393" s="3"/>
      <c r="K393" s="3"/>
      <c r="L393" s="50"/>
      <c r="M393" s="7"/>
      <c r="N393" s="3"/>
      <c r="O393" s="3"/>
      <c r="P393" s="3"/>
      <c r="Q393" s="3"/>
    </row>
    <row r="394" spans="3:17" ht="15.75" customHeight="1" x14ac:dyDescent="0.2">
      <c r="C394" s="199">
        <v>41147</v>
      </c>
      <c r="D394" s="19">
        <v>0.5</v>
      </c>
      <c r="E394" s="24">
        <v>5</v>
      </c>
      <c r="F394" s="24">
        <v>8.15</v>
      </c>
      <c r="G394" s="7">
        <v>89</v>
      </c>
      <c r="H394" s="7">
        <v>20.5</v>
      </c>
      <c r="I394" s="3"/>
      <c r="J394" s="3"/>
      <c r="K394" s="3"/>
      <c r="L394" s="50"/>
      <c r="M394" s="7"/>
      <c r="N394" s="3"/>
      <c r="O394" s="3"/>
      <c r="P394" s="3"/>
      <c r="Q394" s="3"/>
    </row>
    <row r="395" spans="3:17" ht="15.75" customHeight="1" x14ac:dyDescent="0.2">
      <c r="C395" s="199">
        <v>41147</v>
      </c>
      <c r="D395" s="19">
        <v>0.5</v>
      </c>
      <c r="E395" s="24">
        <v>6</v>
      </c>
      <c r="F395" s="24">
        <v>8.1</v>
      </c>
      <c r="G395" s="7">
        <v>87</v>
      </c>
      <c r="H395" s="7">
        <v>20.399999999999999</v>
      </c>
      <c r="I395" s="3"/>
      <c r="J395" s="3"/>
      <c r="K395" s="3"/>
      <c r="L395" s="50"/>
      <c r="M395" s="7"/>
      <c r="N395" s="3"/>
      <c r="O395" s="3"/>
      <c r="P395" s="3"/>
      <c r="Q395" s="3"/>
    </row>
    <row r="396" spans="3:17" ht="15.75" customHeight="1" x14ac:dyDescent="0.2">
      <c r="C396" s="199">
        <v>41147</v>
      </c>
      <c r="D396" s="19">
        <v>0.5</v>
      </c>
      <c r="E396" s="24">
        <v>7</v>
      </c>
      <c r="F396" s="24">
        <v>8</v>
      </c>
      <c r="G396" s="7">
        <v>88.5</v>
      </c>
      <c r="H396" s="7">
        <v>20.3</v>
      </c>
      <c r="I396" s="3"/>
      <c r="J396" s="3"/>
      <c r="K396" s="3"/>
      <c r="L396" s="50"/>
      <c r="M396" s="7"/>
      <c r="N396" s="3"/>
      <c r="O396" s="3"/>
      <c r="P396" s="3"/>
      <c r="Q396" s="3"/>
    </row>
    <row r="397" spans="3:17" ht="15.75" customHeight="1" x14ac:dyDescent="0.2">
      <c r="C397" s="199">
        <v>41147</v>
      </c>
      <c r="D397" s="19">
        <v>0.5</v>
      </c>
      <c r="E397" s="24">
        <v>8</v>
      </c>
      <c r="F397" s="24">
        <v>8</v>
      </c>
      <c r="G397" s="7">
        <v>88</v>
      </c>
      <c r="H397" s="7">
        <v>20.3</v>
      </c>
      <c r="I397" s="3"/>
      <c r="J397" s="3"/>
      <c r="K397" s="3"/>
      <c r="L397" s="50"/>
      <c r="M397" s="7"/>
      <c r="N397" s="3"/>
      <c r="O397" s="3"/>
      <c r="P397" s="3"/>
      <c r="Q397" s="3"/>
    </row>
    <row r="398" spans="3:17" ht="15.75" customHeight="1" x14ac:dyDescent="0.2">
      <c r="C398" s="199">
        <v>41147</v>
      </c>
      <c r="D398" s="19">
        <v>0.5</v>
      </c>
      <c r="E398" s="24">
        <v>9</v>
      </c>
      <c r="F398" s="24">
        <v>8.3000000000000007</v>
      </c>
      <c r="G398" s="7">
        <v>90.3</v>
      </c>
      <c r="H398" s="7">
        <v>19.399999999999999</v>
      </c>
      <c r="I398" s="3"/>
      <c r="J398" s="3"/>
      <c r="K398" s="3"/>
      <c r="L398" s="50"/>
      <c r="M398" s="7"/>
      <c r="N398" s="3"/>
      <c r="O398" s="3"/>
      <c r="P398" s="3"/>
      <c r="Q398" s="3"/>
    </row>
    <row r="399" spans="3:17" ht="15.75" customHeight="1" x14ac:dyDescent="0.2">
      <c r="C399" s="199">
        <v>41147</v>
      </c>
      <c r="D399" s="19">
        <v>0.5</v>
      </c>
      <c r="E399" s="24">
        <v>10</v>
      </c>
      <c r="F399" s="24">
        <v>8</v>
      </c>
      <c r="G399" s="7">
        <v>83</v>
      </c>
      <c r="H399" s="7">
        <v>18.399999999999999</v>
      </c>
      <c r="I399" s="51"/>
      <c r="J399" s="3"/>
      <c r="K399" s="3"/>
      <c r="L399" s="50"/>
      <c r="M399" s="7"/>
      <c r="N399" s="3"/>
      <c r="O399" s="3"/>
      <c r="P399" s="3"/>
      <c r="Q399" s="3"/>
    </row>
    <row r="400" spans="3:17" ht="15.75" customHeight="1" x14ac:dyDescent="0.2">
      <c r="C400" s="199">
        <v>41115</v>
      </c>
      <c r="D400" s="19">
        <v>0.54166666666666663</v>
      </c>
      <c r="E400" s="24"/>
      <c r="F400" s="24"/>
      <c r="G400" s="7"/>
      <c r="H400" s="7"/>
      <c r="I400" s="51"/>
      <c r="J400" s="3">
        <v>8</v>
      </c>
      <c r="K400" s="3">
        <v>9.5</v>
      </c>
      <c r="L400" s="50"/>
      <c r="M400" s="7"/>
      <c r="N400" s="3"/>
      <c r="O400" s="3"/>
      <c r="P400" s="3"/>
      <c r="Q400" s="3"/>
    </row>
    <row r="401" spans="3:17" ht="15.75" customHeight="1" x14ac:dyDescent="0.2">
      <c r="C401" s="199">
        <v>41115</v>
      </c>
      <c r="D401" s="19">
        <v>0.54166666666666663</v>
      </c>
      <c r="E401" s="24">
        <v>0.1</v>
      </c>
      <c r="F401" s="24">
        <v>8.8000000000000007</v>
      </c>
      <c r="G401" s="7">
        <v>98.6</v>
      </c>
      <c r="H401" s="7">
        <v>21.1</v>
      </c>
      <c r="I401" s="51"/>
      <c r="J401" s="3"/>
      <c r="K401" s="3"/>
      <c r="L401" s="50"/>
      <c r="M401" s="7"/>
      <c r="N401" s="3"/>
      <c r="O401" s="3"/>
      <c r="P401" s="3"/>
      <c r="Q401" s="3"/>
    </row>
    <row r="402" spans="3:17" ht="15.75" customHeight="1" x14ac:dyDescent="0.2">
      <c r="C402" s="199">
        <v>41115</v>
      </c>
      <c r="D402" s="19">
        <v>0.54166666666666663</v>
      </c>
      <c r="E402" s="24">
        <v>1</v>
      </c>
      <c r="F402" s="24">
        <v>8.6999999999999993</v>
      </c>
      <c r="G402" s="7">
        <v>99</v>
      </c>
      <c r="H402" s="7">
        <v>21</v>
      </c>
      <c r="I402" s="51"/>
      <c r="J402" s="3"/>
      <c r="K402" s="3"/>
      <c r="L402" s="50"/>
      <c r="M402" s="7"/>
      <c r="N402" s="3"/>
      <c r="O402" s="3"/>
      <c r="P402" s="3"/>
      <c r="Q402" s="3"/>
    </row>
    <row r="403" spans="3:17" ht="15.75" customHeight="1" x14ac:dyDescent="0.2">
      <c r="C403" s="199">
        <v>41115</v>
      </c>
      <c r="D403" s="19">
        <v>0.54166666666666663</v>
      </c>
      <c r="E403" s="24">
        <v>2</v>
      </c>
      <c r="F403" s="24">
        <v>8.8800000000000008</v>
      </c>
      <c r="G403" s="7">
        <v>97.6</v>
      </c>
      <c r="H403" s="7">
        <v>20.2</v>
      </c>
      <c r="I403" s="51"/>
      <c r="J403" s="3"/>
      <c r="K403" s="3"/>
      <c r="L403" s="50"/>
      <c r="M403" s="7"/>
      <c r="N403" s="3"/>
      <c r="O403" s="3"/>
      <c r="P403" s="3"/>
      <c r="Q403" s="3"/>
    </row>
    <row r="404" spans="3:17" ht="15.75" customHeight="1" x14ac:dyDescent="0.2">
      <c r="C404" s="199">
        <v>41115</v>
      </c>
      <c r="D404" s="19">
        <v>0.54166666666666663</v>
      </c>
      <c r="E404" s="24">
        <v>3</v>
      </c>
      <c r="F404" s="24">
        <v>8.8800000000000008</v>
      </c>
      <c r="G404" s="7">
        <v>97.8</v>
      </c>
      <c r="H404" s="7">
        <v>20.100000000000001</v>
      </c>
      <c r="I404" s="51"/>
      <c r="J404" s="3"/>
      <c r="K404" s="3"/>
      <c r="L404" s="50"/>
      <c r="M404" s="7"/>
      <c r="N404" s="3"/>
      <c r="O404" s="3"/>
      <c r="P404" s="3"/>
      <c r="Q404" s="3"/>
    </row>
    <row r="405" spans="3:17" ht="15.75" customHeight="1" x14ac:dyDescent="0.2">
      <c r="C405" s="199">
        <v>41115</v>
      </c>
      <c r="D405" s="19">
        <v>0.54166666666666663</v>
      </c>
      <c r="E405" s="24">
        <v>4</v>
      </c>
      <c r="F405" s="24">
        <v>8.85</v>
      </c>
      <c r="G405" s="7">
        <v>96</v>
      </c>
      <c r="H405" s="7">
        <v>19.600000000000001</v>
      </c>
      <c r="I405" s="51"/>
      <c r="J405" s="3"/>
      <c r="K405" s="3"/>
      <c r="L405" s="50"/>
      <c r="M405" s="7"/>
      <c r="N405" s="3"/>
      <c r="O405" s="3"/>
      <c r="P405" s="3"/>
      <c r="Q405" s="3"/>
    </row>
    <row r="406" spans="3:17" ht="15.75" customHeight="1" x14ac:dyDescent="0.2">
      <c r="C406" s="199">
        <v>41115</v>
      </c>
      <c r="D406" s="19">
        <v>0.54166666666666663</v>
      </c>
      <c r="E406" s="24">
        <v>5</v>
      </c>
      <c r="F406" s="24">
        <v>9</v>
      </c>
      <c r="G406" s="7">
        <v>96.2</v>
      </c>
      <c r="H406" s="7">
        <v>19</v>
      </c>
      <c r="I406" s="51"/>
      <c r="J406" s="3"/>
      <c r="K406" s="3"/>
      <c r="L406" s="50"/>
      <c r="M406" s="7"/>
      <c r="N406" s="3"/>
      <c r="O406" s="3"/>
      <c r="P406" s="3"/>
      <c r="Q406" s="3"/>
    </row>
    <row r="407" spans="3:17" ht="15.75" customHeight="1" x14ac:dyDescent="0.2">
      <c r="C407" s="199">
        <v>41115</v>
      </c>
      <c r="D407" s="19">
        <v>0.54166666666666663</v>
      </c>
      <c r="E407" s="24">
        <v>6</v>
      </c>
      <c r="F407" s="24">
        <v>9.3000000000000007</v>
      </c>
      <c r="G407" s="7">
        <v>98.9</v>
      </c>
      <c r="H407" s="7">
        <v>18.399999999999999</v>
      </c>
      <c r="I407" s="51"/>
      <c r="J407" s="3"/>
      <c r="K407" s="3"/>
      <c r="L407" s="50"/>
      <c r="M407" s="7"/>
      <c r="N407" s="3"/>
      <c r="O407" s="3"/>
      <c r="P407" s="3"/>
      <c r="Q407" s="3"/>
    </row>
    <row r="408" spans="3:17" ht="15.75" customHeight="1" x14ac:dyDescent="0.2">
      <c r="C408" s="199">
        <v>41115</v>
      </c>
      <c r="D408" s="19">
        <v>0.54166666666666663</v>
      </c>
      <c r="E408" s="24">
        <v>7</v>
      </c>
      <c r="F408" s="24">
        <v>9.4</v>
      </c>
      <c r="G408" s="7">
        <v>98.1</v>
      </c>
      <c r="H408" s="7">
        <v>18.3</v>
      </c>
      <c r="I408" s="51"/>
      <c r="J408" s="3"/>
      <c r="K408" s="3"/>
      <c r="L408" s="50"/>
      <c r="M408" s="7"/>
      <c r="N408" s="3"/>
      <c r="O408" s="3"/>
      <c r="P408" s="3"/>
      <c r="Q408" s="3"/>
    </row>
    <row r="409" spans="3:17" ht="15.75" customHeight="1" x14ac:dyDescent="0.2">
      <c r="C409" s="199">
        <v>41115</v>
      </c>
      <c r="D409" s="19">
        <v>0.54166666666666663</v>
      </c>
      <c r="E409" s="24">
        <v>8</v>
      </c>
      <c r="F409" s="24">
        <v>9.5</v>
      </c>
      <c r="G409" s="7">
        <v>96.1</v>
      </c>
      <c r="H409" s="7">
        <v>17.5</v>
      </c>
      <c r="I409" s="51"/>
      <c r="J409" s="3"/>
      <c r="K409" s="3"/>
      <c r="L409" s="50"/>
      <c r="M409" s="7"/>
      <c r="N409" s="3"/>
      <c r="O409" s="3"/>
      <c r="P409" s="3"/>
      <c r="Q409" s="3"/>
    </row>
    <row r="410" spans="3:17" ht="15.75" customHeight="1" x14ac:dyDescent="0.2">
      <c r="C410" s="199">
        <v>41115</v>
      </c>
      <c r="D410" s="19">
        <v>0.54166666666666663</v>
      </c>
      <c r="E410" s="24">
        <v>9</v>
      </c>
      <c r="F410" s="24">
        <v>10.1</v>
      </c>
      <c r="G410" s="7">
        <v>101.2</v>
      </c>
      <c r="H410" s="7">
        <v>15.8</v>
      </c>
      <c r="I410" s="51"/>
      <c r="J410" s="3"/>
      <c r="K410" s="3"/>
      <c r="L410" s="50"/>
      <c r="M410" s="7"/>
      <c r="N410" s="3"/>
      <c r="O410" s="3"/>
      <c r="P410" s="3"/>
      <c r="Q410" s="3"/>
    </row>
    <row r="411" spans="3:17" ht="15.75" customHeight="1" x14ac:dyDescent="0.2">
      <c r="C411" s="199">
        <v>41080</v>
      </c>
      <c r="D411" s="19">
        <v>0.52777777777777779</v>
      </c>
      <c r="E411" s="24"/>
      <c r="F411" s="24"/>
      <c r="G411" s="7"/>
      <c r="H411" s="7"/>
      <c r="I411" s="51"/>
      <c r="J411" s="3">
        <v>6</v>
      </c>
      <c r="K411" s="3">
        <v>7.5</v>
      </c>
      <c r="L411" s="50"/>
      <c r="M411" s="7"/>
      <c r="N411" s="3"/>
      <c r="O411" s="3"/>
      <c r="P411" s="3"/>
      <c r="Q411" s="3"/>
    </row>
    <row r="412" spans="3:17" ht="15.75" customHeight="1" x14ac:dyDescent="0.2">
      <c r="C412" s="199">
        <v>41080</v>
      </c>
      <c r="D412" s="19">
        <v>0.52777777777777779</v>
      </c>
      <c r="E412" s="24">
        <v>0.1</v>
      </c>
      <c r="F412" s="24">
        <v>10.6</v>
      </c>
      <c r="G412" s="7">
        <v>104.5</v>
      </c>
      <c r="H412" s="7">
        <v>14.2</v>
      </c>
      <c r="I412" s="51"/>
      <c r="J412" s="3"/>
      <c r="K412" s="3"/>
      <c r="L412" s="50"/>
      <c r="M412" s="7"/>
      <c r="N412" s="3"/>
      <c r="O412" s="3"/>
      <c r="P412" s="3"/>
      <c r="Q412" s="3"/>
    </row>
    <row r="413" spans="3:17" ht="15.75" customHeight="1" x14ac:dyDescent="0.2">
      <c r="C413" s="199">
        <v>41080</v>
      </c>
      <c r="D413" s="19">
        <v>0.52777777777777779</v>
      </c>
      <c r="E413" s="24">
        <v>1</v>
      </c>
      <c r="F413" s="24">
        <v>10.9</v>
      </c>
      <c r="G413" s="7">
        <v>102.5</v>
      </c>
      <c r="H413" s="7">
        <v>13.6</v>
      </c>
      <c r="I413" s="51"/>
      <c r="J413" s="3"/>
      <c r="K413" s="3"/>
      <c r="L413" s="50"/>
      <c r="M413" s="7"/>
      <c r="N413" s="3"/>
      <c r="O413" s="3"/>
      <c r="P413" s="3"/>
      <c r="Q413" s="3"/>
    </row>
    <row r="414" spans="3:17" ht="15.75" customHeight="1" x14ac:dyDescent="0.2">
      <c r="C414" s="199">
        <v>41080</v>
      </c>
      <c r="D414" s="19">
        <v>0.52777777777777779</v>
      </c>
      <c r="E414" s="24">
        <v>2</v>
      </c>
      <c r="F414" s="24">
        <v>10.9</v>
      </c>
      <c r="G414" s="7">
        <v>101</v>
      </c>
      <c r="H414" s="7">
        <v>12.9</v>
      </c>
      <c r="I414" s="51"/>
      <c r="J414" s="3"/>
      <c r="K414" s="3"/>
      <c r="L414" s="50"/>
      <c r="M414" s="7"/>
      <c r="N414" s="3"/>
      <c r="O414" s="3"/>
      <c r="P414" s="3"/>
      <c r="Q414" s="3"/>
    </row>
    <row r="415" spans="3:17" ht="15.75" customHeight="1" x14ac:dyDescent="0.2">
      <c r="C415" s="199">
        <v>41080</v>
      </c>
      <c r="D415" s="19">
        <v>0.52777777777777779</v>
      </c>
      <c r="E415" s="24">
        <v>3</v>
      </c>
      <c r="F415" s="24">
        <v>11</v>
      </c>
      <c r="G415" s="7">
        <v>100.5</v>
      </c>
      <c r="H415" s="7">
        <v>12.3</v>
      </c>
      <c r="I415" s="51"/>
      <c r="J415" s="3"/>
      <c r="K415" s="3"/>
      <c r="L415" s="50"/>
      <c r="M415" s="7"/>
      <c r="N415" s="3"/>
      <c r="O415" s="3"/>
      <c r="P415" s="3"/>
      <c r="Q415" s="3"/>
    </row>
    <row r="416" spans="3:17" ht="15.75" customHeight="1" x14ac:dyDescent="0.2">
      <c r="C416" s="199">
        <v>41080</v>
      </c>
      <c r="D416" s="19">
        <v>0.52777777777777779</v>
      </c>
      <c r="E416" s="24">
        <v>4</v>
      </c>
      <c r="F416" s="24">
        <v>10.8</v>
      </c>
      <c r="G416" s="7">
        <v>99.5</v>
      </c>
      <c r="H416" s="7">
        <v>12.2</v>
      </c>
      <c r="I416" s="51"/>
      <c r="J416" s="3"/>
      <c r="K416" s="3"/>
      <c r="L416" s="50"/>
      <c r="M416" s="7"/>
      <c r="N416" s="3"/>
      <c r="O416" s="3"/>
      <c r="P416" s="3"/>
      <c r="Q416" s="3"/>
    </row>
    <row r="417" spans="3:17" ht="15.75" customHeight="1" x14ac:dyDescent="0.2">
      <c r="C417" s="199">
        <v>41080</v>
      </c>
      <c r="D417" s="19">
        <v>0.52777777777777779</v>
      </c>
      <c r="E417" s="24">
        <v>5</v>
      </c>
      <c r="F417" s="24">
        <v>10.8</v>
      </c>
      <c r="G417" s="7">
        <v>98</v>
      </c>
      <c r="H417" s="7">
        <v>12</v>
      </c>
      <c r="I417" s="51"/>
      <c r="J417" s="3"/>
      <c r="K417" s="3"/>
      <c r="L417" s="50"/>
      <c r="M417" s="7"/>
      <c r="N417" s="3"/>
      <c r="O417" s="3"/>
      <c r="P417" s="3"/>
      <c r="Q417" s="3"/>
    </row>
    <row r="418" spans="3:17" ht="15.75" customHeight="1" x14ac:dyDescent="0.2">
      <c r="C418" s="199">
        <v>41080</v>
      </c>
      <c r="D418" s="19">
        <v>0.52777777777777779</v>
      </c>
      <c r="E418" s="24">
        <v>6</v>
      </c>
      <c r="F418" s="24">
        <v>10.9</v>
      </c>
      <c r="G418" s="7">
        <v>99.5</v>
      </c>
      <c r="H418" s="7">
        <v>11.9</v>
      </c>
      <c r="I418" s="51"/>
      <c r="J418" s="3"/>
      <c r="K418" s="3"/>
      <c r="L418" s="50"/>
      <c r="M418" s="7"/>
      <c r="N418" s="3"/>
      <c r="O418" s="3"/>
      <c r="P418" s="3"/>
      <c r="Q418" s="3"/>
    </row>
    <row r="419" spans="3:17" ht="15.75" customHeight="1" x14ac:dyDescent="0.2">
      <c r="C419" s="199">
        <v>41080</v>
      </c>
      <c r="D419" s="19">
        <v>0.52777777777777779</v>
      </c>
      <c r="E419" s="24">
        <v>7</v>
      </c>
      <c r="F419" s="24">
        <v>10.8</v>
      </c>
      <c r="G419" s="7">
        <v>98.5</v>
      </c>
      <c r="H419" s="7">
        <v>11.8</v>
      </c>
      <c r="I419" s="51"/>
      <c r="J419" s="3"/>
      <c r="K419" s="3"/>
      <c r="L419" s="50"/>
      <c r="M419" s="7"/>
      <c r="N419" s="3"/>
      <c r="O419" s="3"/>
      <c r="P419" s="3"/>
      <c r="Q419" s="3"/>
    </row>
    <row r="420" spans="3:17" ht="15.75" customHeight="1" x14ac:dyDescent="0.2">
      <c r="C420" s="199">
        <v>41080</v>
      </c>
      <c r="D420" s="19">
        <v>0.52777777777777779</v>
      </c>
      <c r="E420" s="24">
        <v>8</v>
      </c>
      <c r="F420" s="24">
        <v>10.7</v>
      </c>
      <c r="G420" s="7">
        <v>96</v>
      </c>
      <c r="H420" s="7">
        <v>11.7</v>
      </c>
      <c r="I420" s="51"/>
      <c r="J420" s="3"/>
      <c r="K420" s="3"/>
      <c r="L420" s="50"/>
      <c r="M420" s="7"/>
      <c r="N420" s="3"/>
      <c r="O420" s="3"/>
      <c r="P420" s="3"/>
      <c r="Q420" s="3"/>
    </row>
    <row r="421" spans="3:17" ht="15.75" customHeight="1" x14ac:dyDescent="0.2">
      <c r="C421" s="199">
        <v>41080</v>
      </c>
      <c r="D421" s="19">
        <v>0.52777777777777779</v>
      </c>
      <c r="E421" s="24">
        <v>9</v>
      </c>
      <c r="F421" s="24">
        <v>10.7</v>
      </c>
      <c r="G421" s="7">
        <v>97</v>
      </c>
      <c r="H421" s="7">
        <v>11.5</v>
      </c>
      <c r="I421" s="51"/>
      <c r="J421" s="3"/>
      <c r="K421" s="3"/>
      <c r="L421" s="50"/>
      <c r="M421" s="7"/>
      <c r="N421" s="3"/>
      <c r="O421" s="3"/>
      <c r="P421" s="3"/>
      <c r="Q421" s="3"/>
    </row>
    <row r="422" spans="3:17" ht="15.75" customHeight="1" x14ac:dyDescent="0.2">
      <c r="C422" s="199">
        <v>41057</v>
      </c>
      <c r="D422" s="19">
        <v>0.53472222222222221</v>
      </c>
      <c r="E422" s="24"/>
      <c r="F422" s="24"/>
      <c r="G422" s="7"/>
      <c r="H422" s="7"/>
      <c r="I422" s="51"/>
      <c r="J422" s="3">
        <v>6</v>
      </c>
      <c r="K422" s="3">
        <v>9.5</v>
      </c>
      <c r="L422" s="50"/>
      <c r="M422" s="7"/>
      <c r="N422" s="3"/>
      <c r="O422" s="3"/>
      <c r="P422" s="3"/>
      <c r="Q422" s="3"/>
    </row>
    <row r="423" spans="3:17" ht="15.75" customHeight="1" x14ac:dyDescent="0.2">
      <c r="C423" s="199">
        <v>41057</v>
      </c>
      <c r="D423" s="19">
        <v>0.53472222222222221</v>
      </c>
      <c r="E423" s="24">
        <v>0.1</v>
      </c>
      <c r="F423" s="24">
        <v>15.3</v>
      </c>
      <c r="G423" s="7">
        <v>138</v>
      </c>
      <c r="H423" s="7">
        <v>11.1</v>
      </c>
      <c r="J423" s="3"/>
      <c r="K423" s="3"/>
      <c r="L423" s="50"/>
      <c r="M423" s="7"/>
      <c r="N423" s="3"/>
      <c r="O423" s="3"/>
      <c r="P423" s="3"/>
      <c r="Q423" s="3"/>
    </row>
    <row r="424" spans="3:17" ht="15.75" customHeight="1" x14ac:dyDescent="0.2">
      <c r="C424" s="199">
        <v>41057</v>
      </c>
      <c r="D424" s="19">
        <v>0.53472222222222221</v>
      </c>
      <c r="E424" s="24">
        <v>1</v>
      </c>
      <c r="F424" s="24">
        <v>15</v>
      </c>
      <c r="G424" s="7">
        <v>137.19999999999999</v>
      </c>
      <c r="H424" s="7">
        <v>11.1</v>
      </c>
      <c r="J424" s="3"/>
      <c r="K424" s="3"/>
      <c r="L424" s="50"/>
      <c r="M424" s="7"/>
      <c r="N424" s="3"/>
      <c r="O424" s="3"/>
      <c r="P424" s="3"/>
      <c r="Q424" s="3"/>
    </row>
    <row r="425" spans="3:17" ht="15.75" customHeight="1" x14ac:dyDescent="0.2">
      <c r="C425" s="199">
        <v>41057</v>
      </c>
      <c r="D425" s="19">
        <v>0.53472222222222221</v>
      </c>
      <c r="E425" s="24">
        <v>2</v>
      </c>
      <c r="F425" s="24">
        <v>14.8</v>
      </c>
      <c r="G425" s="7">
        <v>135.5</v>
      </c>
      <c r="H425" s="7">
        <v>11.1</v>
      </c>
      <c r="J425" s="3"/>
      <c r="K425" s="3"/>
      <c r="L425" s="50"/>
      <c r="M425" s="7"/>
      <c r="N425" s="3"/>
      <c r="O425" s="3"/>
      <c r="P425" s="3"/>
      <c r="Q425" s="3"/>
    </row>
    <row r="426" spans="3:17" ht="15.75" customHeight="1" x14ac:dyDescent="0.2">
      <c r="C426" s="199">
        <v>41057</v>
      </c>
      <c r="D426" s="19">
        <v>0.53472222222222221</v>
      </c>
      <c r="E426" s="24">
        <v>3</v>
      </c>
      <c r="F426" s="24">
        <v>14.8</v>
      </c>
      <c r="G426" s="7">
        <v>135.30000000000001</v>
      </c>
      <c r="H426" s="7">
        <v>11.1</v>
      </c>
      <c r="J426" s="3"/>
      <c r="K426" s="3"/>
      <c r="L426" s="50"/>
      <c r="M426" s="7"/>
      <c r="N426" s="3"/>
      <c r="O426" s="3"/>
      <c r="P426" s="3"/>
      <c r="Q426" s="3"/>
    </row>
    <row r="427" spans="3:17" ht="15.75" customHeight="1" x14ac:dyDescent="0.2">
      <c r="C427" s="199">
        <v>41057</v>
      </c>
      <c r="D427" s="19">
        <v>0.53472222222222221</v>
      </c>
      <c r="E427" s="24">
        <v>4</v>
      </c>
      <c r="F427" s="24">
        <v>14.9</v>
      </c>
      <c r="G427" s="7">
        <v>135</v>
      </c>
      <c r="H427" s="7">
        <v>10.8</v>
      </c>
      <c r="J427" s="3"/>
      <c r="K427" s="3"/>
      <c r="L427" s="50"/>
      <c r="M427" s="7"/>
      <c r="N427" s="3"/>
      <c r="O427" s="3"/>
      <c r="P427" s="3"/>
      <c r="Q427" s="3"/>
    </row>
    <row r="428" spans="3:17" ht="15.75" customHeight="1" x14ac:dyDescent="0.2">
      <c r="C428" s="199">
        <v>41057</v>
      </c>
      <c r="D428" s="19">
        <v>0.53472222222222221</v>
      </c>
      <c r="E428" s="24">
        <v>5</v>
      </c>
      <c r="F428" s="24">
        <v>14.9</v>
      </c>
      <c r="G428" s="7">
        <v>133.80000000000001</v>
      </c>
      <c r="H428" s="7">
        <v>10.7</v>
      </c>
      <c r="I428" s="51"/>
      <c r="J428" s="3"/>
      <c r="K428" s="3"/>
      <c r="L428" s="50"/>
      <c r="M428" s="7"/>
      <c r="N428" s="3"/>
      <c r="O428" s="3"/>
      <c r="P428" s="3"/>
      <c r="Q428" s="3"/>
    </row>
    <row r="429" spans="3:17" ht="15.75" customHeight="1" x14ac:dyDescent="0.2">
      <c r="C429" s="199">
        <v>41057</v>
      </c>
      <c r="D429" s="19">
        <v>0.53472222222222221</v>
      </c>
      <c r="E429" s="24">
        <v>6</v>
      </c>
      <c r="F429" s="24">
        <v>14.9</v>
      </c>
      <c r="G429" s="7">
        <v>133.19999999999999</v>
      </c>
      <c r="H429" s="7">
        <v>10.6</v>
      </c>
      <c r="I429" s="51"/>
      <c r="J429" s="3"/>
      <c r="K429" s="3"/>
      <c r="L429" s="50"/>
      <c r="M429" s="7"/>
      <c r="N429" s="3"/>
      <c r="O429" s="3"/>
      <c r="P429" s="3"/>
      <c r="Q429" s="3"/>
    </row>
    <row r="430" spans="3:17" ht="15.75" customHeight="1" x14ac:dyDescent="0.2">
      <c r="C430" s="199">
        <v>41057</v>
      </c>
      <c r="D430" s="19">
        <v>0.53472222222222221</v>
      </c>
      <c r="E430" s="24">
        <v>7</v>
      </c>
      <c r="F430" s="24">
        <v>14.7</v>
      </c>
      <c r="G430" s="7">
        <v>133.6</v>
      </c>
      <c r="H430" s="7">
        <v>10.6</v>
      </c>
      <c r="I430" s="51"/>
      <c r="J430" s="3"/>
      <c r="K430" s="3"/>
      <c r="L430" s="50"/>
      <c r="M430" s="7"/>
      <c r="N430" s="3"/>
      <c r="O430" s="3"/>
      <c r="P430" s="3"/>
      <c r="Q430" s="3"/>
    </row>
    <row r="431" spans="3:17" ht="15.75" customHeight="1" x14ac:dyDescent="0.2">
      <c r="C431" s="199">
        <v>41057</v>
      </c>
      <c r="D431" s="19">
        <v>0.53472222222222221</v>
      </c>
      <c r="E431" s="24">
        <v>8</v>
      </c>
      <c r="F431" s="24">
        <v>14.8</v>
      </c>
      <c r="G431" s="7">
        <v>132.5</v>
      </c>
      <c r="H431" s="7">
        <v>10.5</v>
      </c>
      <c r="I431" s="51"/>
      <c r="J431" s="3"/>
      <c r="K431" s="3"/>
      <c r="L431" s="50"/>
      <c r="M431" s="7"/>
      <c r="N431" s="3"/>
      <c r="O431" s="3"/>
      <c r="P431" s="3"/>
      <c r="Q431" s="3"/>
    </row>
    <row r="432" spans="3:17" ht="15.75" customHeight="1" x14ac:dyDescent="0.2">
      <c r="C432" s="199">
        <v>41057</v>
      </c>
      <c r="D432" s="19">
        <v>0.53472222222222221</v>
      </c>
      <c r="E432" s="24">
        <v>9</v>
      </c>
      <c r="F432" s="24">
        <v>14.7</v>
      </c>
      <c r="G432" s="7">
        <v>132.69999999999999</v>
      </c>
      <c r="H432" s="7">
        <v>10.5</v>
      </c>
      <c r="I432" s="51"/>
      <c r="J432" s="3"/>
      <c r="K432" s="3"/>
      <c r="L432" s="50"/>
      <c r="M432" s="7"/>
      <c r="N432" s="3"/>
      <c r="O432" s="3"/>
      <c r="P432" s="3"/>
      <c r="Q432" s="3"/>
    </row>
    <row r="433" spans="3:17" ht="15.75" customHeight="1" x14ac:dyDescent="0.2">
      <c r="C433" s="199">
        <v>40806</v>
      </c>
      <c r="D433" s="19">
        <v>0.54166666666666663</v>
      </c>
      <c r="E433" s="24"/>
      <c r="F433" s="24"/>
      <c r="G433" s="7"/>
      <c r="H433" s="7"/>
      <c r="I433" s="3"/>
      <c r="J433" s="3">
        <v>9</v>
      </c>
      <c r="K433" s="3">
        <v>9.25</v>
      </c>
      <c r="L433" s="50"/>
      <c r="M433" s="7"/>
      <c r="N433" s="3"/>
      <c r="O433" s="3"/>
      <c r="P433" s="3"/>
      <c r="Q433" s="3"/>
    </row>
    <row r="434" spans="3:17" ht="15.75" customHeight="1" x14ac:dyDescent="0.2">
      <c r="C434" s="199">
        <v>40806</v>
      </c>
      <c r="D434" s="19">
        <v>0.54166666666666663</v>
      </c>
      <c r="E434" s="24">
        <v>0.1</v>
      </c>
      <c r="F434" s="24">
        <v>10.7</v>
      </c>
      <c r="G434" s="7">
        <v>110.5</v>
      </c>
      <c r="H434" s="7">
        <v>18.3</v>
      </c>
      <c r="I434" s="3"/>
      <c r="J434" s="3"/>
      <c r="K434" s="3"/>
      <c r="L434" s="50"/>
      <c r="M434" s="7"/>
      <c r="N434" s="3"/>
      <c r="O434" s="3"/>
      <c r="P434" s="3"/>
      <c r="Q434" s="3"/>
    </row>
    <row r="435" spans="3:17" ht="15.75" customHeight="1" x14ac:dyDescent="0.2">
      <c r="C435" s="199">
        <v>40806</v>
      </c>
      <c r="D435" s="19">
        <v>0.54166666666666663</v>
      </c>
      <c r="E435" s="24">
        <v>1</v>
      </c>
      <c r="F435" s="24">
        <v>10.199999999999999</v>
      </c>
      <c r="G435" s="7">
        <v>111.7</v>
      </c>
      <c r="H435" s="7">
        <v>18.3</v>
      </c>
      <c r="I435" s="3"/>
      <c r="J435" s="3"/>
      <c r="K435" s="3"/>
      <c r="L435" s="50"/>
      <c r="M435" s="7"/>
      <c r="N435" s="3"/>
      <c r="O435" s="3"/>
      <c r="P435" s="3"/>
      <c r="Q435" s="3"/>
    </row>
    <row r="436" spans="3:17" ht="15.75" customHeight="1" x14ac:dyDescent="0.2">
      <c r="C436" s="199">
        <v>40806</v>
      </c>
      <c r="D436" s="19">
        <v>0.54166666666666663</v>
      </c>
      <c r="E436" s="24">
        <v>2</v>
      </c>
      <c r="F436" s="24">
        <v>10.35</v>
      </c>
      <c r="G436" s="7">
        <v>109.2</v>
      </c>
      <c r="H436" s="7">
        <v>18.2</v>
      </c>
      <c r="I436" s="3"/>
      <c r="J436" s="3"/>
      <c r="K436" s="3"/>
      <c r="L436" s="50"/>
      <c r="M436" s="7"/>
      <c r="N436" s="3"/>
      <c r="O436" s="3"/>
      <c r="P436" s="3"/>
      <c r="Q436" s="3"/>
    </row>
    <row r="437" spans="3:17" ht="15.75" customHeight="1" x14ac:dyDescent="0.2">
      <c r="C437" s="199">
        <v>40806</v>
      </c>
      <c r="D437" s="19">
        <v>0.54166666666666663</v>
      </c>
      <c r="E437" s="24">
        <v>3</v>
      </c>
      <c r="F437" s="24">
        <v>10.3</v>
      </c>
      <c r="G437" s="7">
        <v>109.4</v>
      </c>
      <c r="H437" s="7">
        <v>18.2</v>
      </c>
      <c r="I437" s="3"/>
      <c r="J437" s="3"/>
      <c r="K437" s="3"/>
      <c r="L437" s="50"/>
      <c r="M437" s="7"/>
      <c r="N437" s="3"/>
      <c r="O437" s="3"/>
      <c r="P437" s="3"/>
      <c r="Q437" s="3"/>
    </row>
    <row r="438" spans="3:17" ht="15.75" customHeight="1" x14ac:dyDescent="0.2">
      <c r="C438" s="199">
        <v>40806</v>
      </c>
      <c r="D438" s="19">
        <v>0.54166666666666663</v>
      </c>
      <c r="E438" s="24">
        <v>4</v>
      </c>
      <c r="F438" s="24">
        <v>9.9</v>
      </c>
      <c r="G438" s="7">
        <v>110.5</v>
      </c>
      <c r="H438" s="7">
        <v>18.2</v>
      </c>
      <c r="I438" s="3"/>
      <c r="J438" s="3"/>
      <c r="K438" s="3"/>
      <c r="L438" s="50"/>
      <c r="M438" s="7"/>
      <c r="N438" s="3"/>
      <c r="O438" s="3"/>
      <c r="P438" s="3"/>
      <c r="Q438" s="3"/>
    </row>
    <row r="439" spans="3:17" ht="15.75" customHeight="1" x14ac:dyDescent="0.2">
      <c r="C439" s="199">
        <v>40806</v>
      </c>
      <c r="D439" s="19">
        <v>0.54166666666666663</v>
      </c>
      <c r="E439" s="24">
        <v>5</v>
      </c>
      <c r="F439" s="24">
        <v>9.86</v>
      </c>
      <c r="G439" s="7">
        <v>105.6</v>
      </c>
      <c r="H439" s="7">
        <v>18</v>
      </c>
      <c r="I439" s="3"/>
      <c r="J439" s="3"/>
      <c r="K439" s="3"/>
      <c r="L439" s="50"/>
      <c r="M439" s="7"/>
      <c r="N439" s="3"/>
      <c r="O439" s="3"/>
      <c r="P439" s="3"/>
      <c r="Q439" s="3"/>
    </row>
    <row r="440" spans="3:17" ht="15.75" customHeight="1" x14ac:dyDescent="0.2">
      <c r="C440" s="199">
        <v>40806</v>
      </c>
      <c r="D440" s="19">
        <v>0.54166666666666663</v>
      </c>
      <c r="E440" s="24">
        <v>6</v>
      </c>
      <c r="F440" s="24">
        <v>10.25</v>
      </c>
      <c r="G440" s="7">
        <v>107</v>
      </c>
      <c r="H440" s="7">
        <v>17.8</v>
      </c>
      <c r="I440" s="3"/>
      <c r="J440" s="3"/>
      <c r="K440" s="3"/>
      <c r="L440" s="50"/>
      <c r="M440" s="7"/>
      <c r="N440" s="3"/>
      <c r="O440" s="3"/>
      <c r="P440" s="3"/>
      <c r="Q440" s="3"/>
    </row>
    <row r="441" spans="3:17" ht="15.75" customHeight="1" x14ac:dyDescent="0.2">
      <c r="C441" s="199">
        <v>40806</v>
      </c>
      <c r="D441" s="19">
        <v>0.54166666666666663</v>
      </c>
      <c r="E441" s="24">
        <v>7</v>
      </c>
      <c r="F441" s="24">
        <v>10</v>
      </c>
      <c r="G441" s="7">
        <v>108</v>
      </c>
      <c r="H441" s="7">
        <v>17.899999999999999</v>
      </c>
      <c r="I441" s="3"/>
      <c r="J441" s="3"/>
      <c r="K441" s="3"/>
      <c r="L441" s="50"/>
      <c r="M441" s="7"/>
      <c r="N441" s="3"/>
      <c r="O441" s="3"/>
      <c r="P441" s="3"/>
      <c r="Q441" s="3"/>
    </row>
    <row r="442" spans="3:17" ht="15.75" customHeight="1" x14ac:dyDescent="0.2">
      <c r="C442" s="199">
        <v>40806</v>
      </c>
      <c r="D442" s="19">
        <v>0.54166666666666663</v>
      </c>
      <c r="E442" s="24">
        <v>8</v>
      </c>
      <c r="F442" s="24">
        <v>10.1</v>
      </c>
      <c r="G442" s="7">
        <v>109.5</v>
      </c>
      <c r="H442" s="7">
        <v>17.899999999999999</v>
      </c>
      <c r="I442" s="3"/>
      <c r="J442" s="3"/>
      <c r="K442" s="3"/>
      <c r="L442" s="50"/>
      <c r="M442" s="7"/>
      <c r="N442" s="3"/>
      <c r="O442" s="3"/>
      <c r="P442" s="3"/>
      <c r="Q442" s="3"/>
    </row>
    <row r="443" spans="3:17" ht="15.75" customHeight="1" x14ac:dyDescent="0.2">
      <c r="C443" s="199">
        <v>40806</v>
      </c>
      <c r="D443" s="19">
        <v>0.54166666666666663</v>
      </c>
      <c r="E443" s="24">
        <v>9</v>
      </c>
      <c r="F443" s="24">
        <v>10.3</v>
      </c>
      <c r="G443" s="7">
        <v>107.5</v>
      </c>
      <c r="H443" s="7">
        <v>17.8</v>
      </c>
      <c r="I443" s="3"/>
      <c r="J443" s="3"/>
      <c r="K443" s="3"/>
      <c r="L443" s="50"/>
      <c r="M443" s="7"/>
      <c r="N443" s="3"/>
      <c r="O443" s="3"/>
      <c r="P443" s="3"/>
      <c r="Q443" s="3"/>
    </row>
    <row r="444" spans="3:17" ht="15.75" customHeight="1" x14ac:dyDescent="0.2">
      <c r="C444" s="199">
        <v>40778</v>
      </c>
      <c r="D444" s="19">
        <v>0.42222222222222222</v>
      </c>
      <c r="E444" s="24"/>
      <c r="F444" s="24"/>
      <c r="G444" s="7"/>
      <c r="H444" s="7"/>
      <c r="I444" s="3"/>
      <c r="J444" s="3">
        <v>7</v>
      </c>
      <c r="K444" s="3">
        <v>9</v>
      </c>
      <c r="L444" s="50"/>
      <c r="M444" s="7"/>
      <c r="N444" s="3"/>
      <c r="O444" s="3"/>
      <c r="P444" s="3"/>
      <c r="Q444" s="3"/>
    </row>
    <row r="445" spans="3:17" ht="15.75" customHeight="1" x14ac:dyDescent="0.2">
      <c r="C445" s="199">
        <v>40778</v>
      </c>
      <c r="D445" s="19">
        <v>0.42222222222222222</v>
      </c>
      <c r="E445" s="24">
        <v>0.1</v>
      </c>
      <c r="F445" s="24">
        <v>9.76</v>
      </c>
      <c r="G445" s="7">
        <v>109.6</v>
      </c>
      <c r="H445" s="7">
        <v>20.6</v>
      </c>
      <c r="J445" s="3"/>
      <c r="K445" s="3"/>
      <c r="L445" s="50"/>
      <c r="M445" s="7"/>
      <c r="N445" s="3"/>
      <c r="O445" s="3"/>
      <c r="P445" s="3"/>
      <c r="Q445" s="3"/>
    </row>
    <row r="446" spans="3:17" ht="15.75" customHeight="1" x14ac:dyDescent="0.2">
      <c r="C446" s="199">
        <v>40778</v>
      </c>
      <c r="D446" s="19">
        <v>0.42222222222222222</v>
      </c>
      <c r="E446" s="24">
        <v>1</v>
      </c>
      <c r="F446" s="24">
        <v>9.75</v>
      </c>
      <c r="G446" s="7">
        <v>109</v>
      </c>
      <c r="H446" s="7">
        <v>20.6</v>
      </c>
      <c r="J446" s="3"/>
      <c r="K446" s="3"/>
    </row>
    <row r="447" spans="3:17" ht="15.75" customHeight="1" x14ac:dyDescent="0.2">
      <c r="C447" s="199">
        <v>40778</v>
      </c>
      <c r="D447" s="19">
        <v>0.42222222222222222</v>
      </c>
      <c r="E447" s="24">
        <v>2</v>
      </c>
      <c r="F447" s="24">
        <v>9.8000000000000007</v>
      </c>
      <c r="G447" s="7">
        <v>109.5</v>
      </c>
      <c r="H447" s="7">
        <v>20.6</v>
      </c>
      <c r="J447" s="3"/>
      <c r="K447" s="3"/>
      <c r="L447" s="50"/>
      <c r="M447" s="7"/>
      <c r="N447" s="3"/>
      <c r="O447" s="3"/>
      <c r="P447" s="3"/>
      <c r="Q447" s="3"/>
    </row>
    <row r="448" spans="3:17" ht="15.75" customHeight="1" x14ac:dyDescent="0.2">
      <c r="C448" s="199">
        <v>40778</v>
      </c>
      <c r="D448" s="19">
        <v>0.42222222222222222</v>
      </c>
      <c r="E448" s="24">
        <v>3</v>
      </c>
      <c r="F448" s="24">
        <v>9.67</v>
      </c>
      <c r="G448" s="7">
        <v>108.4</v>
      </c>
      <c r="H448" s="7">
        <v>20.6</v>
      </c>
      <c r="J448" s="3"/>
      <c r="K448" s="3"/>
      <c r="L448" s="50"/>
      <c r="M448" s="7"/>
      <c r="N448" s="3"/>
      <c r="O448" s="3"/>
      <c r="P448" s="3"/>
      <c r="Q448" s="3"/>
    </row>
    <row r="449" spans="3:17" ht="15.75" customHeight="1" x14ac:dyDescent="0.2">
      <c r="C449" s="199">
        <v>40778</v>
      </c>
      <c r="D449" s="19">
        <v>0.42222222222222222</v>
      </c>
      <c r="E449" s="24">
        <v>4</v>
      </c>
      <c r="F449" s="24">
        <v>9.8000000000000007</v>
      </c>
      <c r="G449" s="7">
        <v>110.2</v>
      </c>
      <c r="H449" s="7">
        <v>20.6</v>
      </c>
      <c r="J449" s="3"/>
      <c r="K449" s="3"/>
      <c r="L449" s="50"/>
      <c r="M449" s="7"/>
      <c r="N449" s="3"/>
      <c r="O449" s="3"/>
      <c r="P449" s="3"/>
      <c r="Q449" s="3"/>
    </row>
    <row r="450" spans="3:17" ht="15.75" customHeight="1" x14ac:dyDescent="0.2">
      <c r="C450" s="199">
        <v>40778</v>
      </c>
      <c r="D450" s="19">
        <v>0.42222222222222222</v>
      </c>
      <c r="E450" s="24">
        <v>5</v>
      </c>
      <c r="F450" s="24">
        <v>9.86</v>
      </c>
      <c r="G450" s="7">
        <v>109.6</v>
      </c>
      <c r="H450" s="7">
        <v>20.5</v>
      </c>
      <c r="J450" s="3"/>
      <c r="K450" s="3"/>
      <c r="L450" s="50"/>
      <c r="M450" s="7"/>
      <c r="N450" s="3"/>
      <c r="O450" s="3"/>
      <c r="P450" s="3"/>
      <c r="Q450" s="3"/>
    </row>
    <row r="451" spans="3:17" ht="15.75" customHeight="1" x14ac:dyDescent="0.2">
      <c r="C451" s="199">
        <v>40778</v>
      </c>
      <c r="D451" s="19">
        <v>0.42222222222222222</v>
      </c>
      <c r="E451" s="24">
        <v>6</v>
      </c>
      <c r="F451" s="24">
        <v>9.85</v>
      </c>
      <c r="G451" s="7">
        <v>109.4</v>
      </c>
      <c r="H451" s="7">
        <v>20.5</v>
      </c>
      <c r="J451" s="3"/>
      <c r="K451" s="3"/>
      <c r="L451" s="50"/>
      <c r="M451" s="7"/>
      <c r="N451" s="3"/>
      <c r="O451" s="3"/>
      <c r="P451" s="3"/>
      <c r="Q451" s="3"/>
    </row>
    <row r="452" spans="3:17" ht="15.75" customHeight="1" x14ac:dyDescent="0.2">
      <c r="C452" s="199">
        <v>40778</v>
      </c>
      <c r="D452" s="19">
        <v>0.42222222222222222</v>
      </c>
      <c r="E452" s="24">
        <v>7</v>
      </c>
      <c r="F452" s="24">
        <v>9.7799999999999994</v>
      </c>
      <c r="G452" s="7">
        <v>110.2</v>
      </c>
      <c r="H452" s="7">
        <v>20.399999999999999</v>
      </c>
      <c r="J452" s="3"/>
      <c r="K452" s="3"/>
      <c r="L452" s="50"/>
      <c r="M452" s="7"/>
      <c r="N452" s="3"/>
      <c r="O452" s="3"/>
      <c r="P452" s="3"/>
      <c r="Q452" s="3"/>
    </row>
    <row r="453" spans="3:17" ht="15.75" customHeight="1" x14ac:dyDescent="0.2">
      <c r="C453" s="199">
        <v>40778</v>
      </c>
      <c r="D453" s="19">
        <v>0.42222222222222222</v>
      </c>
      <c r="E453" s="24">
        <v>8</v>
      </c>
      <c r="F453" s="24">
        <v>10.6</v>
      </c>
      <c r="G453" s="7">
        <v>115.5</v>
      </c>
      <c r="H453" s="7">
        <v>18.3</v>
      </c>
      <c r="I453" s="13"/>
      <c r="J453" s="3"/>
      <c r="K453" s="3"/>
      <c r="L453" s="50"/>
      <c r="M453" s="7"/>
      <c r="N453" s="3"/>
      <c r="O453" s="3"/>
      <c r="P453" s="3"/>
      <c r="Q453" s="3"/>
    </row>
    <row r="454" spans="3:17" ht="15.75" customHeight="1" x14ac:dyDescent="0.2">
      <c r="C454" s="199">
        <v>40778</v>
      </c>
      <c r="D454" s="19">
        <v>0.42222222222222222</v>
      </c>
      <c r="E454" s="24">
        <v>9</v>
      </c>
      <c r="F454" s="24">
        <v>12.89</v>
      </c>
      <c r="G454" s="7">
        <v>127</v>
      </c>
      <c r="H454" s="7">
        <v>14.9</v>
      </c>
      <c r="J454" s="3"/>
      <c r="K454" s="3"/>
      <c r="L454" s="50"/>
      <c r="M454" s="7"/>
      <c r="N454" s="3"/>
      <c r="O454" s="3"/>
      <c r="P454" s="3"/>
      <c r="Q454" s="3"/>
    </row>
    <row r="455" spans="3:17" ht="15.75" customHeight="1" x14ac:dyDescent="0.2">
      <c r="C455" s="199">
        <v>40750</v>
      </c>
      <c r="D455" s="19">
        <v>0.62847222222222221</v>
      </c>
      <c r="E455" s="24"/>
      <c r="F455" s="24"/>
      <c r="G455" s="7"/>
      <c r="H455" s="7"/>
      <c r="J455" s="3">
        <v>8</v>
      </c>
      <c r="K455" s="3">
        <v>10</v>
      </c>
      <c r="L455" s="50"/>
      <c r="M455" s="7"/>
      <c r="N455" s="3"/>
      <c r="O455" s="3"/>
      <c r="P455" s="3"/>
      <c r="Q455" s="3"/>
    </row>
    <row r="456" spans="3:17" ht="15.75" customHeight="1" x14ac:dyDescent="0.2">
      <c r="C456" s="199">
        <v>40750</v>
      </c>
      <c r="D456" s="19">
        <v>0.62847222222222221</v>
      </c>
      <c r="E456" s="24">
        <v>0.1</v>
      </c>
      <c r="F456" s="24">
        <v>10.63</v>
      </c>
      <c r="G456" s="7">
        <v>117.2</v>
      </c>
      <c r="H456" s="7">
        <v>18.8</v>
      </c>
      <c r="J456" s="3"/>
      <c r="K456" s="3"/>
      <c r="L456" s="50"/>
      <c r="M456" s="7"/>
      <c r="N456" s="3"/>
      <c r="O456" s="3"/>
      <c r="P456" s="3"/>
      <c r="Q456" s="3"/>
    </row>
    <row r="457" spans="3:17" ht="15.75" customHeight="1" x14ac:dyDescent="0.2">
      <c r="C457" s="199">
        <v>40750</v>
      </c>
      <c r="D457" s="19">
        <v>0.62847222222222221</v>
      </c>
      <c r="E457" s="24">
        <v>1</v>
      </c>
      <c r="F457" s="24">
        <v>10.53</v>
      </c>
      <c r="G457" s="7">
        <v>115</v>
      </c>
      <c r="H457" s="7">
        <v>18.7</v>
      </c>
      <c r="J457" s="3"/>
      <c r="K457" s="3"/>
      <c r="L457" s="50"/>
      <c r="M457" s="7"/>
      <c r="N457" s="3"/>
      <c r="O457" s="3"/>
      <c r="P457" s="3"/>
      <c r="Q457" s="3"/>
    </row>
    <row r="458" spans="3:17" ht="15.75" customHeight="1" x14ac:dyDescent="0.2">
      <c r="C458" s="199">
        <v>40750</v>
      </c>
      <c r="D458" s="19">
        <v>0.62847222222222221</v>
      </c>
      <c r="E458" s="24">
        <v>2</v>
      </c>
      <c r="F458" s="24">
        <v>10.4</v>
      </c>
      <c r="G458" s="7">
        <v>112.5</v>
      </c>
      <c r="H458" s="7">
        <v>18.5</v>
      </c>
      <c r="J458" s="3"/>
      <c r="K458" s="3"/>
      <c r="L458" s="50"/>
      <c r="M458" s="7"/>
      <c r="N458" s="3"/>
      <c r="O458" s="3"/>
      <c r="P458" s="3"/>
      <c r="Q458" s="3"/>
    </row>
    <row r="459" spans="3:17" ht="15.75" customHeight="1" x14ac:dyDescent="0.2">
      <c r="C459" s="199">
        <v>40750</v>
      </c>
      <c r="D459" s="19">
        <v>0.62847222222222221</v>
      </c>
      <c r="E459" s="24">
        <v>3</v>
      </c>
      <c r="F459" s="24">
        <v>10.4</v>
      </c>
      <c r="G459" s="7">
        <v>112.6</v>
      </c>
      <c r="H459" s="7">
        <v>18.5</v>
      </c>
      <c r="J459" s="3"/>
      <c r="K459" s="3"/>
      <c r="L459" s="50"/>
      <c r="M459" s="7"/>
      <c r="N459" s="3"/>
      <c r="O459" s="3"/>
      <c r="P459" s="3"/>
      <c r="Q459" s="3"/>
    </row>
    <row r="460" spans="3:17" ht="15.75" customHeight="1" x14ac:dyDescent="0.2">
      <c r="C460" s="199">
        <v>40750</v>
      </c>
      <c r="D460" s="19">
        <v>0.62847222222222221</v>
      </c>
      <c r="E460" s="24">
        <v>4</v>
      </c>
      <c r="F460" s="24">
        <v>10.36</v>
      </c>
      <c r="G460" s="7">
        <v>112.5</v>
      </c>
      <c r="H460" s="7">
        <v>18.399999999999999</v>
      </c>
      <c r="J460" s="3"/>
      <c r="K460" s="3"/>
      <c r="L460" s="50"/>
      <c r="M460" s="7"/>
      <c r="N460" s="3"/>
      <c r="O460" s="3"/>
      <c r="P460" s="3"/>
      <c r="Q460" s="3"/>
    </row>
    <row r="461" spans="3:17" ht="15.75" customHeight="1" x14ac:dyDescent="0.2">
      <c r="C461" s="199">
        <v>40750</v>
      </c>
      <c r="D461" s="19">
        <v>0.62847222222222221</v>
      </c>
      <c r="E461" s="24">
        <v>5</v>
      </c>
      <c r="F461" s="24">
        <v>10.31</v>
      </c>
      <c r="G461" s="7">
        <v>112.5</v>
      </c>
      <c r="H461" s="7">
        <v>18.399999999999999</v>
      </c>
      <c r="J461" s="3"/>
      <c r="K461" s="3"/>
      <c r="L461" s="50"/>
      <c r="M461" s="7"/>
      <c r="N461" s="3"/>
      <c r="O461" s="3"/>
      <c r="P461" s="3"/>
      <c r="Q461" s="3"/>
    </row>
    <row r="462" spans="3:17" ht="15.75" customHeight="1" x14ac:dyDescent="0.2">
      <c r="C462" s="199">
        <v>40750</v>
      </c>
      <c r="D462" s="19">
        <v>0.62847222222222221</v>
      </c>
      <c r="E462" s="24">
        <v>6</v>
      </c>
      <c r="F462" s="24">
        <v>10.3</v>
      </c>
      <c r="G462" s="7">
        <v>112.2</v>
      </c>
      <c r="H462" s="7">
        <v>18.399999999999999</v>
      </c>
      <c r="J462" s="3"/>
      <c r="K462" s="3"/>
      <c r="L462" s="50"/>
      <c r="M462" s="7"/>
      <c r="N462" s="3"/>
      <c r="O462" s="3"/>
      <c r="P462" s="3"/>
      <c r="Q462" s="3"/>
    </row>
    <row r="463" spans="3:17" ht="15.75" customHeight="1" x14ac:dyDescent="0.2">
      <c r="C463" s="199">
        <v>40750</v>
      </c>
      <c r="D463" s="19">
        <v>0.62847222222222221</v>
      </c>
      <c r="E463" s="24">
        <v>7</v>
      </c>
      <c r="F463" s="24">
        <v>10.28</v>
      </c>
      <c r="G463" s="7">
        <v>111</v>
      </c>
      <c r="H463" s="7">
        <v>17.8</v>
      </c>
      <c r="J463" s="3"/>
      <c r="K463" s="3"/>
      <c r="L463" s="50"/>
      <c r="M463" s="7"/>
      <c r="N463" s="3"/>
      <c r="O463" s="3"/>
      <c r="P463" s="3"/>
      <c r="Q463" s="3"/>
    </row>
    <row r="464" spans="3:17" ht="15.75" customHeight="1" x14ac:dyDescent="0.2">
      <c r="C464" s="199">
        <v>40750</v>
      </c>
      <c r="D464" s="19">
        <v>0.62847222222222221</v>
      </c>
      <c r="E464" s="24">
        <v>8</v>
      </c>
      <c r="F464" s="24">
        <v>10.5</v>
      </c>
      <c r="G464" s="7">
        <v>112</v>
      </c>
      <c r="H464" s="7">
        <v>17.100000000000001</v>
      </c>
      <c r="J464" s="3"/>
      <c r="K464" s="3"/>
      <c r="L464" s="50"/>
      <c r="M464" s="7"/>
      <c r="N464" s="3"/>
      <c r="O464" s="3"/>
      <c r="P464" s="3"/>
      <c r="Q464" s="3"/>
    </row>
    <row r="465" spans="3:17" ht="15.75" customHeight="1" x14ac:dyDescent="0.2">
      <c r="C465" s="199">
        <v>40750</v>
      </c>
      <c r="D465" s="19">
        <v>0.62847222222222221</v>
      </c>
      <c r="E465" s="24">
        <v>9</v>
      </c>
      <c r="F465" s="24">
        <v>10.99</v>
      </c>
      <c r="G465" s="7">
        <v>111.8</v>
      </c>
      <c r="H465" s="7">
        <v>15.7</v>
      </c>
      <c r="J465" s="3"/>
      <c r="K465" s="3"/>
      <c r="L465" s="50"/>
      <c r="M465" s="7"/>
      <c r="N465" s="3"/>
      <c r="O465" s="3"/>
      <c r="P465" s="3"/>
      <c r="Q465" s="3"/>
    </row>
    <row r="466" spans="3:17" ht="15.75" customHeight="1" x14ac:dyDescent="0.2">
      <c r="C466" s="199">
        <v>40708</v>
      </c>
      <c r="D466" s="19">
        <v>0.52777777777777779</v>
      </c>
      <c r="E466" s="24"/>
      <c r="F466" s="24"/>
      <c r="G466" s="7"/>
      <c r="H466" s="7"/>
      <c r="J466" s="3">
        <v>5.5</v>
      </c>
      <c r="K466" s="3">
        <v>7.5</v>
      </c>
      <c r="L466" s="50"/>
      <c r="M466" s="7"/>
      <c r="N466" s="3"/>
      <c r="O466" s="3"/>
      <c r="P466" s="3"/>
      <c r="Q466" s="3"/>
    </row>
    <row r="467" spans="3:17" ht="15.75" customHeight="1" x14ac:dyDescent="0.2">
      <c r="C467" s="199">
        <v>40708</v>
      </c>
      <c r="D467" s="19">
        <v>0.52777777777777779</v>
      </c>
      <c r="E467" s="24">
        <v>0.1</v>
      </c>
      <c r="F467" s="24">
        <v>11.77</v>
      </c>
      <c r="G467" s="7">
        <v>117.5</v>
      </c>
      <c r="H467" s="7">
        <v>14.2</v>
      </c>
      <c r="J467" s="3"/>
      <c r="K467" s="3"/>
      <c r="L467" s="50"/>
      <c r="M467" s="7"/>
      <c r="N467" s="3"/>
      <c r="O467" s="3"/>
      <c r="P467" s="3"/>
      <c r="Q467" s="3"/>
    </row>
    <row r="468" spans="3:17" ht="15.75" customHeight="1" x14ac:dyDescent="0.2">
      <c r="C468" s="199">
        <v>40708</v>
      </c>
      <c r="D468" s="19">
        <v>0.52777777777777779</v>
      </c>
      <c r="E468" s="24">
        <v>1</v>
      </c>
      <c r="F468" s="24">
        <v>11.67</v>
      </c>
      <c r="G468" s="7">
        <v>115.5</v>
      </c>
      <c r="H468" s="7">
        <v>14.1</v>
      </c>
      <c r="J468" s="3"/>
      <c r="K468" s="3"/>
      <c r="L468" s="50"/>
      <c r="M468" s="7"/>
      <c r="N468" s="3"/>
      <c r="O468" s="3"/>
      <c r="P468" s="3"/>
      <c r="Q468" s="3"/>
    </row>
    <row r="469" spans="3:17" ht="15.75" customHeight="1" x14ac:dyDescent="0.2">
      <c r="C469" s="199">
        <v>40708</v>
      </c>
      <c r="D469" s="19">
        <v>0.52777777777777779</v>
      </c>
      <c r="E469" s="24">
        <v>2</v>
      </c>
      <c r="F469" s="24">
        <v>11.56</v>
      </c>
      <c r="G469" s="7">
        <v>114.3</v>
      </c>
      <c r="H469" s="7">
        <v>14.1</v>
      </c>
      <c r="J469" s="3"/>
      <c r="K469" s="3"/>
      <c r="L469" s="50"/>
      <c r="M469" s="7"/>
      <c r="N469" s="3"/>
      <c r="O469" s="3"/>
      <c r="P469" s="3"/>
      <c r="Q469" s="3"/>
    </row>
    <row r="470" spans="3:17" ht="15.75" customHeight="1" x14ac:dyDescent="0.2">
      <c r="C470" s="199">
        <v>40708</v>
      </c>
      <c r="D470" s="19">
        <v>0.52777777777777779</v>
      </c>
      <c r="E470" s="24">
        <v>3</v>
      </c>
      <c r="F470" s="24">
        <v>11.54</v>
      </c>
      <c r="G470" s="7">
        <v>113.6</v>
      </c>
      <c r="H470" s="7">
        <v>14</v>
      </c>
      <c r="J470" s="3"/>
      <c r="K470" s="3"/>
      <c r="L470" s="50"/>
      <c r="M470" s="7"/>
      <c r="N470" s="3"/>
      <c r="O470" s="3"/>
      <c r="P470" s="3"/>
      <c r="Q470" s="3"/>
    </row>
    <row r="471" spans="3:17" ht="15.75" customHeight="1" x14ac:dyDescent="0.2">
      <c r="C471" s="199">
        <v>40708</v>
      </c>
      <c r="D471" s="19">
        <v>0.52777777777777779</v>
      </c>
      <c r="E471" s="24">
        <v>4</v>
      </c>
      <c r="F471" s="24">
        <v>11.5</v>
      </c>
      <c r="G471" s="7">
        <v>112.8</v>
      </c>
      <c r="H471" s="7">
        <v>14</v>
      </c>
      <c r="J471" s="3"/>
      <c r="K471" s="3"/>
      <c r="L471" s="50"/>
      <c r="M471" s="7"/>
      <c r="N471" s="3"/>
      <c r="O471" s="3"/>
      <c r="P471" s="3"/>
      <c r="Q471" s="3"/>
    </row>
    <row r="472" spans="3:17" ht="15.75" customHeight="1" x14ac:dyDescent="0.2">
      <c r="C472" s="199">
        <v>40708</v>
      </c>
      <c r="D472" s="19">
        <v>0.52777777777777779</v>
      </c>
      <c r="E472" s="24">
        <v>5</v>
      </c>
      <c r="F472" s="24">
        <v>12.08</v>
      </c>
      <c r="G472" s="7">
        <v>115</v>
      </c>
      <c r="H472" s="7">
        <v>12.7</v>
      </c>
      <c r="J472" s="3"/>
      <c r="K472" s="3"/>
      <c r="L472" s="50"/>
      <c r="M472" s="7"/>
      <c r="N472" s="3"/>
      <c r="O472" s="3"/>
      <c r="P472" s="3"/>
      <c r="Q472" s="3"/>
    </row>
    <row r="473" spans="3:17" ht="15.75" customHeight="1" x14ac:dyDescent="0.2">
      <c r="C473" s="199">
        <v>40708</v>
      </c>
      <c r="D473" s="19">
        <v>0.52777777777777779</v>
      </c>
      <c r="E473" s="24">
        <v>6</v>
      </c>
      <c r="F473" s="24">
        <v>12.1</v>
      </c>
      <c r="G473" s="7">
        <v>115</v>
      </c>
      <c r="H473" s="7">
        <v>12.4</v>
      </c>
      <c r="J473" s="3"/>
      <c r="K473" s="3"/>
      <c r="L473" s="50"/>
      <c r="M473" s="7"/>
      <c r="N473" s="3"/>
      <c r="O473" s="3"/>
      <c r="P473" s="3"/>
      <c r="Q473" s="3"/>
    </row>
    <row r="474" spans="3:17" ht="15.75" customHeight="1" x14ac:dyDescent="0.2">
      <c r="C474" s="199">
        <v>40708</v>
      </c>
      <c r="D474" s="19">
        <v>0.52777777777777779</v>
      </c>
      <c r="E474" s="24">
        <v>7</v>
      </c>
      <c r="F474" s="24">
        <v>12.2</v>
      </c>
      <c r="G474" s="7">
        <v>114.8</v>
      </c>
      <c r="H474" s="7">
        <v>12.2</v>
      </c>
      <c r="J474" s="3"/>
      <c r="K474" s="3"/>
      <c r="L474" s="50"/>
      <c r="M474" s="7"/>
      <c r="N474" s="3"/>
      <c r="O474" s="3"/>
      <c r="P474" s="3"/>
      <c r="Q474" s="3"/>
    </row>
    <row r="475" spans="3:17" ht="15.75" customHeight="1" x14ac:dyDescent="0.2">
      <c r="C475" s="199">
        <v>40708</v>
      </c>
      <c r="D475" s="19">
        <v>0.52777777777777779</v>
      </c>
      <c r="E475" s="24">
        <v>8</v>
      </c>
      <c r="F475" s="24">
        <v>12.25</v>
      </c>
      <c r="G475" s="7">
        <v>115.1</v>
      </c>
      <c r="H475" s="7">
        <v>11.7</v>
      </c>
      <c r="J475" s="3"/>
      <c r="K475" s="3"/>
      <c r="L475" s="50"/>
      <c r="M475" s="7"/>
      <c r="N475" s="3"/>
      <c r="O475" s="3"/>
      <c r="P475" s="3"/>
      <c r="Q475" s="3"/>
    </row>
    <row r="476" spans="3:17" ht="15.75" customHeight="1" x14ac:dyDescent="0.2">
      <c r="C476" s="199">
        <v>40708</v>
      </c>
      <c r="D476" s="19">
        <v>0.52777777777777779</v>
      </c>
      <c r="E476" s="24">
        <v>9</v>
      </c>
      <c r="F476" s="24">
        <v>12.9</v>
      </c>
      <c r="G476" s="7">
        <v>116.5</v>
      </c>
      <c r="H476" s="7">
        <v>10</v>
      </c>
      <c r="J476" s="3"/>
      <c r="K476" s="3"/>
      <c r="L476" s="50"/>
      <c r="M476" s="7"/>
      <c r="N476" s="3"/>
      <c r="O476" s="3"/>
      <c r="P476" s="3"/>
      <c r="Q476" s="3"/>
    </row>
    <row r="477" spans="3:17" ht="15.75" customHeight="1" x14ac:dyDescent="0.2">
      <c r="C477" s="199">
        <v>40680</v>
      </c>
      <c r="D477" s="19">
        <v>0.57986111111111105</v>
      </c>
      <c r="E477" s="24"/>
      <c r="F477" s="24"/>
      <c r="G477" s="7"/>
      <c r="H477" s="7"/>
      <c r="J477" s="3">
        <v>5</v>
      </c>
      <c r="K477" s="3">
        <v>5.25</v>
      </c>
      <c r="L477" s="50"/>
      <c r="M477" s="7"/>
      <c r="N477" s="3"/>
      <c r="O477" s="3"/>
      <c r="P477" s="3"/>
      <c r="Q477" s="3"/>
    </row>
    <row r="478" spans="3:17" ht="15.75" customHeight="1" x14ac:dyDescent="0.2">
      <c r="C478" s="199">
        <v>40680</v>
      </c>
      <c r="D478" s="19">
        <v>0.57986111111111105</v>
      </c>
      <c r="E478" s="24">
        <v>0.1</v>
      </c>
      <c r="F478" s="24"/>
      <c r="G478" s="7"/>
      <c r="H478" s="7">
        <v>9.4</v>
      </c>
      <c r="J478" s="3"/>
      <c r="K478" s="3"/>
      <c r="L478" s="50"/>
      <c r="M478" s="7"/>
      <c r="N478" s="3"/>
      <c r="O478" s="3"/>
      <c r="P478" s="3"/>
      <c r="Q478" s="3"/>
    </row>
    <row r="479" spans="3:17" ht="15.75" customHeight="1" x14ac:dyDescent="0.2">
      <c r="C479" s="199">
        <v>40680</v>
      </c>
      <c r="D479" s="19">
        <v>0.57986111111111105</v>
      </c>
      <c r="E479" s="24">
        <v>1</v>
      </c>
      <c r="F479" s="24"/>
      <c r="G479" s="7"/>
      <c r="H479" s="7">
        <v>8.6</v>
      </c>
      <c r="J479" s="3"/>
      <c r="K479" s="3"/>
      <c r="L479" s="50"/>
      <c r="M479" s="7"/>
      <c r="N479" s="3"/>
      <c r="O479" s="3"/>
      <c r="P479" s="3"/>
      <c r="Q479" s="3"/>
    </row>
    <row r="480" spans="3:17" ht="15.75" customHeight="1" x14ac:dyDescent="0.2">
      <c r="C480" s="199">
        <v>40680</v>
      </c>
      <c r="D480" s="19">
        <v>0.57986111111111105</v>
      </c>
      <c r="E480" s="24">
        <v>2</v>
      </c>
      <c r="F480" s="24"/>
      <c r="G480" s="7"/>
      <c r="H480" s="7">
        <v>7.8</v>
      </c>
      <c r="J480" s="3"/>
      <c r="K480" s="3"/>
      <c r="L480" s="50"/>
      <c r="M480" s="7"/>
      <c r="N480" s="3"/>
      <c r="O480" s="3"/>
      <c r="P480" s="3"/>
      <c r="Q480" s="3"/>
    </row>
    <row r="481" spans="3:17" ht="15.75" customHeight="1" x14ac:dyDescent="0.2">
      <c r="C481" s="199">
        <v>40680</v>
      </c>
      <c r="D481" s="19">
        <v>0.57986111111111105</v>
      </c>
      <c r="E481" s="24">
        <v>3</v>
      </c>
      <c r="F481" s="24"/>
      <c r="G481" s="7"/>
      <c r="H481" s="7">
        <v>7.5</v>
      </c>
      <c r="J481" s="3"/>
      <c r="K481" s="3"/>
      <c r="L481" s="50"/>
      <c r="M481" s="7"/>
      <c r="N481" s="3"/>
      <c r="O481" s="3"/>
      <c r="P481" s="3"/>
      <c r="Q481" s="3"/>
    </row>
    <row r="482" spans="3:17" ht="15.75" customHeight="1" x14ac:dyDescent="0.2">
      <c r="C482" s="199">
        <v>40680</v>
      </c>
      <c r="D482" s="19">
        <v>0.57986111111111105</v>
      </c>
      <c r="E482" s="24">
        <v>4</v>
      </c>
      <c r="F482" s="24"/>
      <c r="G482" s="7"/>
      <c r="H482" s="7">
        <v>7.1</v>
      </c>
      <c r="J482" s="3"/>
      <c r="K482" s="3"/>
      <c r="L482" s="50"/>
      <c r="M482" s="7"/>
      <c r="N482" s="3"/>
      <c r="O482" s="3"/>
      <c r="P482" s="3"/>
      <c r="Q482" s="3"/>
    </row>
    <row r="483" spans="3:17" ht="15.75" customHeight="1" x14ac:dyDescent="0.2">
      <c r="C483" s="199">
        <v>40680</v>
      </c>
      <c r="D483" s="19">
        <v>0.57986111111111105</v>
      </c>
      <c r="E483" s="24">
        <v>5</v>
      </c>
      <c r="F483" s="24"/>
      <c r="G483" s="7"/>
      <c r="H483" s="7">
        <v>6.6</v>
      </c>
      <c r="J483" s="3"/>
      <c r="K483" s="3"/>
      <c r="L483" s="50"/>
      <c r="M483" s="7"/>
      <c r="N483" s="3"/>
      <c r="O483" s="3"/>
      <c r="P483" s="3"/>
      <c r="Q483" s="3"/>
    </row>
    <row r="484" spans="3:17" ht="15.75" customHeight="1" x14ac:dyDescent="0.2">
      <c r="C484" s="199">
        <v>40680</v>
      </c>
      <c r="D484" s="19">
        <v>0.57986111111111105</v>
      </c>
      <c r="E484" s="24">
        <v>6</v>
      </c>
      <c r="F484" s="24"/>
      <c r="G484" s="7"/>
      <c r="H484" s="7">
        <v>6.3</v>
      </c>
      <c r="J484" s="3"/>
      <c r="K484" s="3"/>
      <c r="L484" s="50"/>
      <c r="M484" s="7"/>
      <c r="N484" s="3"/>
      <c r="O484" s="3"/>
      <c r="P484" s="3"/>
      <c r="Q484" s="3"/>
    </row>
    <row r="485" spans="3:17" ht="15.75" customHeight="1" x14ac:dyDescent="0.2">
      <c r="C485" s="199">
        <v>40680</v>
      </c>
      <c r="D485" s="19">
        <v>0.57986111111111105</v>
      </c>
      <c r="E485" s="24">
        <v>7</v>
      </c>
      <c r="F485" s="24"/>
      <c r="G485" s="7"/>
      <c r="H485" s="7">
        <v>6</v>
      </c>
      <c r="J485" s="3"/>
      <c r="K485" s="3"/>
      <c r="L485" s="50"/>
      <c r="M485" s="7"/>
      <c r="N485" s="3"/>
      <c r="O485" s="3"/>
      <c r="P485" s="3"/>
      <c r="Q485" s="3"/>
    </row>
    <row r="486" spans="3:17" ht="15.75" customHeight="1" x14ac:dyDescent="0.2">
      <c r="C486" s="199">
        <v>40680</v>
      </c>
      <c r="D486" s="19">
        <v>0.57986111111111105</v>
      </c>
      <c r="E486" s="24">
        <v>8</v>
      </c>
      <c r="F486" s="24"/>
      <c r="G486" s="7"/>
      <c r="H486" s="7">
        <v>5.8</v>
      </c>
      <c r="J486" s="3"/>
      <c r="K486" s="3"/>
      <c r="L486" s="50"/>
      <c r="M486" s="7"/>
      <c r="N486" s="3"/>
      <c r="O486" s="3"/>
      <c r="P486" s="3"/>
      <c r="Q486" s="3"/>
    </row>
    <row r="487" spans="3:17" ht="15.75" customHeight="1" x14ac:dyDescent="0.2">
      <c r="C487" s="199">
        <v>40680</v>
      </c>
      <c r="D487" s="19">
        <v>0.57986111111111105</v>
      </c>
      <c r="E487" s="24">
        <v>9</v>
      </c>
      <c r="F487" s="24"/>
      <c r="G487" s="7"/>
      <c r="H487" s="7">
        <v>5.5</v>
      </c>
      <c r="J487" s="3"/>
      <c r="K487" s="3"/>
      <c r="L487" s="50"/>
      <c r="M487" s="7"/>
      <c r="N487" s="3"/>
      <c r="O487" s="3"/>
      <c r="P487" s="3"/>
      <c r="Q487" s="3"/>
    </row>
    <row r="488" spans="3:17" ht="15.75" customHeight="1" x14ac:dyDescent="0.2">
      <c r="C488" s="199">
        <v>40484</v>
      </c>
      <c r="D488" s="19">
        <v>0.56597222222222221</v>
      </c>
      <c r="E488" s="24"/>
      <c r="F488" s="24"/>
      <c r="G488" s="7"/>
      <c r="H488" s="7"/>
      <c r="J488" s="3">
        <v>8</v>
      </c>
      <c r="K488" s="3">
        <v>9.5</v>
      </c>
      <c r="L488" s="50"/>
      <c r="M488" s="7"/>
      <c r="N488" s="3"/>
      <c r="O488" s="3"/>
      <c r="P488" s="3"/>
      <c r="Q488" s="3"/>
    </row>
    <row r="489" spans="3:17" ht="15.75" customHeight="1" x14ac:dyDescent="0.2">
      <c r="C489" s="199">
        <v>40484</v>
      </c>
      <c r="D489" s="19">
        <v>0.56597222222222221</v>
      </c>
      <c r="E489" s="24">
        <v>0.1</v>
      </c>
      <c r="F489" s="24">
        <v>8.69</v>
      </c>
      <c r="G489" s="7">
        <v>79.5</v>
      </c>
      <c r="H489" s="7">
        <v>11.1</v>
      </c>
      <c r="J489" s="3"/>
      <c r="K489" s="3"/>
      <c r="L489" s="50"/>
      <c r="M489" s="7"/>
      <c r="N489" s="3"/>
      <c r="O489" s="3"/>
      <c r="P489" s="3"/>
      <c r="Q489" s="3"/>
    </row>
    <row r="490" spans="3:17" ht="15.75" customHeight="1" x14ac:dyDescent="0.2">
      <c r="C490" s="199">
        <v>40484</v>
      </c>
      <c r="D490" s="19">
        <v>0.56597222222222221</v>
      </c>
      <c r="E490" s="24">
        <v>1</v>
      </c>
      <c r="F490" s="24">
        <v>8.5</v>
      </c>
      <c r="G490" s="7">
        <v>78.5</v>
      </c>
      <c r="H490" s="7">
        <v>11.1</v>
      </c>
      <c r="J490" s="3"/>
      <c r="K490" s="3"/>
      <c r="L490" s="50"/>
      <c r="M490" s="7"/>
      <c r="N490" s="3"/>
      <c r="O490" s="3"/>
      <c r="P490" s="3"/>
      <c r="Q490" s="3"/>
    </row>
    <row r="491" spans="3:17" ht="15.75" customHeight="1" x14ac:dyDescent="0.2">
      <c r="C491" s="199">
        <v>40484</v>
      </c>
      <c r="D491" s="19">
        <v>0.56597222222222221</v>
      </c>
      <c r="E491" s="24">
        <v>2</v>
      </c>
      <c r="F491" s="24">
        <v>8.5500000000000007</v>
      </c>
      <c r="G491" s="7">
        <v>77.8</v>
      </c>
      <c r="H491" s="7">
        <v>11.1</v>
      </c>
      <c r="J491" s="3"/>
      <c r="K491" s="3"/>
      <c r="L491" s="50"/>
      <c r="M491" s="7"/>
      <c r="N491" s="3"/>
      <c r="O491" s="3"/>
      <c r="P491" s="3"/>
      <c r="Q491" s="3"/>
    </row>
    <row r="492" spans="3:17" ht="15.75" customHeight="1" x14ac:dyDescent="0.2">
      <c r="C492" s="199">
        <v>40484</v>
      </c>
      <c r="D492" s="19">
        <v>0.56597222222222221</v>
      </c>
      <c r="E492" s="24">
        <v>3</v>
      </c>
      <c r="F492" s="24">
        <v>8.5399999999999991</v>
      </c>
      <c r="G492" s="7">
        <v>77.099999999999994</v>
      </c>
      <c r="H492" s="7">
        <v>11.1</v>
      </c>
      <c r="J492" s="3"/>
      <c r="K492" s="3"/>
      <c r="L492" s="50"/>
      <c r="M492" s="7"/>
      <c r="N492" s="3"/>
      <c r="O492" s="3"/>
      <c r="P492" s="3"/>
      <c r="Q492" s="3"/>
    </row>
    <row r="493" spans="3:17" ht="15.75" customHeight="1" x14ac:dyDescent="0.2">
      <c r="C493" s="199">
        <v>40484</v>
      </c>
      <c r="D493" s="19">
        <v>0.56597222222222221</v>
      </c>
      <c r="E493" s="24">
        <v>4</v>
      </c>
      <c r="F493" s="24">
        <v>8.5</v>
      </c>
      <c r="G493" s="7">
        <v>77.400000000000006</v>
      </c>
      <c r="H493" s="7">
        <v>11</v>
      </c>
      <c r="J493" s="3"/>
      <c r="K493" s="3"/>
      <c r="L493" s="50"/>
      <c r="M493" s="7"/>
      <c r="N493" s="3"/>
      <c r="O493" s="3"/>
      <c r="P493" s="3"/>
      <c r="Q493" s="3"/>
    </row>
    <row r="494" spans="3:17" ht="15.75" customHeight="1" x14ac:dyDescent="0.2">
      <c r="C494" s="199">
        <v>40484</v>
      </c>
      <c r="D494" s="19">
        <v>0.56597222222222221</v>
      </c>
      <c r="E494" s="24">
        <v>5</v>
      </c>
      <c r="F494" s="24">
        <v>8.5</v>
      </c>
      <c r="G494" s="7">
        <v>77.2</v>
      </c>
      <c r="H494" s="7">
        <v>11</v>
      </c>
      <c r="J494" s="3"/>
      <c r="K494" s="3"/>
      <c r="L494" s="50"/>
      <c r="M494" s="7"/>
      <c r="N494" s="3"/>
      <c r="O494" s="3"/>
      <c r="P494" s="3"/>
      <c r="Q494" s="3"/>
    </row>
    <row r="495" spans="3:17" ht="15.75" customHeight="1" x14ac:dyDescent="0.2">
      <c r="C495" s="199">
        <v>40484</v>
      </c>
      <c r="D495" s="19">
        <v>0.56597222222222221</v>
      </c>
      <c r="E495" s="24">
        <v>6</v>
      </c>
      <c r="F495" s="24">
        <v>8.5</v>
      </c>
      <c r="G495" s="7">
        <v>76.8</v>
      </c>
      <c r="H495" s="7">
        <v>11</v>
      </c>
      <c r="J495" s="3"/>
      <c r="K495" s="3"/>
      <c r="L495" s="50"/>
      <c r="M495" s="7"/>
      <c r="N495" s="3"/>
      <c r="O495" s="3"/>
      <c r="P495" s="3"/>
      <c r="Q495" s="3"/>
    </row>
    <row r="496" spans="3:17" ht="15.75" customHeight="1" x14ac:dyDescent="0.2">
      <c r="C496" s="199">
        <v>40484</v>
      </c>
      <c r="D496" s="19">
        <v>0.56597222222222221</v>
      </c>
      <c r="E496" s="24">
        <v>7</v>
      </c>
      <c r="F496" s="24">
        <v>8.5299999999999994</v>
      </c>
      <c r="G496" s="7">
        <v>77.2</v>
      </c>
      <c r="H496" s="7">
        <v>11</v>
      </c>
      <c r="J496" s="3"/>
      <c r="K496" s="3"/>
      <c r="L496" s="50"/>
      <c r="M496" s="7"/>
      <c r="N496" s="3"/>
      <c r="O496" s="3"/>
      <c r="P496" s="3"/>
      <c r="Q496" s="3"/>
    </row>
    <row r="497" spans="3:17" ht="15.75" customHeight="1" x14ac:dyDescent="0.2">
      <c r="C497" s="199">
        <v>40484</v>
      </c>
      <c r="D497" s="19">
        <v>0.56597222222222221</v>
      </c>
      <c r="E497" s="24">
        <v>8</v>
      </c>
      <c r="F497" s="24">
        <v>8.49</v>
      </c>
      <c r="G497" s="7">
        <v>77.3</v>
      </c>
      <c r="H497" s="7">
        <v>10.9</v>
      </c>
      <c r="J497" s="3"/>
      <c r="K497" s="3"/>
      <c r="L497" s="50"/>
      <c r="M497" s="7"/>
      <c r="N497" s="3"/>
      <c r="O497" s="3"/>
      <c r="P497" s="3"/>
      <c r="Q497" s="3"/>
    </row>
    <row r="498" spans="3:17" ht="15.75" customHeight="1" x14ac:dyDescent="0.2">
      <c r="C498" s="199">
        <v>40484</v>
      </c>
      <c r="D498" s="19">
        <v>0.56597222222222221</v>
      </c>
      <c r="E498" s="24">
        <v>9</v>
      </c>
      <c r="F498" s="24">
        <v>8.48</v>
      </c>
      <c r="G498" s="7">
        <v>77.099999999999994</v>
      </c>
      <c r="H498" s="7">
        <v>10.8</v>
      </c>
      <c r="J498" s="3"/>
      <c r="K498" s="3"/>
      <c r="L498" s="50"/>
      <c r="M498" s="7"/>
      <c r="N498" s="3"/>
      <c r="O498" s="3"/>
      <c r="P498" s="3"/>
      <c r="Q498" s="3"/>
    </row>
    <row r="499" spans="3:17" ht="15.75" customHeight="1" x14ac:dyDescent="0.2">
      <c r="C499" s="199">
        <v>40484</v>
      </c>
      <c r="D499" s="19">
        <v>0.56597222222222221</v>
      </c>
      <c r="E499" s="24">
        <v>10</v>
      </c>
      <c r="F499" s="24">
        <v>8.48</v>
      </c>
      <c r="G499" s="7">
        <v>77.2</v>
      </c>
      <c r="H499" s="7">
        <v>10.9</v>
      </c>
      <c r="J499" s="3"/>
      <c r="K499" s="3"/>
      <c r="L499" s="50"/>
      <c r="M499" s="7"/>
      <c r="N499" s="3"/>
      <c r="O499" s="3"/>
      <c r="P499" s="3"/>
      <c r="Q499" s="3"/>
    </row>
    <row r="500" spans="3:17" ht="15.75" customHeight="1" x14ac:dyDescent="0.2">
      <c r="C500" s="199">
        <v>40449</v>
      </c>
      <c r="D500" s="19">
        <v>0.61458333333333337</v>
      </c>
      <c r="E500" s="24"/>
      <c r="F500" s="24"/>
      <c r="G500" s="7"/>
      <c r="H500" s="7"/>
      <c r="J500" s="3">
        <v>8.5</v>
      </c>
      <c r="K500" s="3">
        <v>10</v>
      </c>
      <c r="L500" s="50"/>
      <c r="M500" s="7"/>
      <c r="N500" s="3"/>
      <c r="O500" s="3"/>
      <c r="P500" s="3"/>
      <c r="Q500" s="3"/>
    </row>
    <row r="501" spans="3:17" ht="15.75" customHeight="1" x14ac:dyDescent="0.2">
      <c r="C501" s="199">
        <v>40449</v>
      </c>
      <c r="D501" s="19">
        <v>0.61458333333333337</v>
      </c>
      <c r="E501" s="24">
        <v>0.1</v>
      </c>
      <c r="F501" s="24">
        <v>8.5</v>
      </c>
      <c r="G501" s="7">
        <v>88.9</v>
      </c>
      <c r="H501" s="7">
        <v>17.600000000000001</v>
      </c>
      <c r="J501" s="3"/>
      <c r="K501" s="3"/>
      <c r="L501" s="50"/>
      <c r="M501" s="7"/>
      <c r="N501" s="3"/>
      <c r="O501" s="3"/>
      <c r="P501" s="3"/>
      <c r="Q501" s="3"/>
    </row>
    <row r="502" spans="3:17" ht="15.75" customHeight="1" x14ac:dyDescent="0.2">
      <c r="C502" s="199">
        <v>40449</v>
      </c>
      <c r="D502" s="19">
        <v>0.61458333333333337</v>
      </c>
      <c r="E502" s="24">
        <v>1</v>
      </c>
      <c r="F502" s="24">
        <v>8.58</v>
      </c>
      <c r="G502" s="7">
        <v>88</v>
      </c>
      <c r="H502" s="7">
        <v>17.100000000000001</v>
      </c>
      <c r="J502" s="3"/>
      <c r="K502" s="3"/>
      <c r="L502" s="50"/>
      <c r="M502" s="7"/>
      <c r="N502" s="3"/>
      <c r="O502" s="3"/>
      <c r="P502" s="3"/>
      <c r="Q502" s="3"/>
    </row>
    <row r="503" spans="3:17" ht="15.75" customHeight="1" x14ac:dyDescent="0.2">
      <c r="C503" s="199">
        <v>40449</v>
      </c>
      <c r="D503" s="19">
        <v>0.61458333333333337</v>
      </c>
      <c r="E503" s="24">
        <v>2</v>
      </c>
      <c r="F503" s="24">
        <v>8.58</v>
      </c>
      <c r="G503" s="7">
        <v>87.3</v>
      </c>
      <c r="H503" s="7">
        <v>16.5</v>
      </c>
      <c r="J503" s="3"/>
      <c r="K503" s="3"/>
      <c r="L503" s="50"/>
      <c r="M503" s="7"/>
      <c r="N503" s="3"/>
      <c r="O503" s="3"/>
      <c r="P503" s="3"/>
      <c r="Q503" s="3"/>
    </row>
    <row r="504" spans="3:17" ht="15.75" customHeight="1" x14ac:dyDescent="0.2">
      <c r="C504" s="199">
        <v>40449</v>
      </c>
      <c r="D504" s="19">
        <v>0.61458333333333337</v>
      </c>
      <c r="E504" s="24">
        <v>3</v>
      </c>
      <c r="F504" s="24">
        <v>8.61</v>
      </c>
      <c r="G504" s="7">
        <v>86.5</v>
      </c>
      <c r="H504" s="7">
        <v>16</v>
      </c>
      <c r="J504" s="3"/>
      <c r="K504" s="3"/>
      <c r="L504" s="50"/>
      <c r="M504" s="7"/>
      <c r="N504" s="3"/>
      <c r="O504" s="3"/>
      <c r="P504" s="3"/>
      <c r="Q504" s="3"/>
    </row>
    <row r="505" spans="3:17" ht="15.75" customHeight="1" x14ac:dyDescent="0.2">
      <c r="C505" s="199">
        <v>40449</v>
      </c>
      <c r="D505" s="19">
        <v>0.61458333333333337</v>
      </c>
      <c r="E505" s="24">
        <v>4</v>
      </c>
      <c r="F505" s="24">
        <v>8.51</v>
      </c>
      <c r="G505" s="7">
        <v>86</v>
      </c>
      <c r="H505" s="7">
        <v>15.9</v>
      </c>
      <c r="J505" s="3"/>
      <c r="K505" s="3"/>
      <c r="L505" s="50"/>
      <c r="M505" s="7"/>
      <c r="N505" s="3"/>
      <c r="O505" s="3"/>
      <c r="P505" s="3"/>
      <c r="Q505" s="3"/>
    </row>
    <row r="506" spans="3:17" ht="15.75" customHeight="1" x14ac:dyDescent="0.2">
      <c r="C506" s="199">
        <v>40449</v>
      </c>
      <c r="D506" s="19">
        <v>0.61458333333333337</v>
      </c>
      <c r="E506" s="24">
        <v>5</v>
      </c>
      <c r="F506" s="24">
        <v>8.5</v>
      </c>
      <c r="G506" s="7">
        <v>85.2</v>
      </c>
      <c r="H506" s="7">
        <v>15.8</v>
      </c>
      <c r="J506" s="3"/>
      <c r="K506" s="3"/>
      <c r="L506" s="50"/>
      <c r="M506" s="7"/>
      <c r="N506" s="3"/>
      <c r="O506" s="3"/>
      <c r="P506" s="3"/>
      <c r="Q506" s="3"/>
    </row>
    <row r="507" spans="3:17" ht="15.75" customHeight="1" x14ac:dyDescent="0.2">
      <c r="C507" s="199">
        <v>40449</v>
      </c>
      <c r="D507" s="19">
        <v>0.61458333333333337</v>
      </c>
      <c r="E507" s="24">
        <v>6</v>
      </c>
      <c r="F507" s="24">
        <v>8.39</v>
      </c>
      <c r="G507" s="7">
        <v>84.4</v>
      </c>
      <c r="H507" s="7">
        <v>15.7</v>
      </c>
      <c r="J507" s="3"/>
      <c r="K507" s="3"/>
      <c r="L507" s="50"/>
      <c r="M507" s="7"/>
      <c r="N507" s="3"/>
      <c r="O507" s="3"/>
      <c r="P507" s="3"/>
      <c r="Q507" s="3"/>
    </row>
    <row r="508" spans="3:17" ht="15.75" customHeight="1" x14ac:dyDescent="0.2">
      <c r="C508" s="199">
        <v>40449</v>
      </c>
      <c r="D508" s="19">
        <v>0.61458333333333337</v>
      </c>
      <c r="E508" s="24">
        <v>7</v>
      </c>
      <c r="F508" s="24">
        <v>8.41</v>
      </c>
      <c r="G508" s="7">
        <v>84.2</v>
      </c>
      <c r="H508" s="7">
        <v>15.7</v>
      </c>
      <c r="J508" s="3"/>
      <c r="K508" s="3"/>
      <c r="L508" s="50"/>
      <c r="M508" s="7"/>
      <c r="N508" s="3"/>
      <c r="O508" s="3"/>
      <c r="P508" s="3"/>
      <c r="Q508" s="3"/>
    </row>
    <row r="509" spans="3:17" ht="15.75" customHeight="1" x14ac:dyDescent="0.2">
      <c r="C509" s="199">
        <v>40449</v>
      </c>
      <c r="D509" s="19">
        <v>0.61458333333333337</v>
      </c>
      <c r="E509" s="24">
        <v>8</v>
      </c>
      <c r="F509" s="24">
        <v>8.3800000000000008</v>
      </c>
      <c r="G509" s="7">
        <v>84.1</v>
      </c>
      <c r="H509" s="7">
        <v>15.7</v>
      </c>
      <c r="J509" s="3"/>
      <c r="K509" s="3"/>
      <c r="L509" s="50"/>
      <c r="M509" s="7"/>
      <c r="N509" s="3"/>
      <c r="O509" s="3"/>
      <c r="P509" s="3"/>
      <c r="Q509" s="3"/>
    </row>
    <row r="510" spans="3:17" ht="15.75" customHeight="1" x14ac:dyDescent="0.2">
      <c r="C510" s="199">
        <v>40449</v>
      </c>
      <c r="D510" s="19">
        <v>0.61458333333333337</v>
      </c>
      <c r="E510" s="24">
        <v>9</v>
      </c>
      <c r="F510" s="24">
        <v>8.42</v>
      </c>
      <c r="G510" s="7">
        <v>83.8</v>
      </c>
      <c r="H510" s="7">
        <v>15.7</v>
      </c>
      <c r="J510" s="3"/>
      <c r="K510" s="3"/>
      <c r="L510" s="50"/>
      <c r="M510" s="7"/>
      <c r="N510" s="3"/>
      <c r="O510" s="3"/>
      <c r="P510" s="3"/>
      <c r="Q510" s="3"/>
    </row>
    <row r="511" spans="3:17" ht="15.75" customHeight="1" x14ac:dyDescent="0.2">
      <c r="C511" s="199">
        <v>40449</v>
      </c>
      <c r="D511" s="19">
        <v>0.61458333333333337</v>
      </c>
      <c r="E511" s="24">
        <v>10</v>
      </c>
      <c r="F511" s="24">
        <v>8.15</v>
      </c>
      <c r="G511" s="7">
        <v>76.5</v>
      </c>
      <c r="H511" s="7">
        <v>15.6</v>
      </c>
      <c r="J511" s="3"/>
      <c r="K511" s="3"/>
      <c r="L511" s="50"/>
      <c r="M511" s="7"/>
      <c r="N511" s="3"/>
      <c r="O511" s="3"/>
      <c r="P511" s="3"/>
      <c r="Q511" s="3"/>
    </row>
    <row r="512" spans="3:17" ht="15.75" customHeight="1" x14ac:dyDescent="0.2">
      <c r="C512" s="199">
        <v>40420</v>
      </c>
      <c r="D512" s="19">
        <v>0.59722222222222221</v>
      </c>
      <c r="E512" s="24"/>
      <c r="F512" s="24"/>
      <c r="G512" s="7"/>
      <c r="H512" s="7"/>
      <c r="J512" s="3">
        <v>10.5</v>
      </c>
      <c r="K512" s="3">
        <v>11</v>
      </c>
      <c r="L512" s="50"/>
      <c r="M512" s="7"/>
      <c r="N512" s="3"/>
      <c r="O512" s="3"/>
      <c r="P512" s="3"/>
      <c r="Q512" s="3"/>
    </row>
    <row r="513" spans="3:17" ht="15.75" customHeight="1" x14ac:dyDescent="0.2">
      <c r="C513" s="199">
        <v>40420</v>
      </c>
      <c r="D513" s="19">
        <v>0.59722222222222221</v>
      </c>
      <c r="E513" s="24">
        <v>0.1</v>
      </c>
      <c r="F513" s="24">
        <v>7.63</v>
      </c>
      <c r="G513" s="7">
        <v>84</v>
      </c>
      <c r="H513" s="7">
        <v>19.100000000000001</v>
      </c>
      <c r="J513" s="3"/>
      <c r="K513" s="3"/>
    </row>
    <row r="514" spans="3:17" ht="15.75" customHeight="1" x14ac:dyDescent="0.2">
      <c r="C514" s="199">
        <v>40420</v>
      </c>
      <c r="D514" s="19">
        <v>0.59722222222222221</v>
      </c>
      <c r="E514" s="24">
        <v>1</v>
      </c>
      <c r="F514" s="24">
        <v>7.73</v>
      </c>
      <c r="G514" s="7">
        <v>82.5</v>
      </c>
      <c r="H514" s="7">
        <v>19.100000000000001</v>
      </c>
      <c r="J514" s="3"/>
      <c r="K514" s="3"/>
    </row>
    <row r="515" spans="3:17" ht="15.75" customHeight="1" x14ac:dyDescent="0.2">
      <c r="C515" s="199">
        <v>40420</v>
      </c>
      <c r="D515" s="19">
        <v>0.59722222222222221</v>
      </c>
      <c r="E515" s="24">
        <v>2</v>
      </c>
      <c r="F515" s="24">
        <v>7.65</v>
      </c>
      <c r="G515" s="7">
        <v>82.8</v>
      </c>
      <c r="H515" s="7">
        <v>19.100000000000001</v>
      </c>
      <c r="J515" s="3"/>
      <c r="K515" s="3"/>
      <c r="L515" s="50"/>
      <c r="M515" s="7"/>
      <c r="N515" s="3"/>
      <c r="O515" s="3"/>
      <c r="P515" s="3"/>
      <c r="Q515" s="3"/>
    </row>
    <row r="516" spans="3:17" ht="15.75" customHeight="1" x14ac:dyDescent="0.2">
      <c r="C516" s="199">
        <v>40420</v>
      </c>
      <c r="D516" s="19">
        <v>0.59722222222222221</v>
      </c>
      <c r="E516" s="24">
        <v>3</v>
      </c>
      <c r="F516" s="24">
        <v>7.59</v>
      </c>
      <c r="G516" s="7">
        <v>82.7</v>
      </c>
      <c r="H516" s="7">
        <v>19</v>
      </c>
      <c r="J516" s="3"/>
      <c r="K516" s="3"/>
      <c r="L516" s="50"/>
      <c r="M516" s="7"/>
      <c r="N516" s="3"/>
      <c r="O516" s="3"/>
      <c r="P516" s="3"/>
      <c r="Q516" s="3"/>
    </row>
    <row r="517" spans="3:17" ht="15.75" customHeight="1" x14ac:dyDescent="0.2">
      <c r="C517" s="199">
        <v>40420</v>
      </c>
      <c r="D517" s="19">
        <v>0.59722222222222221</v>
      </c>
      <c r="E517" s="24">
        <v>4</v>
      </c>
      <c r="F517" s="24">
        <v>7.52</v>
      </c>
      <c r="G517" s="7">
        <v>82.7</v>
      </c>
      <c r="H517" s="7">
        <v>19</v>
      </c>
      <c r="J517" s="3"/>
      <c r="K517" s="3"/>
      <c r="L517" s="50"/>
      <c r="M517" s="7"/>
      <c r="N517" s="3"/>
      <c r="O517" s="3"/>
      <c r="P517" s="3"/>
      <c r="Q517" s="3"/>
    </row>
    <row r="518" spans="3:17" ht="15.75" customHeight="1" x14ac:dyDescent="0.2">
      <c r="C518" s="199">
        <v>40420</v>
      </c>
      <c r="D518" s="19">
        <v>0.59722222222222221</v>
      </c>
      <c r="E518" s="24">
        <v>5</v>
      </c>
      <c r="F518" s="24">
        <v>7.62</v>
      </c>
      <c r="G518" s="7">
        <v>82.6</v>
      </c>
      <c r="H518" s="7">
        <v>19</v>
      </c>
      <c r="J518" s="3"/>
      <c r="K518" s="3"/>
      <c r="L518" s="50"/>
      <c r="M518" s="7"/>
      <c r="N518" s="3"/>
      <c r="O518" s="3"/>
      <c r="P518" s="3"/>
      <c r="Q518" s="3"/>
    </row>
    <row r="519" spans="3:17" ht="15.75" customHeight="1" x14ac:dyDescent="0.2">
      <c r="C519" s="199">
        <v>40420</v>
      </c>
      <c r="D519" s="19">
        <v>0.59722222222222221</v>
      </c>
      <c r="E519" s="24">
        <v>6</v>
      </c>
      <c r="F519" s="24">
        <v>7.61</v>
      </c>
      <c r="G519" s="7">
        <v>83.1</v>
      </c>
      <c r="H519" s="7">
        <v>19</v>
      </c>
      <c r="J519" s="3"/>
      <c r="K519" s="3"/>
      <c r="L519" s="50"/>
      <c r="M519" s="7"/>
      <c r="N519" s="3"/>
      <c r="O519" s="3"/>
      <c r="P519" s="3"/>
      <c r="Q519" s="3"/>
    </row>
    <row r="520" spans="3:17" ht="15.75" customHeight="1" x14ac:dyDescent="0.2">
      <c r="C520" s="199">
        <v>40420</v>
      </c>
      <c r="D520" s="19">
        <v>0.59722222222222221</v>
      </c>
      <c r="E520" s="24">
        <v>7</v>
      </c>
      <c r="F520" s="24">
        <v>7.63</v>
      </c>
      <c r="G520" s="7">
        <v>83</v>
      </c>
      <c r="H520" s="7">
        <v>19</v>
      </c>
      <c r="J520" s="3"/>
      <c r="K520" s="3"/>
      <c r="L520" s="50"/>
      <c r="M520" s="7"/>
      <c r="N520" s="3"/>
      <c r="O520" s="3"/>
      <c r="P520" s="3"/>
      <c r="Q520" s="3"/>
    </row>
    <row r="521" spans="3:17" ht="15.75" customHeight="1" x14ac:dyDescent="0.2">
      <c r="C521" s="199">
        <v>40420</v>
      </c>
      <c r="D521" s="19">
        <v>0.59722222222222221</v>
      </c>
      <c r="E521" s="24">
        <v>8</v>
      </c>
      <c r="F521" s="24">
        <v>7.5</v>
      </c>
      <c r="G521" s="7">
        <v>83</v>
      </c>
      <c r="H521" s="7">
        <v>19</v>
      </c>
      <c r="J521" s="3"/>
      <c r="K521" s="3"/>
      <c r="L521" s="50"/>
      <c r="M521" s="7"/>
      <c r="N521" s="3"/>
      <c r="O521" s="3"/>
      <c r="P521" s="3"/>
      <c r="Q521" s="3"/>
    </row>
    <row r="522" spans="3:17" ht="15.75" customHeight="1" x14ac:dyDescent="0.2">
      <c r="C522" s="199">
        <v>40420</v>
      </c>
      <c r="D522" s="19">
        <v>0.59722222222222221</v>
      </c>
      <c r="E522" s="24">
        <v>9</v>
      </c>
      <c r="F522" s="24">
        <v>7.29</v>
      </c>
      <c r="G522" s="7">
        <v>81.599999999999994</v>
      </c>
      <c r="H522" s="7">
        <v>19</v>
      </c>
      <c r="J522" s="3"/>
      <c r="K522" s="3"/>
      <c r="L522" s="50"/>
      <c r="M522" s="7"/>
      <c r="N522" s="3"/>
      <c r="O522" s="3"/>
      <c r="P522" s="3"/>
      <c r="Q522" s="3"/>
    </row>
    <row r="523" spans="3:17" ht="15.75" customHeight="1" x14ac:dyDescent="0.2">
      <c r="C523" s="199">
        <v>40420</v>
      </c>
      <c r="D523" s="19">
        <v>0.59722222222222221</v>
      </c>
      <c r="E523" s="24">
        <v>10</v>
      </c>
      <c r="F523" s="24">
        <v>7.32</v>
      </c>
      <c r="G523" s="7">
        <v>81.099999999999994</v>
      </c>
      <c r="H523" s="7">
        <v>19</v>
      </c>
      <c r="J523" s="3"/>
      <c r="K523" s="3"/>
      <c r="L523" s="50"/>
      <c r="M523" s="7"/>
      <c r="N523" s="3"/>
      <c r="O523" s="3"/>
      <c r="P523" s="3"/>
      <c r="Q523" s="3"/>
    </row>
    <row r="524" spans="3:17" ht="15.75" customHeight="1" x14ac:dyDescent="0.2">
      <c r="C524" s="199">
        <v>40420</v>
      </c>
      <c r="D524" s="19">
        <v>0.59722222222222221</v>
      </c>
      <c r="E524" s="24">
        <v>11</v>
      </c>
      <c r="F524" s="24">
        <v>7.15</v>
      </c>
      <c r="G524" s="7">
        <v>77.900000000000006</v>
      </c>
      <c r="H524" s="7">
        <v>19</v>
      </c>
      <c r="J524" s="3"/>
      <c r="K524" s="3"/>
      <c r="L524" s="50"/>
      <c r="M524" s="7"/>
      <c r="N524" s="3"/>
      <c r="O524" s="3"/>
      <c r="P524" s="3"/>
      <c r="Q524" s="3"/>
    </row>
    <row r="525" spans="3:17" ht="15.75" customHeight="1" x14ac:dyDescent="0.2">
      <c r="C525" s="199">
        <v>40387</v>
      </c>
      <c r="D525" s="19">
        <v>0.52986111111111112</v>
      </c>
      <c r="E525" s="24"/>
      <c r="F525" s="24"/>
      <c r="G525" s="7"/>
      <c r="H525" s="7"/>
      <c r="J525" s="3">
        <v>10</v>
      </c>
      <c r="K525" s="3">
        <v>11.5</v>
      </c>
      <c r="L525" s="50"/>
      <c r="M525" s="7"/>
      <c r="N525" s="3"/>
      <c r="O525" s="3"/>
      <c r="P525" s="3"/>
      <c r="Q525" s="3"/>
    </row>
    <row r="526" spans="3:17" ht="15.75" customHeight="1" x14ac:dyDescent="0.2">
      <c r="C526" s="199">
        <v>40387</v>
      </c>
      <c r="D526" s="19">
        <v>0.53125</v>
      </c>
      <c r="E526" s="24">
        <v>0.1</v>
      </c>
      <c r="F526" s="24">
        <v>7.56</v>
      </c>
      <c r="G526" s="7">
        <v>85</v>
      </c>
      <c r="H526" s="7">
        <v>22.5</v>
      </c>
      <c r="J526" s="3"/>
      <c r="K526" s="3"/>
      <c r="L526" s="50"/>
      <c r="M526" s="7"/>
      <c r="N526" s="3"/>
      <c r="O526" s="3"/>
      <c r="P526" s="3"/>
      <c r="Q526" s="3"/>
    </row>
    <row r="527" spans="3:17" ht="15.75" customHeight="1" x14ac:dyDescent="0.2">
      <c r="C527" s="199">
        <v>40387</v>
      </c>
      <c r="D527" s="19">
        <v>0.53125</v>
      </c>
      <c r="E527" s="24">
        <v>1</v>
      </c>
      <c r="F527" s="24">
        <v>7.58</v>
      </c>
      <c r="G527" s="7">
        <v>83.7</v>
      </c>
      <c r="H527" s="7">
        <v>22.2</v>
      </c>
      <c r="J527" s="3"/>
      <c r="K527" s="3"/>
      <c r="L527" s="50"/>
      <c r="M527" s="7"/>
      <c r="N527" s="3"/>
      <c r="O527" s="3"/>
      <c r="P527" s="3"/>
      <c r="Q527" s="3"/>
    </row>
    <row r="528" spans="3:17" ht="15.75" customHeight="1" x14ac:dyDescent="0.2">
      <c r="C528" s="199">
        <v>40387</v>
      </c>
      <c r="D528" s="19">
        <v>0.53125</v>
      </c>
      <c r="E528" s="24">
        <v>2</v>
      </c>
      <c r="F528" s="24">
        <v>7.57</v>
      </c>
      <c r="G528" s="7">
        <v>84</v>
      </c>
      <c r="H528" s="7">
        <v>22</v>
      </c>
      <c r="J528" s="3"/>
      <c r="K528" s="3"/>
      <c r="L528" s="50"/>
      <c r="M528" s="7"/>
      <c r="N528" s="3"/>
      <c r="O528" s="3"/>
      <c r="P528" s="3"/>
      <c r="Q528" s="3"/>
    </row>
    <row r="529" spans="3:17" ht="15.75" customHeight="1" x14ac:dyDescent="0.2">
      <c r="C529" s="199">
        <v>40387</v>
      </c>
      <c r="D529" s="19">
        <v>0.53125</v>
      </c>
      <c r="E529" s="24">
        <v>3</v>
      </c>
      <c r="F529" s="24">
        <v>7.35</v>
      </c>
      <c r="G529" s="7">
        <v>83.4</v>
      </c>
      <c r="H529" s="7">
        <v>21.4</v>
      </c>
      <c r="J529" s="3"/>
      <c r="K529" s="3"/>
      <c r="L529" s="50"/>
      <c r="M529" s="7"/>
      <c r="N529" s="3"/>
      <c r="O529" s="3"/>
      <c r="P529" s="3"/>
      <c r="Q529" s="3"/>
    </row>
    <row r="530" spans="3:17" ht="15.75" customHeight="1" x14ac:dyDescent="0.2">
      <c r="C530" s="199">
        <v>40387</v>
      </c>
      <c r="D530" s="19">
        <v>0.53125</v>
      </c>
      <c r="E530" s="24">
        <v>4</v>
      </c>
      <c r="F530" s="24">
        <v>7.45</v>
      </c>
      <c r="G530" s="7">
        <v>82</v>
      </c>
      <c r="H530" s="7">
        <v>21.2</v>
      </c>
      <c r="J530" s="3"/>
      <c r="K530" s="3"/>
      <c r="L530" s="50"/>
      <c r="M530" s="7"/>
      <c r="N530" s="3"/>
      <c r="O530" s="3"/>
      <c r="P530" s="3"/>
      <c r="Q530" s="3"/>
    </row>
    <row r="531" spans="3:17" ht="15.75" customHeight="1" x14ac:dyDescent="0.2">
      <c r="C531" s="199">
        <v>40387</v>
      </c>
      <c r="D531" s="19">
        <v>0.53125</v>
      </c>
      <c r="E531" s="24">
        <v>5</v>
      </c>
      <c r="F531" s="24">
        <v>7.78</v>
      </c>
      <c r="G531" s="7">
        <v>85.5</v>
      </c>
      <c r="H531" s="7">
        <v>20.9</v>
      </c>
      <c r="J531" s="3"/>
      <c r="K531" s="3"/>
      <c r="L531" s="50"/>
      <c r="M531" s="7"/>
      <c r="N531" s="3"/>
      <c r="O531" s="3"/>
      <c r="P531" s="3"/>
      <c r="Q531" s="3"/>
    </row>
    <row r="532" spans="3:17" ht="15.75" customHeight="1" x14ac:dyDescent="0.2">
      <c r="C532" s="199">
        <v>40387</v>
      </c>
      <c r="D532" s="19">
        <v>0.53125</v>
      </c>
      <c r="E532" s="24">
        <v>6</v>
      </c>
      <c r="F532" s="24">
        <v>7.88</v>
      </c>
      <c r="G532" s="7">
        <v>86.7</v>
      </c>
      <c r="H532" s="7">
        <v>20.6</v>
      </c>
      <c r="J532" s="3"/>
      <c r="K532" s="3"/>
      <c r="L532" s="50"/>
      <c r="M532" s="7"/>
      <c r="N532" s="3"/>
      <c r="O532" s="3"/>
      <c r="P532" s="3"/>
      <c r="Q532" s="3"/>
    </row>
    <row r="533" spans="3:17" ht="15.75" customHeight="1" x14ac:dyDescent="0.2">
      <c r="C533" s="199">
        <v>40387</v>
      </c>
      <c r="D533" s="19">
        <v>0.53125</v>
      </c>
      <c r="E533" s="24">
        <v>7</v>
      </c>
      <c r="F533" s="24">
        <v>8.06</v>
      </c>
      <c r="G533" s="7">
        <v>86</v>
      </c>
      <c r="H533" s="7">
        <v>19.899999999999999</v>
      </c>
      <c r="J533" s="3"/>
      <c r="K533" s="3"/>
      <c r="L533" s="50"/>
      <c r="M533" s="7"/>
      <c r="N533" s="3"/>
      <c r="O533" s="3"/>
      <c r="P533" s="3"/>
      <c r="Q533" s="3"/>
    </row>
    <row r="534" spans="3:17" ht="15.75" customHeight="1" x14ac:dyDescent="0.2">
      <c r="C534" s="199">
        <v>40387</v>
      </c>
      <c r="D534" s="19">
        <v>0.53125</v>
      </c>
      <c r="E534" s="24">
        <v>8</v>
      </c>
      <c r="F534" s="24">
        <v>8.4</v>
      </c>
      <c r="G534" s="7">
        <v>88.5</v>
      </c>
      <c r="H534" s="7">
        <v>19</v>
      </c>
      <c r="J534" s="3"/>
      <c r="K534" s="3"/>
      <c r="L534" s="50"/>
      <c r="M534" s="7"/>
      <c r="N534" s="3"/>
      <c r="O534" s="3"/>
      <c r="P534" s="3"/>
      <c r="Q534" s="3"/>
    </row>
    <row r="535" spans="3:17" ht="15.75" customHeight="1" x14ac:dyDescent="0.2">
      <c r="C535" s="199">
        <v>40387</v>
      </c>
      <c r="D535" s="19">
        <v>0.53125</v>
      </c>
      <c r="E535" s="24">
        <v>9</v>
      </c>
      <c r="F535" s="24">
        <v>8.83</v>
      </c>
      <c r="G535" s="7">
        <v>91.2</v>
      </c>
      <c r="H535" s="7">
        <v>17.7</v>
      </c>
      <c r="J535" s="3"/>
      <c r="K535" s="3"/>
      <c r="L535" s="50"/>
      <c r="M535" s="7"/>
      <c r="N535" s="3"/>
      <c r="O535" s="3"/>
      <c r="P535" s="3"/>
      <c r="Q535" s="3"/>
    </row>
    <row r="536" spans="3:17" ht="15.75" customHeight="1" x14ac:dyDescent="0.2">
      <c r="C536" s="199">
        <v>40387</v>
      </c>
      <c r="D536" s="19">
        <v>0.53125</v>
      </c>
      <c r="E536" s="24">
        <v>10</v>
      </c>
      <c r="F536" s="24">
        <v>9.1999999999999993</v>
      </c>
      <c r="G536" s="7">
        <v>90</v>
      </c>
      <c r="H536" s="7">
        <v>17</v>
      </c>
      <c r="J536" s="3"/>
      <c r="K536" s="3"/>
      <c r="L536" s="50"/>
      <c r="M536" s="7"/>
      <c r="N536" s="3"/>
      <c r="O536" s="3"/>
      <c r="P536" s="3"/>
      <c r="Q536" s="3"/>
    </row>
    <row r="537" spans="3:17" ht="15.75" customHeight="1" x14ac:dyDescent="0.2">
      <c r="C537" s="199">
        <v>40346</v>
      </c>
      <c r="D537" s="19">
        <v>0.56944444444444442</v>
      </c>
      <c r="E537" s="24"/>
      <c r="F537" s="24"/>
      <c r="G537" s="7"/>
      <c r="H537" s="7"/>
      <c r="J537" s="3">
        <v>7.5</v>
      </c>
      <c r="K537" s="3">
        <v>8</v>
      </c>
      <c r="L537" s="50"/>
      <c r="M537" s="7"/>
      <c r="N537" s="3"/>
      <c r="O537" s="3"/>
      <c r="P537" s="3"/>
      <c r="Q537" s="3"/>
    </row>
    <row r="538" spans="3:17" ht="15.75" customHeight="1" x14ac:dyDescent="0.2">
      <c r="C538" s="199">
        <v>40346</v>
      </c>
      <c r="D538" s="19">
        <v>0.57638888888888895</v>
      </c>
      <c r="E538" s="24">
        <v>0.1</v>
      </c>
      <c r="F538" s="24">
        <v>8.99</v>
      </c>
      <c r="G538" s="7">
        <v>85.7</v>
      </c>
      <c r="H538" s="7">
        <v>13.3</v>
      </c>
      <c r="J538" s="3"/>
      <c r="K538" s="3"/>
      <c r="L538" s="50"/>
      <c r="M538" s="7"/>
      <c r="N538" s="3"/>
      <c r="O538" s="3"/>
      <c r="P538" s="3"/>
      <c r="Q538" s="3"/>
    </row>
    <row r="539" spans="3:17" ht="15.75" customHeight="1" x14ac:dyDescent="0.2">
      <c r="C539" s="199">
        <v>40346</v>
      </c>
      <c r="D539" s="19">
        <v>0.57638888888888895</v>
      </c>
      <c r="E539" s="24">
        <v>1</v>
      </c>
      <c r="F539" s="24">
        <v>8.99</v>
      </c>
      <c r="G539" s="7">
        <v>84.8</v>
      </c>
      <c r="H539" s="7">
        <v>13.4</v>
      </c>
      <c r="J539" s="3"/>
      <c r="K539" s="3"/>
      <c r="L539" s="50"/>
      <c r="M539" s="7"/>
      <c r="N539" s="3"/>
      <c r="O539" s="3"/>
      <c r="P539" s="3"/>
      <c r="Q539" s="3"/>
    </row>
    <row r="540" spans="3:17" ht="15.75" customHeight="1" x14ac:dyDescent="0.2">
      <c r="C540" s="199">
        <v>40346</v>
      </c>
      <c r="D540" s="19">
        <v>0.57638888888888895</v>
      </c>
      <c r="E540" s="24">
        <v>2</v>
      </c>
      <c r="F540" s="24">
        <v>8.99</v>
      </c>
      <c r="G540" s="7">
        <v>85.6</v>
      </c>
      <c r="H540" s="7">
        <v>13.4</v>
      </c>
      <c r="J540" s="3"/>
      <c r="K540" s="3"/>
      <c r="L540" s="50"/>
      <c r="M540" s="7"/>
      <c r="N540" s="3"/>
      <c r="O540" s="3"/>
      <c r="P540" s="3"/>
      <c r="Q540" s="3"/>
    </row>
    <row r="541" spans="3:17" ht="15.75" customHeight="1" x14ac:dyDescent="0.2">
      <c r="C541" s="199">
        <v>40346</v>
      </c>
      <c r="D541" s="19">
        <v>0.57638888888888895</v>
      </c>
      <c r="E541" s="24">
        <v>3</v>
      </c>
      <c r="F541" s="24">
        <v>8.9600000000000009</v>
      </c>
      <c r="G541" s="7">
        <v>85.3</v>
      </c>
      <c r="H541" s="7">
        <v>13.4</v>
      </c>
      <c r="J541" s="3"/>
      <c r="K541" s="3"/>
      <c r="L541" s="50"/>
      <c r="M541" s="7"/>
      <c r="N541" s="3"/>
      <c r="O541" s="3"/>
      <c r="P541" s="3"/>
      <c r="Q541" s="3"/>
    </row>
    <row r="542" spans="3:17" ht="15.75" customHeight="1" x14ac:dyDescent="0.2">
      <c r="C542" s="199">
        <v>40346</v>
      </c>
      <c r="D542" s="19">
        <v>0.57638888888888895</v>
      </c>
      <c r="E542" s="24">
        <v>4</v>
      </c>
      <c r="F542" s="24">
        <v>9</v>
      </c>
      <c r="G542" s="7">
        <v>84.2</v>
      </c>
      <c r="H542" s="7">
        <v>13.4</v>
      </c>
      <c r="J542" s="3"/>
      <c r="K542" s="3"/>
      <c r="L542" s="50"/>
      <c r="M542" s="7"/>
      <c r="N542" s="3"/>
      <c r="O542" s="3"/>
      <c r="P542" s="3"/>
      <c r="Q542" s="3"/>
    </row>
    <row r="543" spans="3:17" ht="15.75" customHeight="1" x14ac:dyDescent="0.2">
      <c r="C543" s="199">
        <v>40346</v>
      </c>
      <c r="D543" s="19">
        <v>0.57638888888888895</v>
      </c>
      <c r="E543" s="24">
        <v>5</v>
      </c>
      <c r="F543" s="24">
        <v>8.99</v>
      </c>
      <c r="G543" s="7">
        <v>84.5</v>
      </c>
      <c r="H543" s="7">
        <v>13.3</v>
      </c>
      <c r="J543" s="3"/>
      <c r="K543" s="3"/>
      <c r="L543" s="50"/>
      <c r="M543" s="7"/>
      <c r="N543" s="3"/>
      <c r="O543" s="3"/>
      <c r="P543" s="3"/>
      <c r="Q543" s="3"/>
    </row>
    <row r="544" spans="3:17" ht="15.75" customHeight="1" x14ac:dyDescent="0.2">
      <c r="C544" s="199">
        <v>40346</v>
      </c>
      <c r="D544" s="19">
        <v>0.57638888888888895</v>
      </c>
      <c r="E544" s="24">
        <v>6</v>
      </c>
      <c r="F544" s="24">
        <v>9.0399999999999991</v>
      </c>
      <c r="G544" s="7">
        <v>85.3</v>
      </c>
      <c r="H544" s="7">
        <v>13.2</v>
      </c>
      <c r="J544" s="3"/>
      <c r="K544" s="3"/>
      <c r="L544" s="50"/>
      <c r="M544" s="7"/>
      <c r="N544" s="3"/>
      <c r="O544" s="3"/>
      <c r="P544" s="3"/>
      <c r="Q544" s="3"/>
    </row>
    <row r="545" spans="3:17" ht="15.75" customHeight="1" x14ac:dyDescent="0.2">
      <c r="C545" s="199">
        <v>40346</v>
      </c>
      <c r="D545" s="19">
        <v>0.57638888888888895</v>
      </c>
      <c r="E545" s="24">
        <v>7</v>
      </c>
      <c r="F545" s="24">
        <v>9.0500000000000007</v>
      </c>
      <c r="G545" s="7">
        <v>85.5</v>
      </c>
      <c r="H545" s="7">
        <v>13.1</v>
      </c>
      <c r="J545" s="3"/>
      <c r="K545" s="3"/>
      <c r="L545" s="50"/>
      <c r="M545" s="7"/>
      <c r="N545" s="3"/>
      <c r="O545" s="3"/>
      <c r="P545" s="3"/>
      <c r="Q545" s="3"/>
    </row>
    <row r="546" spans="3:17" ht="15.75" customHeight="1" x14ac:dyDescent="0.2">
      <c r="C546" s="199">
        <v>40346</v>
      </c>
      <c r="D546" s="19">
        <v>0.57638888888888895</v>
      </c>
      <c r="E546" s="24">
        <v>8</v>
      </c>
      <c r="F546" s="24">
        <v>9.07</v>
      </c>
      <c r="G546" s="7">
        <v>85.1</v>
      </c>
      <c r="H546" s="7">
        <v>13.1</v>
      </c>
      <c r="J546" s="3"/>
      <c r="K546" s="3"/>
      <c r="L546" s="50"/>
      <c r="M546" s="7"/>
      <c r="N546" s="3"/>
      <c r="O546" s="3"/>
      <c r="P546" s="3"/>
      <c r="Q546" s="3"/>
    </row>
    <row r="547" spans="3:17" ht="15.75" customHeight="1" x14ac:dyDescent="0.2">
      <c r="C547" s="199">
        <v>40346</v>
      </c>
      <c r="D547" s="19">
        <v>0.57638888888888895</v>
      </c>
      <c r="E547" s="24">
        <v>9</v>
      </c>
      <c r="F547" s="24">
        <v>9.15</v>
      </c>
      <c r="G547" s="7">
        <v>85.1</v>
      </c>
      <c r="H547" s="7">
        <v>13</v>
      </c>
      <c r="J547" s="3"/>
      <c r="K547" s="3"/>
      <c r="L547" s="50"/>
      <c r="M547" s="7"/>
      <c r="N547" s="3"/>
      <c r="O547" s="3"/>
      <c r="P547" s="3"/>
      <c r="Q547" s="3"/>
    </row>
    <row r="548" spans="3:17" ht="15.75" customHeight="1" x14ac:dyDescent="0.2">
      <c r="C548" s="199">
        <v>40321</v>
      </c>
      <c r="D548" s="19">
        <v>0.48680555555555555</v>
      </c>
      <c r="E548" s="24"/>
      <c r="F548" s="24"/>
      <c r="G548" s="7"/>
      <c r="H548" s="7"/>
      <c r="J548" s="3">
        <v>6.5</v>
      </c>
      <c r="K548" s="3">
        <v>9.5</v>
      </c>
      <c r="L548" s="50"/>
      <c r="M548" s="7"/>
      <c r="N548" s="3"/>
      <c r="O548" s="3"/>
      <c r="P548" s="3"/>
      <c r="Q548" s="3"/>
    </row>
    <row r="549" spans="3:17" ht="15.75" customHeight="1" x14ac:dyDescent="0.2">
      <c r="C549" s="199">
        <v>40321</v>
      </c>
      <c r="D549" s="19">
        <v>0.4826388888888889</v>
      </c>
      <c r="E549" s="24">
        <v>0.1</v>
      </c>
      <c r="F549" s="24">
        <v>9.8000000000000007</v>
      </c>
      <c r="G549" s="7">
        <v>88.7</v>
      </c>
      <c r="H549" s="7">
        <v>10.6</v>
      </c>
      <c r="J549" s="3"/>
      <c r="K549" s="3"/>
      <c r="L549" s="50"/>
      <c r="M549" s="7"/>
      <c r="N549" s="3"/>
      <c r="O549" s="3"/>
      <c r="P549" s="3"/>
      <c r="Q549" s="3"/>
    </row>
    <row r="550" spans="3:17" ht="15.75" customHeight="1" x14ac:dyDescent="0.2">
      <c r="C550" s="199">
        <v>40321</v>
      </c>
      <c r="D550" s="19">
        <v>0.4826388888888889</v>
      </c>
      <c r="E550" s="24">
        <v>1</v>
      </c>
      <c r="F550" s="24">
        <v>9.75</v>
      </c>
      <c r="G550" s="7">
        <v>87.5</v>
      </c>
      <c r="H550" s="7">
        <v>10.6</v>
      </c>
      <c r="J550" s="3"/>
      <c r="K550" s="3"/>
      <c r="L550" s="50"/>
      <c r="M550" s="7"/>
      <c r="N550" s="3"/>
      <c r="O550" s="3"/>
      <c r="P550" s="3"/>
      <c r="Q550" s="3"/>
    </row>
    <row r="551" spans="3:17" ht="15.75" customHeight="1" x14ac:dyDescent="0.2">
      <c r="C551" s="199">
        <v>40321</v>
      </c>
      <c r="D551" s="19">
        <v>0.4826388888888889</v>
      </c>
      <c r="E551" s="24">
        <v>2</v>
      </c>
      <c r="F551" s="24">
        <v>9.73</v>
      </c>
      <c r="G551" s="7">
        <v>87.8</v>
      </c>
      <c r="H551" s="7">
        <v>10.6</v>
      </c>
      <c r="J551" s="3"/>
      <c r="K551" s="3"/>
      <c r="L551" s="50"/>
      <c r="M551" s="7"/>
      <c r="N551" s="3"/>
      <c r="O551" s="3"/>
      <c r="P551" s="3"/>
      <c r="Q551" s="3"/>
    </row>
    <row r="552" spans="3:17" ht="15.75" customHeight="1" x14ac:dyDescent="0.2">
      <c r="C552" s="199">
        <v>40321</v>
      </c>
      <c r="D552" s="19">
        <v>0.4826388888888889</v>
      </c>
      <c r="E552" s="24">
        <v>3</v>
      </c>
      <c r="F552" s="24">
        <v>9.76</v>
      </c>
      <c r="G552" s="7">
        <v>87.5</v>
      </c>
      <c r="H552" s="7">
        <v>10.6</v>
      </c>
      <c r="J552" s="3"/>
      <c r="K552" s="3"/>
      <c r="L552" s="50"/>
      <c r="M552" s="7"/>
      <c r="N552" s="3"/>
      <c r="O552" s="3"/>
      <c r="P552" s="3"/>
      <c r="Q552" s="3"/>
    </row>
    <row r="553" spans="3:17" ht="15.75" customHeight="1" x14ac:dyDescent="0.2">
      <c r="C553" s="199">
        <v>40321</v>
      </c>
      <c r="D553" s="19">
        <v>0.4826388888888889</v>
      </c>
      <c r="E553" s="24">
        <v>4</v>
      </c>
      <c r="F553" s="24">
        <v>9.74</v>
      </c>
      <c r="G553" s="7">
        <v>87.6</v>
      </c>
      <c r="H553" s="7">
        <v>10.6</v>
      </c>
      <c r="J553" s="3"/>
      <c r="K553" s="3"/>
      <c r="L553" s="50"/>
      <c r="M553" s="7"/>
      <c r="N553" s="3"/>
      <c r="O553" s="3"/>
      <c r="P553" s="3"/>
      <c r="Q553" s="3"/>
    </row>
    <row r="554" spans="3:17" ht="15.75" customHeight="1" x14ac:dyDescent="0.2">
      <c r="C554" s="199">
        <v>40321</v>
      </c>
      <c r="D554" s="19">
        <v>0.4826388888888889</v>
      </c>
      <c r="E554" s="24">
        <v>5</v>
      </c>
      <c r="F554" s="24">
        <v>9.8000000000000007</v>
      </c>
      <c r="G554" s="7">
        <v>87.2</v>
      </c>
      <c r="H554" s="7">
        <v>10.5</v>
      </c>
      <c r="J554" s="3"/>
      <c r="K554" s="3"/>
      <c r="L554" s="50"/>
      <c r="M554" s="7"/>
      <c r="N554" s="3"/>
      <c r="O554" s="3"/>
      <c r="P554" s="3"/>
      <c r="Q554" s="3"/>
    </row>
    <row r="555" spans="3:17" ht="15.75" customHeight="1" x14ac:dyDescent="0.2">
      <c r="C555" s="199">
        <v>40321</v>
      </c>
      <c r="D555" s="19">
        <v>0.4826388888888889</v>
      </c>
      <c r="E555" s="24">
        <v>6</v>
      </c>
      <c r="F555" s="24">
        <v>9.74</v>
      </c>
      <c r="G555" s="7">
        <v>87.1</v>
      </c>
      <c r="H555" s="7">
        <v>10.199999999999999</v>
      </c>
      <c r="J555" s="3"/>
      <c r="K555" s="3"/>
      <c r="L555" s="50"/>
      <c r="M555" s="7"/>
      <c r="N555" s="3"/>
      <c r="O555" s="3"/>
      <c r="P555" s="3"/>
      <c r="Q555" s="3"/>
    </row>
    <row r="556" spans="3:17" ht="15.75" customHeight="1" x14ac:dyDescent="0.2">
      <c r="C556" s="199">
        <v>40321</v>
      </c>
      <c r="D556" s="19">
        <v>0.4826388888888889</v>
      </c>
      <c r="E556" s="24">
        <v>7</v>
      </c>
      <c r="F556" s="24">
        <v>9.8000000000000007</v>
      </c>
      <c r="G556" s="7">
        <v>86.8</v>
      </c>
      <c r="H556" s="7">
        <v>10</v>
      </c>
      <c r="J556" s="3"/>
      <c r="K556" s="3"/>
      <c r="L556" s="50"/>
      <c r="M556" s="7"/>
      <c r="N556" s="3"/>
      <c r="O556" s="3"/>
      <c r="P556" s="3"/>
      <c r="Q556" s="3"/>
    </row>
    <row r="557" spans="3:17" ht="15.75" customHeight="1" x14ac:dyDescent="0.2">
      <c r="C557" s="199">
        <v>40321</v>
      </c>
      <c r="D557" s="19">
        <v>0.4826388888888889</v>
      </c>
      <c r="E557" s="24">
        <v>8</v>
      </c>
      <c r="F557" s="24">
        <v>9.94</v>
      </c>
      <c r="G557" s="7">
        <v>86.3</v>
      </c>
      <c r="H557" s="7">
        <v>9.1999999999999993</v>
      </c>
      <c r="J557" s="3"/>
      <c r="K557" s="3"/>
      <c r="L557" s="50"/>
      <c r="M557" s="7"/>
      <c r="N557" s="3"/>
      <c r="O557" s="3"/>
      <c r="P557" s="3"/>
      <c r="Q557" s="3"/>
    </row>
    <row r="558" spans="3:17" ht="15.75" customHeight="1" x14ac:dyDescent="0.2">
      <c r="C558" s="199">
        <v>40321</v>
      </c>
      <c r="D558" s="19">
        <v>0.4826388888888889</v>
      </c>
      <c r="E558" s="24">
        <v>9</v>
      </c>
      <c r="F558" s="24">
        <v>10.1</v>
      </c>
      <c r="G558" s="7">
        <v>86.3</v>
      </c>
      <c r="H558" s="7">
        <v>8.6</v>
      </c>
      <c r="J558" s="3"/>
      <c r="K558" s="3"/>
      <c r="L558" s="50"/>
      <c r="M558" s="7"/>
      <c r="N558" s="3"/>
      <c r="O558" s="3"/>
      <c r="P558" s="3"/>
      <c r="Q558" s="3"/>
    </row>
    <row r="559" spans="3:17" ht="15.75" customHeight="1" x14ac:dyDescent="0.2">
      <c r="C559" s="199">
        <v>40321</v>
      </c>
      <c r="D559" s="19">
        <v>0.4826388888888889</v>
      </c>
      <c r="E559" s="24">
        <v>10</v>
      </c>
      <c r="F559" s="24">
        <v>6</v>
      </c>
      <c r="G559" s="7">
        <v>52</v>
      </c>
      <c r="H559" s="7">
        <v>8.3000000000000007</v>
      </c>
      <c r="J559" s="3"/>
      <c r="K559" s="3"/>
      <c r="L559" s="50"/>
      <c r="M559" s="7"/>
      <c r="N559" s="3"/>
      <c r="O559" s="3"/>
      <c r="P559" s="3"/>
      <c r="Q559" s="3"/>
    </row>
    <row r="560" spans="3:17" ht="15.75" customHeight="1" x14ac:dyDescent="0.2">
      <c r="C560" s="199">
        <v>39628</v>
      </c>
      <c r="D560" s="19">
        <v>0.62152777777777779</v>
      </c>
      <c r="E560" s="24"/>
      <c r="F560" s="24"/>
      <c r="G560" s="7"/>
      <c r="H560" s="7"/>
      <c r="J560" s="3">
        <v>8</v>
      </c>
      <c r="K560" s="3">
        <v>10</v>
      </c>
      <c r="L560" s="50"/>
      <c r="M560" s="7"/>
      <c r="N560" s="3"/>
      <c r="O560" s="3"/>
      <c r="P560" s="3"/>
      <c r="Q560" s="3"/>
    </row>
    <row r="561" spans="2:17" ht="15.75" customHeight="1" x14ac:dyDescent="0.2">
      <c r="C561" s="199">
        <v>39628</v>
      </c>
      <c r="D561" s="19">
        <v>0.63888888888888895</v>
      </c>
      <c r="E561" s="24">
        <v>0.1</v>
      </c>
      <c r="F561" s="24">
        <v>8.8699999999999992</v>
      </c>
      <c r="G561" s="7">
        <v>99.7</v>
      </c>
      <c r="H561" s="7">
        <v>21.2</v>
      </c>
      <c r="J561" s="3"/>
      <c r="K561" s="3"/>
      <c r="L561" s="50"/>
      <c r="M561" s="7"/>
      <c r="N561" s="3"/>
      <c r="O561" s="3"/>
      <c r="P561" s="3"/>
      <c r="Q561" s="3"/>
    </row>
    <row r="562" spans="2:17" ht="15.75" customHeight="1" x14ac:dyDescent="0.2">
      <c r="C562" s="199">
        <v>39628</v>
      </c>
      <c r="D562" s="19">
        <v>0.63888888888888895</v>
      </c>
      <c r="E562" s="24">
        <v>1</v>
      </c>
      <c r="F562" s="24">
        <v>9.02</v>
      </c>
      <c r="G562" s="7">
        <v>99.3</v>
      </c>
      <c r="H562" s="7">
        <v>19.2</v>
      </c>
      <c r="J562" s="3"/>
      <c r="K562" s="3"/>
      <c r="L562" s="50"/>
      <c r="M562" s="7"/>
      <c r="N562" s="3"/>
      <c r="O562" s="3"/>
      <c r="P562" s="3"/>
      <c r="Q562" s="3"/>
    </row>
    <row r="563" spans="2:17" ht="15.75" customHeight="1" x14ac:dyDescent="0.2">
      <c r="C563" s="199">
        <v>39628</v>
      </c>
      <c r="D563" s="19">
        <v>0.63888888888888895</v>
      </c>
      <c r="E563" s="24">
        <v>2</v>
      </c>
      <c r="F563" s="24">
        <v>9.19</v>
      </c>
      <c r="G563" s="7">
        <v>98</v>
      </c>
      <c r="H563" s="7">
        <v>18.3</v>
      </c>
      <c r="J563" s="3"/>
      <c r="K563" s="3"/>
      <c r="L563" s="50"/>
      <c r="M563" s="7"/>
      <c r="N563" s="3"/>
      <c r="O563" s="3"/>
      <c r="P563" s="3"/>
      <c r="Q563" s="3"/>
    </row>
    <row r="564" spans="2:17" ht="15.75" customHeight="1" x14ac:dyDescent="0.2">
      <c r="C564" s="199">
        <v>39628</v>
      </c>
      <c r="D564" s="19">
        <v>0.63888888888888895</v>
      </c>
      <c r="E564" s="24">
        <v>3</v>
      </c>
      <c r="F564" s="24">
        <v>9.2799999999999994</v>
      </c>
      <c r="G564" s="7">
        <v>97.9</v>
      </c>
      <c r="H564" s="7">
        <v>17.8</v>
      </c>
      <c r="J564" s="3"/>
      <c r="K564" s="3"/>
      <c r="L564" s="50"/>
      <c r="M564" s="7"/>
      <c r="N564" s="3"/>
      <c r="O564" s="3"/>
      <c r="P564" s="3"/>
      <c r="Q564" s="3"/>
    </row>
    <row r="565" spans="2:17" ht="15.75" customHeight="1" x14ac:dyDescent="0.2">
      <c r="C565" s="199">
        <v>39628</v>
      </c>
      <c r="D565" s="19">
        <v>0.63888888888888895</v>
      </c>
      <c r="E565" s="24">
        <v>4</v>
      </c>
      <c r="F565" s="24">
        <v>9.17</v>
      </c>
      <c r="G565" s="7">
        <v>95.3</v>
      </c>
      <c r="H565" s="7">
        <v>17.2</v>
      </c>
      <c r="J565" s="3"/>
      <c r="K565" s="3"/>
      <c r="L565" s="50"/>
      <c r="M565" s="7"/>
      <c r="N565" s="3"/>
      <c r="O565" s="3"/>
      <c r="P565" s="3"/>
      <c r="Q565" s="3"/>
    </row>
    <row r="566" spans="2:17" ht="15.75" customHeight="1" x14ac:dyDescent="0.2">
      <c r="C566" s="199">
        <v>39628</v>
      </c>
      <c r="D566" s="19">
        <v>0.63888888888888895</v>
      </c>
      <c r="E566" s="24">
        <v>5</v>
      </c>
      <c r="F566" s="24">
        <v>9.56</v>
      </c>
      <c r="G566" s="7">
        <v>97.8</v>
      </c>
      <c r="H566" s="7">
        <v>16.5</v>
      </c>
      <c r="I566" s="13"/>
      <c r="J566" s="3"/>
      <c r="K566" s="3"/>
      <c r="L566" s="50"/>
      <c r="M566" s="7"/>
      <c r="N566" s="3"/>
      <c r="O566" s="3"/>
      <c r="P566" s="3"/>
      <c r="Q566" s="3"/>
    </row>
    <row r="567" spans="2:17" ht="15.75" customHeight="1" x14ac:dyDescent="0.2">
      <c r="C567" s="199">
        <v>39628</v>
      </c>
      <c r="D567" s="19">
        <v>0.63888888888888895</v>
      </c>
      <c r="E567" s="24">
        <v>6</v>
      </c>
      <c r="F567" s="24">
        <v>9.73</v>
      </c>
      <c r="G567" s="7">
        <v>98.4</v>
      </c>
      <c r="H567" s="7">
        <v>16</v>
      </c>
      <c r="I567" s="13"/>
      <c r="J567" s="3"/>
      <c r="K567" s="3"/>
      <c r="L567" s="50"/>
      <c r="M567" s="7"/>
      <c r="N567" s="3"/>
      <c r="O567" s="3"/>
      <c r="P567" s="3"/>
      <c r="Q567" s="3"/>
    </row>
    <row r="568" spans="2:17" ht="15.75" customHeight="1" x14ac:dyDescent="0.2">
      <c r="C568" s="199">
        <v>39628</v>
      </c>
      <c r="D568" s="19">
        <v>0.63888888888888895</v>
      </c>
      <c r="E568" s="24">
        <v>7</v>
      </c>
      <c r="F568" s="24">
        <v>9.8800000000000008</v>
      </c>
      <c r="G568" s="7">
        <v>99.1</v>
      </c>
      <c r="H568" s="7">
        <v>15.3</v>
      </c>
      <c r="I568" s="13"/>
      <c r="J568" s="3"/>
      <c r="K568" s="3"/>
      <c r="L568" s="50"/>
      <c r="M568" s="7"/>
      <c r="N568" s="3"/>
      <c r="O568" s="3"/>
      <c r="P568" s="3"/>
      <c r="Q568" s="3"/>
    </row>
    <row r="569" spans="2:17" ht="15.75" customHeight="1" x14ac:dyDescent="0.2">
      <c r="C569" s="199">
        <v>39628</v>
      </c>
      <c r="D569" s="19">
        <v>0.63888888888888895</v>
      </c>
      <c r="E569" s="24">
        <v>8</v>
      </c>
      <c r="F569" s="24">
        <v>10.08</v>
      </c>
      <c r="G569" s="7">
        <v>97.8</v>
      </c>
      <c r="H569" s="7">
        <v>13.7</v>
      </c>
      <c r="I569" s="13"/>
      <c r="J569" s="3"/>
      <c r="K569" s="3"/>
      <c r="L569" s="50"/>
      <c r="M569" s="7"/>
      <c r="N569" s="3"/>
      <c r="O569" s="3"/>
      <c r="P569" s="3"/>
      <c r="Q569" s="3"/>
    </row>
    <row r="570" spans="2:17" ht="15.75" customHeight="1" x14ac:dyDescent="0.2">
      <c r="C570" s="199">
        <v>39628</v>
      </c>
      <c r="D570" s="19">
        <v>0.63888888888888895</v>
      </c>
      <c r="E570" s="24">
        <v>9</v>
      </c>
      <c r="F570" s="24">
        <v>10.29</v>
      </c>
      <c r="G570" s="7">
        <v>96.7</v>
      </c>
      <c r="H570" s="7">
        <v>12.3</v>
      </c>
      <c r="I570" s="13"/>
      <c r="J570" s="3"/>
      <c r="K570" s="3"/>
      <c r="L570" s="50"/>
      <c r="M570" s="7"/>
      <c r="N570" s="3"/>
      <c r="O570" s="3"/>
      <c r="P570" s="3"/>
      <c r="Q570" s="3"/>
    </row>
    <row r="571" spans="2:17" ht="15.75" customHeight="1" x14ac:dyDescent="0.2">
      <c r="C571" s="199">
        <v>39628</v>
      </c>
      <c r="D571" s="19">
        <v>0.63888888888888895</v>
      </c>
      <c r="E571" s="24">
        <v>10</v>
      </c>
      <c r="F571" s="24">
        <v>10.9</v>
      </c>
      <c r="G571" s="7">
        <v>96.4</v>
      </c>
      <c r="H571" s="7">
        <v>10.5</v>
      </c>
      <c r="I571" s="13"/>
      <c r="J571" s="3"/>
      <c r="K571" s="3"/>
      <c r="L571" s="50"/>
      <c r="M571" s="7"/>
      <c r="N571" s="3"/>
      <c r="O571" s="3"/>
      <c r="P571" s="3"/>
      <c r="Q571" s="3"/>
    </row>
    <row r="572" spans="2:17" ht="15.75" customHeight="1" x14ac:dyDescent="0.2">
      <c r="C572" s="199">
        <v>39628</v>
      </c>
      <c r="D572" s="19">
        <v>0.63888888888888895</v>
      </c>
      <c r="E572" s="24">
        <v>11</v>
      </c>
      <c r="F572" s="24">
        <v>11.15</v>
      </c>
      <c r="G572" s="7">
        <v>95.2</v>
      </c>
      <c r="H572" s="7">
        <v>8.9</v>
      </c>
      <c r="I572" s="13"/>
      <c r="J572" s="3"/>
      <c r="K572" s="3"/>
      <c r="L572" s="50"/>
      <c r="M572" s="7"/>
      <c r="N572" s="3"/>
      <c r="O572" s="3"/>
      <c r="P572" s="3"/>
      <c r="Q572" s="3"/>
    </row>
    <row r="573" spans="2:17" ht="15.75" customHeight="1" x14ac:dyDescent="0.2">
      <c r="C573" s="199"/>
      <c r="D573" s="19"/>
      <c r="E573" s="24"/>
      <c r="F573" s="24"/>
      <c r="G573" s="7"/>
      <c r="H573" s="7"/>
      <c r="J573" s="3"/>
      <c r="K573" s="3"/>
    </row>
    <row r="574" spans="2:17" ht="16" x14ac:dyDescent="0.2">
      <c r="B574" s="238">
        <v>12.4</v>
      </c>
      <c r="C574" s="231">
        <f>DATE(95,9,20)</f>
        <v>34962</v>
      </c>
      <c r="D574" s="195">
        <v>12.4</v>
      </c>
      <c r="F574" s="195"/>
      <c r="G574" s="195"/>
      <c r="H574" s="195"/>
      <c r="I574" s="196"/>
      <c r="J574" s="195">
        <v>12.9</v>
      </c>
      <c r="K574" s="195"/>
    </row>
    <row r="575" spans="2:17" ht="16" x14ac:dyDescent="0.2">
      <c r="B575" s="239"/>
      <c r="C575" s="231">
        <f t="shared" ref="C575:C576" si="0">DATE(95,9,20)</f>
        <v>34962</v>
      </c>
      <c r="D575" s="195">
        <v>12.4</v>
      </c>
      <c r="E575" s="190">
        <v>1</v>
      </c>
      <c r="F575" s="195">
        <v>8.8000000000000007</v>
      </c>
      <c r="G575" s="195"/>
      <c r="H575" s="195">
        <v>18.2</v>
      </c>
      <c r="I575" s="196"/>
      <c r="J575" s="195"/>
      <c r="K575" s="195"/>
    </row>
    <row r="576" spans="2:17" ht="16" x14ac:dyDescent="0.2">
      <c r="B576" s="239"/>
      <c r="C576" s="231">
        <f t="shared" si="0"/>
        <v>34962</v>
      </c>
      <c r="D576" s="195">
        <v>12.4</v>
      </c>
      <c r="E576" s="190">
        <v>11</v>
      </c>
      <c r="F576" s="195">
        <v>8.8000000000000007</v>
      </c>
      <c r="G576" s="195"/>
      <c r="H576" s="195">
        <v>16.899999999999999</v>
      </c>
      <c r="I576" s="196"/>
      <c r="J576" s="195"/>
      <c r="K576" s="195"/>
    </row>
    <row r="577" spans="2:17" ht="16" x14ac:dyDescent="0.2">
      <c r="B577" s="226"/>
      <c r="C577" s="240"/>
      <c r="D577" s="225"/>
      <c r="G577" s="191"/>
    </row>
    <row r="578" spans="2:17" ht="16" x14ac:dyDescent="0.2">
      <c r="B578" s="226">
        <v>10.5</v>
      </c>
      <c r="C578" s="231">
        <f>DATE(95,8,22)</f>
        <v>34933</v>
      </c>
      <c r="D578" s="225">
        <v>0.4375</v>
      </c>
      <c r="F578" s="195"/>
      <c r="G578" s="195"/>
      <c r="H578" s="195"/>
      <c r="I578" s="196"/>
      <c r="J578" s="195">
        <v>10.3</v>
      </c>
    </row>
    <row r="579" spans="2:17" ht="16" x14ac:dyDescent="0.2">
      <c r="B579" s="226"/>
      <c r="C579" s="231">
        <f>DATE(95,8,22)</f>
        <v>34933</v>
      </c>
      <c r="D579" s="225">
        <v>0.4375</v>
      </c>
      <c r="E579" s="190">
        <v>1</v>
      </c>
      <c r="F579" s="195">
        <v>9.3000000000000007</v>
      </c>
      <c r="G579" s="195"/>
      <c r="H579" s="195">
        <v>17.100000000000001</v>
      </c>
      <c r="I579" s="196"/>
      <c r="J579" s="195"/>
    </row>
    <row r="580" spans="2:17" ht="16" x14ac:dyDescent="0.2">
      <c r="B580" s="226"/>
      <c r="C580" s="231">
        <f>DATE(95,8,22)</f>
        <v>34933</v>
      </c>
      <c r="D580" s="225">
        <v>0.4375</v>
      </c>
      <c r="E580" s="190">
        <v>10</v>
      </c>
      <c r="F580" s="195">
        <v>8.9</v>
      </c>
      <c r="G580" s="195"/>
      <c r="H580" s="195">
        <v>17.5</v>
      </c>
      <c r="I580" s="196"/>
      <c r="J580" s="195"/>
    </row>
    <row r="581" spans="2:17" ht="16" x14ac:dyDescent="0.2">
      <c r="B581" s="226"/>
      <c r="C581" s="240"/>
      <c r="D581" s="225"/>
      <c r="G581" s="191"/>
      <c r="I581" s="190"/>
    </row>
    <row r="582" spans="2:17" ht="16" x14ac:dyDescent="0.2">
      <c r="B582" s="226">
        <v>13.4</v>
      </c>
      <c r="C582" s="231">
        <f>DATE(95,7,27)</f>
        <v>34907</v>
      </c>
      <c r="D582" s="225">
        <v>0.67708333333333337</v>
      </c>
      <c r="F582" s="195" t="s">
        <v>605</v>
      </c>
      <c r="G582" s="195"/>
      <c r="H582" s="195"/>
      <c r="I582" s="196"/>
      <c r="J582" s="195">
        <v>10</v>
      </c>
    </row>
    <row r="583" spans="2:17" ht="16" x14ac:dyDescent="0.2">
      <c r="B583" s="226"/>
      <c r="C583" s="240"/>
      <c r="D583" s="225"/>
      <c r="G583" s="191"/>
      <c r="I583" s="190"/>
    </row>
    <row r="584" spans="2:17" ht="16" x14ac:dyDescent="0.2">
      <c r="B584" s="226">
        <v>11.4</v>
      </c>
      <c r="C584" s="231">
        <f>DATE(95,7,6)</f>
        <v>34886</v>
      </c>
      <c r="D584" s="225">
        <v>0.4375</v>
      </c>
      <c r="F584" s="195"/>
      <c r="G584" s="195"/>
      <c r="H584" s="195"/>
      <c r="I584" s="196"/>
      <c r="J584" s="195">
        <v>8</v>
      </c>
    </row>
    <row r="585" spans="2:17" ht="16" x14ac:dyDescent="0.2">
      <c r="B585" s="226"/>
      <c r="C585" s="231">
        <f t="shared" ref="C585:C586" si="1">DATE(95,7,6)</f>
        <v>34886</v>
      </c>
      <c r="D585" s="225">
        <v>0.4375</v>
      </c>
      <c r="E585" s="190">
        <v>1</v>
      </c>
      <c r="F585" s="195">
        <v>10</v>
      </c>
      <c r="G585" s="195"/>
      <c r="H585" s="195">
        <v>17.7</v>
      </c>
      <c r="I585" s="196"/>
      <c r="J585" s="195"/>
    </row>
    <row r="586" spans="2:17" ht="16" x14ac:dyDescent="0.2">
      <c r="B586" s="226"/>
      <c r="C586" s="231">
        <f t="shared" si="1"/>
        <v>34886</v>
      </c>
      <c r="D586" s="225">
        <v>0.4375</v>
      </c>
      <c r="E586" s="190">
        <v>11</v>
      </c>
      <c r="F586" s="195">
        <v>10.9</v>
      </c>
      <c r="G586" s="195"/>
      <c r="H586" s="195">
        <v>12.4</v>
      </c>
      <c r="I586" s="196"/>
      <c r="J586" s="195"/>
    </row>
    <row r="587" spans="2:17" ht="16" x14ac:dyDescent="0.2">
      <c r="B587" s="226"/>
      <c r="C587" s="190"/>
      <c r="G587" s="191"/>
    </row>
    <row r="588" spans="2:17" ht="16" x14ac:dyDescent="0.2">
      <c r="B588" s="226">
        <v>11.2</v>
      </c>
      <c r="C588" s="231">
        <f>DATE(95,6,13)</f>
        <v>34863</v>
      </c>
      <c r="D588" s="225">
        <v>0.35416666666666669</v>
      </c>
      <c r="F588" s="195"/>
      <c r="G588" s="195"/>
      <c r="H588" s="195"/>
      <c r="I588" s="196"/>
      <c r="J588" s="195">
        <v>6.8</v>
      </c>
      <c r="K588" s="195"/>
    </row>
    <row r="589" spans="2:17" ht="16" x14ac:dyDescent="0.2">
      <c r="B589" s="226"/>
      <c r="C589" s="231">
        <f t="shared" ref="C589:C590" si="2">DATE(95,6,13)</f>
        <v>34863</v>
      </c>
      <c r="D589" s="225">
        <v>0.35416666666666669</v>
      </c>
      <c r="E589" s="190">
        <v>1</v>
      </c>
      <c r="F589" s="190">
        <v>10.8</v>
      </c>
      <c r="G589" s="191"/>
      <c r="H589" s="190">
        <v>14.6</v>
      </c>
      <c r="K589" s="195"/>
      <c r="L589" s="241"/>
      <c r="M589" s="195"/>
      <c r="N589" s="190"/>
      <c r="O589" s="190"/>
      <c r="P589" s="190"/>
      <c r="Q589" s="190"/>
    </row>
    <row r="590" spans="2:17" ht="16" x14ac:dyDescent="0.2">
      <c r="B590" s="226"/>
      <c r="C590" s="231">
        <f t="shared" si="2"/>
        <v>34863</v>
      </c>
      <c r="D590" s="225">
        <v>0.35416666666666669</v>
      </c>
      <c r="E590" s="190">
        <v>10</v>
      </c>
      <c r="F590" s="190">
        <v>11.5</v>
      </c>
      <c r="G590" s="191"/>
      <c r="H590" s="190">
        <v>12</v>
      </c>
    </row>
    <row r="591" spans="2:17" ht="16" x14ac:dyDescent="0.2">
      <c r="B591" s="226"/>
      <c r="C591" s="231"/>
      <c r="D591" s="225"/>
      <c r="F591" s="195"/>
      <c r="G591" s="195"/>
      <c r="H591" s="195"/>
      <c r="I591" s="196"/>
      <c r="J591" s="195"/>
      <c r="K591" s="195"/>
      <c r="L591" s="241"/>
      <c r="M591" s="195"/>
      <c r="N591" s="190"/>
      <c r="O591" s="190"/>
      <c r="P591" s="190"/>
      <c r="Q591" s="190"/>
    </row>
    <row r="592" spans="2:17" ht="16" x14ac:dyDescent="0.2">
      <c r="B592" s="226">
        <v>11.7</v>
      </c>
      <c r="C592" s="231">
        <f>DATE(95,5,23)</f>
        <v>34842</v>
      </c>
      <c r="D592" s="225">
        <v>0.39583333333333331</v>
      </c>
      <c r="F592" s="195"/>
      <c r="G592" s="195"/>
      <c r="H592" s="195"/>
      <c r="I592" s="196"/>
      <c r="J592" s="195">
        <v>6.6</v>
      </c>
      <c r="K592" s="195"/>
      <c r="L592" s="241"/>
      <c r="M592" s="195"/>
      <c r="N592" s="190"/>
      <c r="O592" s="190"/>
      <c r="P592" s="190"/>
      <c r="Q592" s="190"/>
    </row>
    <row r="593" spans="2:17" ht="16" x14ac:dyDescent="0.2">
      <c r="B593" s="226"/>
      <c r="C593" s="231">
        <f t="shared" ref="C593:C594" si="3">DATE(95,5,23)</f>
        <v>34842</v>
      </c>
      <c r="D593" s="225">
        <v>0.39583333333333331</v>
      </c>
      <c r="E593" s="190">
        <v>1</v>
      </c>
      <c r="F593" s="195">
        <v>11</v>
      </c>
      <c r="G593" s="195"/>
      <c r="H593" s="195">
        <v>12.8</v>
      </c>
      <c r="I593" s="196"/>
      <c r="J593" s="195"/>
      <c r="K593" s="195"/>
      <c r="L593" s="241"/>
      <c r="M593" s="195"/>
      <c r="N593" s="190"/>
      <c r="O593" s="190"/>
      <c r="P593" s="190"/>
      <c r="Q593" s="190"/>
    </row>
    <row r="594" spans="2:17" ht="16" x14ac:dyDescent="0.2">
      <c r="B594" s="226"/>
      <c r="C594" s="231">
        <f t="shared" si="3"/>
        <v>34842</v>
      </c>
      <c r="D594" s="225">
        <v>0.39583333333333331</v>
      </c>
      <c r="E594" s="190">
        <v>11</v>
      </c>
      <c r="F594" s="195">
        <v>11.5</v>
      </c>
      <c r="G594" s="195"/>
      <c r="H594" s="195">
        <v>9.4</v>
      </c>
      <c r="I594" s="196"/>
      <c r="J594" s="195"/>
      <c r="K594" s="195"/>
      <c r="L594" s="241"/>
      <c r="M594" s="195"/>
      <c r="N594" s="190"/>
      <c r="O594" s="190"/>
      <c r="P594" s="190"/>
      <c r="Q594" s="190"/>
    </row>
    <row r="595" spans="2:17" ht="16" x14ac:dyDescent="0.2">
      <c r="B595" s="226"/>
      <c r="C595" s="231"/>
      <c r="D595" s="195"/>
      <c r="F595" s="195"/>
      <c r="G595" s="195"/>
      <c r="H595" s="195"/>
      <c r="I595" s="196"/>
      <c r="J595" s="195"/>
      <c r="K595" s="195"/>
      <c r="L595" s="241"/>
      <c r="M595" s="195"/>
      <c r="N595" s="190"/>
      <c r="O595" s="190"/>
      <c r="P595" s="190"/>
      <c r="Q595" s="190"/>
    </row>
    <row r="596" spans="2:17" ht="16" x14ac:dyDescent="0.2">
      <c r="B596" s="226">
        <v>8.1</v>
      </c>
      <c r="C596" s="231">
        <f>DATE(95,5,4)</f>
        <v>34823</v>
      </c>
      <c r="D596" s="225">
        <v>0.4375</v>
      </c>
      <c r="F596" s="195"/>
      <c r="G596" s="195"/>
      <c r="H596" s="195"/>
      <c r="I596" s="196"/>
      <c r="J596" s="195">
        <v>7.5</v>
      </c>
      <c r="K596" s="195"/>
      <c r="L596" s="241"/>
      <c r="M596" s="195"/>
      <c r="N596" s="190"/>
      <c r="O596" s="190"/>
      <c r="P596" s="190"/>
      <c r="Q596" s="190"/>
    </row>
    <row r="597" spans="2:17" ht="16" x14ac:dyDescent="0.2">
      <c r="B597" s="226"/>
      <c r="C597" s="231">
        <f t="shared" ref="C597:C598" si="4">DATE(95,5,4)</f>
        <v>34823</v>
      </c>
      <c r="D597" s="225">
        <v>0.4375</v>
      </c>
      <c r="E597" s="190">
        <v>1</v>
      </c>
      <c r="F597" s="195">
        <v>12.6</v>
      </c>
      <c r="G597" s="195"/>
      <c r="H597" s="195">
        <v>7</v>
      </c>
      <c r="I597" s="196"/>
      <c r="J597" s="195"/>
      <c r="K597" s="195"/>
      <c r="L597" s="241"/>
      <c r="M597" s="195"/>
      <c r="N597" s="190"/>
      <c r="O597" s="190"/>
      <c r="P597" s="190"/>
      <c r="Q597" s="190"/>
    </row>
    <row r="598" spans="2:17" ht="16" x14ac:dyDescent="0.2">
      <c r="B598" s="226"/>
      <c r="C598" s="231">
        <f t="shared" si="4"/>
        <v>34823</v>
      </c>
      <c r="D598" s="225">
        <v>0.4375</v>
      </c>
      <c r="E598" s="190">
        <v>7</v>
      </c>
      <c r="F598" s="195">
        <v>12.2</v>
      </c>
      <c r="G598" s="195"/>
      <c r="H598" s="195">
        <v>6.2</v>
      </c>
      <c r="I598" s="196"/>
      <c r="J598" s="195"/>
      <c r="K598" s="195"/>
      <c r="L598" s="241"/>
      <c r="M598" s="195"/>
      <c r="N598" s="190"/>
      <c r="O598" s="190"/>
      <c r="P598" s="190"/>
      <c r="Q598" s="190"/>
    </row>
    <row r="599" spans="2:17" ht="16" x14ac:dyDescent="0.2">
      <c r="B599" s="226"/>
      <c r="C599" s="231"/>
      <c r="D599" s="195"/>
      <c r="F599" s="195"/>
      <c r="G599" s="195"/>
      <c r="H599" s="195"/>
      <c r="I599" s="196"/>
      <c r="J599" s="195"/>
      <c r="K599" s="195"/>
      <c r="L599" s="241"/>
      <c r="M599" s="195"/>
      <c r="N599" s="190"/>
      <c r="O599" s="190"/>
      <c r="P599" s="190"/>
      <c r="Q599" s="190"/>
    </row>
    <row r="600" spans="2:17" ht="16" x14ac:dyDescent="0.2">
      <c r="B600" s="226"/>
      <c r="C600" s="231"/>
      <c r="D600" s="195"/>
      <c r="F600" s="195"/>
      <c r="G600" s="195"/>
      <c r="H600" s="195"/>
      <c r="I600" s="196"/>
      <c r="J600" s="195"/>
      <c r="K600" s="195"/>
      <c r="L600" s="241"/>
      <c r="M600" s="195"/>
      <c r="N600" s="190"/>
      <c r="O600" s="190"/>
      <c r="P600" s="190"/>
      <c r="Q600" s="190"/>
    </row>
    <row r="601" spans="2:17" ht="16" x14ac:dyDescent="0.2">
      <c r="B601" s="226">
        <v>10.9</v>
      </c>
      <c r="C601" s="231">
        <f>DATE(95,4,13)</f>
        <v>34802</v>
      </c>
      <c r="D601" s="225">
        <v>0.4375</v>
      </c>
      <c r="F601" s="195"/>
      <c r="G601" s="195"/>
      <c r="H601" s="195"/>
      <c r="I601" s="196"/>
      <c r="J601" s="195">
        <v>6.3</v>
      </c>
      <c r="K601" s="195"/>
      <c r="L601" s="241"/>
      <c r="M601" s="195"/>
      <c r="N601" s="190"/>
      <c r="O601" s="190"/>
      <c r="P601" s="190"/>
      <c r="Q601" s="190"/>
    </row>
    <row r="602" spans="2:17" ht="16" x14ac:dyDescent="0.2">
      <c r="B602" s="226"/>
      <c r="C602" s="231">
        <f t="shared" ref="C602:C603" si="5">DATE(95,4,13)</f>
        <v>34802</v>
      </c>
      <c r="D602" s="225">
        <v>0.4375</v>
      </c>
      <c r="E602" s="190">
        <v>1</v>
      </c>
      <c r="F602" s="190">
        <v>13.1</v>
      </c>
      <c r="G602" s="191"/>
      <c r="H602" s="190">
        <v>4.4000000000000004</v>
      </c>
      <c r="K602" s="195"/>
      <c r="L602" s="241"/>
      <c r="M602" s="195"/>
      <c r="N602" s="190"/>
      <c r="O602" s="190"/>
      <c r="P602" s="190"/>
      <c r="Q602" s="190"/>
    </row>
    <row r="603" spans="2:17" ht="16" x14ac:dyDescent="0.2">
      <c r="B603" s="226"/>
      <c r="C603" s="231">
        <f t="shared" si="5"/>
        <v>34802</v>
      </c>
      <c r="D603" s="225">
        <v>0.4375</v>
      </c>
      <c r="E603" s="190">
        <v>10</v>
      </c>
      <c r="F603" s="190">
        <v>12.3</v>
      </c>
      <c r="G603" s="191"/>
      <c r="H603" s="190">
        <v>4.4000000000000004</v>
      </c>
      <c r="L603" s="241"/>
      <c r="M603" s="195"/>
      <c r="N603" s="190"/>
      <c r="O603" s="190"/>
      <c r="P603" s="190"/>
      <c r="Q603" s="190"/>
    </row>
    <row r="604" spans="2:17" ht="16" x14ac:dyDescent="0.2">
      <c r="B604" s="226"/>
      <c r="C604" s="190"/>
      <c r="G604" s="191"/>
      <c r="L604" s="241"/>
      <c r="M604" s="195"/>
      <c r="N604" s="190"/>
      <c r="O604" s="190"/>
      <c r="P604" s="190"/>
      <c r="Q604" s="190"/>
    </row>
    <row r="605" spans="2:17" ht="16" x14ac:dyDescent="0.2">
      <c r="B605" s="226">
        <v>11.7</v>
      </c>
      <c r="C605" s="231">
        <f>DATE(95,3,23)</f>
        <v>34781</v>
      </c>
      <c r="D605" s="225">
        <v>0.41666666666666669</v>
      </c>
      <c r="F605" s="195"/>
      <c r="G605" s="195" t="s">
        <v>606</v>
      </c>
      <c r="H605" s="195"/>
      <c r="I605" s="196"/>
      <c r="J605" s="195">
        <v>7</v>
      </c>
      <c r="K605" s="195"/>
      <c r="L605" s="241"/>
      <c r="M605" s="195"/>
      <c r="N605" s="190"/>
      <c r="O605" s="190"/>
      <c r="P605" s="190"/>
      <c r="Q605" s="190"/>
    </row>
    <row r="606" spans="2:17" ht="16" x14ac:dyDescent="0.2">
      <c r="B606" s="226"/>
      <c r="C606" s="231"/>
      <c r="D606" s="195"/>
      <c r="F606" s="195"/>
      <c r="G606" s="195"/>
      <c r="H606" s="195"/>
      <c r="I606" s="196"/>
      <c r="J606" s="195"/>
      <c r="K606" s="195"/>
      <c r="L606" s="241"/>
      <c r="M606" s="195"/>
      <c r="N606" s="190"/>
      <c r="O606" s="190"/>
      <c r="P606" s="190"/>
      <c r="Q606" s="190"/>
    </row>
    <row r="607" spans="2:17" ht="16" x14ac:dyDescent="0.2">
      <c r="B607" s="226">
        <v>11.2</v>
      </c>
      <c r="C607" s="231">
        <f>DATE(95,2,28)</f>
        <v>34758</v>
      </c>
      <c r="D607" s="225">
        <v>0.375</v>
      </c>
      <c r="F607" s="195"/>
      <c r="G607" s="190" t="s">
        <v>607</v>
      </c>
      <c r="H607" s="195"/>
      <c r="I607" s="196"/>
      <c r="J607" s="195">
        <v>10.3</v>
      </c>
      <c r="K607" s="195"/>
      <c r="L607" s="241"/>
      <c r="M607" s="195"/>
      <c r="N607" s="190"/>
      <c r="O607" s="190"/>
      <c r="P607" s="190"/>
      <c r="Q607" s="190"/>
    </row>
    <row r="608" spans="2:17" ht="16" x14ac:dyDescent="0.2">
      <c r="B608" s="226"/>
      <c r="C608" s="190"/>
      <c r="G608" s="191"/>
      <c r="L608" s="241"/>
      <c r="M608" s="195"/>
      <c r="N608" s="190"/>
      <c r="O608" s="190"/>
      <c r="P608" s="190"/>
      <c r="Q608" s="190"/>
    </row>
    <row r="609" spans="2:17" ht="16" x14ac:dyDescent="0.2">
      <c r="B609" s="226"/>
      <c r="C609" s="231"/>
      <c r="D609" s="195"/>
      <c r="F609" s="195"/>
      <c r="G609" s="195"/>
      <c r="H609" s="195"/>
      <c r="I609" s="196"/>
      <c r="J609" s="195"/>
      <c r="K609" s="195"/>
      <c r="L609" s="241"/>
      <c r="M609" s="195"/>
      <c r="N609" s="190"/>
      <c r="O609" s="190"/>
      <c r="P609" s="190"/>
      <c r="Q609" s="190"/>
    </row>
    <row r="610" spans="2:17" ht="16" x14ac:dyDescent="0.2">
      <c r="B610" s="226">
        <v>12.4</v>
      </c>
      <c r="C610" s="231">
        <f>DATE(94,10,5)</f>
        <v>34612</v>
      </c>
      <c r="D610" s="225">
        <v>0.70833333333333337</v>
      </c>
      <c r="F610" s="195"/>
      <c r="G610" s="195"/>
      <c r="H610" s="195"/>
      <c r="I610" s="196"/>
      <c r="J610" s="195">
        <v>11.1</v>
      </c>
      <c r="L610" s="241"/>
      <c r="M610" s="195"/>
      <c r="N610" s="190"/>
      <c r="O610" s="190"/>
      <c r="P610" s="190"/>
      <c r="Q610" s="190"/>
    </row>
    <row r="611" spans="2:17" ht="16" x14ac:dyDescent="0.2">
      <c r="B611" s="226"/>
      <c r="C611" s="231">
        <f t="shared" ref="C611:C612" si="6">DATE(94,10,5)</f>
        <v>34612</v>
      </c>
      <c r="D611" s="225">
        <v>0.70833333333333337</v>
      </c>
      <c r="E611" s="190">
        <v>1</v>
      </c>
      <c r="F611" s="195">
        <v>9.1999999999999993</v>
      </c>
      <c r="G611" s="195"/>
      <c r="H611" s="195">
        <v>16.5</v>
      </c>
      <c r="I611" s="196"/>
      <c r="J611" s="195"/>
      <c r="L611" s="241"/>
      <c r="M611" s="195"/>
      <c r="N611" s="190"/>
      <c r="O611" s="190"/>
      <c r="P611" s="190"/>
      <c r="Q611" s="190"/>
    </row>
    <row r="612" spans="2:17" ht="16" x14ac:dyDescent="0.2">
      <c r="B612" s="226"/>
      <c r="C612" s="231">
        <f t="shared" si="6"/>
        <v>34612</v>
      </c>
      <c r="D612" s="225">
        <v>0.70833333333333337</v>
      </c>
      <c r="E612" s="190">
        <v>11</v>
      </c>
      <c r="F612" s="195">
        <v>9</v>
      </c>
      <c r="G612" s="195"/>
      <c r="H612" s="195">
        <v>16.3</v>
      </c>
      <c r="I612" s="196"/>
      <c r="J612" s="195"/>
      <c r="L612" s="241"/>
      <c r="M612" s="195"/>
      <c r="N612" s="190"/>
      <c r="O612" s="190"/>
      <c r="P612" s="190"/>
      <c r="Q612" s="190"/>
    </row>
    <row r="613" spans="2:17" ht="16" x14ac:dyDescent="0.2">
      <c r="B613" s="226"/>
      <c r="C613" s="231"/>
      <c r="D613" s="195"/>
      <c r="F613" s="195"/>
      <c r="G613" s="195"/>
      <c r="H613" s="195"/>
      <c r="I613" s="196"/>
      <c r="J613" s="195"/>
      <c r="L613" s="241"/>
      <c r="M613" s="195"/>
      <c r="N613" s="190"/>
      <c r="O613" s="190"/>
      <c r="P613" s="190"/>
      <c r="Q613" s="190"/>
    </row>
    <row r="614" spans="2:17" ht="16" x14ac:dyDescent="0.2">
      <c r="B614" s="228">
        <v>11.4</v>
      </c>
      <c r="C614" s="231">
        <f>DATE(94,9,8)</f>
        <v>34585</v>
      </c>
      <c r="D614" s="225">
        <v>0.52083333333333337</v>
      </c>
      <c r="G614" s="191"/>
      <c r="J614" s="190">
        <v>12.8</v>
      </c>
      <c r="K614" s="195"/>
      <c r="M614" s="195"/>
      <c r="N614" s="190"/>
      <c r="O614" s="190"/>
      <c r="P614" s="190"/>
      <c r="Q614" s="190"/>
    </row>
    <row r="615" spans="2:17" ht="16" x14ac:dyDescent="0.2">
      <c r="B615" s="228"/>
      <c r="C615" s="231">
        <f t="shared" ref="C615:C616" si="7">DATE(94,9,8)</f>
        <v>34585</v>
      </c>
      <c r="D615" s="225">
        <v>0.52083333333333337</v>
      </c>
      <c r="E615" s="190">
        <v>1</v>
      </c>
      <c r="F615" s="190">
        <v>8.6999999999999993</v>
      </c>
      <c r="G615" s="191"/>
      <c r="H615" s="190">
        <v>19.600000000000001</v>
      </c>
      <c r="K615" s="195"/>
      <c r="M615" s="195"/>
      <c r="N615" s="190"/>
      <c r="O615" s="190"/>
      <c r="P615" s="190"/>
      <c r="Q615" s="190"/>
    </row>
    <row r="616" spans="2:17" ht="16" x14ac:dyDescent="0.2">
      <c r="B616" s="228"/>
      <c r="C616" s="231">
        <f t="shared" si="7"/>
        <v>34585</v>
      </c>
      <c r="D616" s="225">
        <v>0.52083333333333337</v>
      </c>
      <c r="E616" s="190">
        <v>10.4</v>
      </c>
      <c r="F616" s="190">
        <v>8.6</v>
      </c>
      <c r="G616" s="191"/>
      <c r="H616" s="190">
        <v>18.899999999999999</v>
      </c>
      <c r="K616" s="195"/>
      <c r="M616" s="195"/>
      <c r="N616" s="190"/>
      <c r="O616" s="190"/>
      <c r="P616" s="190"/>
      <c r="Q616" s="190"/>
    </row>
    <row r="617" spans="2:17" ht="16" x14ac:dyDescent="0.2">
      <c r="B617" s="226"/>
      <c r="C617" s="231"/>
      <c r="D617" s="195"/>
      <c r="F617" s="195"/>
      <c r="G617" s="195"/>
      <c r="H617" s="195"/>
      <c r="I617" s="196"/>
      <c r="J617" s="195"/>
      <c r="L617" s="241"/>
      <c r="M617" s="195"/>
      <c r="N617" s="190"/>
      <c r="O617" s="190"/>
      <c r="P617" s="190"/>
      <c r="Q617" s="190"/>
    </row>
    <row r="618" spans="2:17" ht="16" x14ac:dyDescent="0.2">
      <c r="B618" s="226">
        <v>16.8</v>
      </c>
      <c r="C618" s="231">
        <f>DATE(94,8,9)</f>
        <v>34555</v>
      </c>
      <c r="D618" s="225">
        <v>0.52083333333333337</v>
      </c>
      <c r="F618" s="195"/>
      <c r="G618" s="195"/>
      <c r="H618" s="195"/>
      <c r="I618" s="196"/>
      <c r="J618" s="195">
        <v>10.1</v>
      </c>
      <c r="L618" s="241"/>
      <c r="M618" s="195"/>
      <c r="N618" s="190"/>
      <c r="O618" s="190"/>
      <c r="P618" s="190"/>
      <c r="Q618" s="190"/>
    </row>
    <row r="619" spans="2:17" ht="16" x14ac:dyDescent="0.2">
      <c r="B619" s="226"/>
      <c r="C619" s="231">
        <f t="shared" ref="C619:C621" si="8">DATE(94,8,9)</f>
        <v>34555</v>
      </c>
      <c r="D619" s="225">
        <v>0.52083333333333337</v>
      </c>
      <c r="E619" s="190">
        <v>1</v>
      </c>
      <c r="F619" s="195">
        <v>8.5</v>
      </c>
      <c r="G619" s="195"/>
      <c r="H619" s="195">
        <v>21.6</v>
      </c>
      <c r="I619" s="196"/>
      <c r="J619" s="195"/>
      <c r="L619" s="241"/>
      <c r="M619" s="195"/>
      <c r="N619" s="190"/>
      <c r="O619" s="190"/>
      <c r="P619" s="190"/>
      <c r="Q619" s="190"/>
    </row>
    <row r="620" spans="2:17" ht="16" x14ac:dyDescent="0.2">
      <c r="B620" s="226"/>
      <c r="C620" s="231">
        <f t="shared" si="8"/>
        <v>34555</v>
      </c>
      <c r="D620" s="225">
        <v>0.52083333333333337</v>
      </c>
      <c r="E620" s="190">
        <v>10</v>
      </c>
      <c r="F620" s="195">
        <v>9.6</v>
      </c>
      <c r="G620" s="195"/>
      <c r="H620" s="195">
        <v>17</v>
      </c>
      <c r="I620" s="196"/>
      <c r="J620" s="195"/>
      <c r="L620" s="241"/>
      <c r="M620" s="195"/>
      <c r="N620" s="190"/>
      <c r="O620" s="190"/>
      <c r="P620" s="190"/>
      <c r="Q620" s="190"/>
    </row>
    <row r="621" spans="2:17" ht="16" x14ac:dyDescent="0.2">
      <c r="B621" s="226"/>
      <c r="C621" s="231">
        <f t="shared" si="8"/>
        <v>34555</v>
      </c>
      <c r="D621" s="225">
        <v>0.52083333333333337</v>
      </c>
      <c r="E621" s="190">
        <v>16</v>
      </c>
      <c r="F621" s="195">
        <v>11.4</v>
      </c>
      <c r="G621" s="195"/>
      <c r="H621" s="195">
        <v>9.4</v>
      </c>
      <c r="I621" s="196"/>
      <c r="J621" s="195"/>
      <c r="L621" s="241"/>
      <c r="M621" s="195"/>
      <c r="N621" s="190"/>
      <c r="O621" s="190"/>
      <c r="P621" s="190"/>
      <c r="Q621" s="190"/>
    </row>
    <row r="622" spans="2:17" ht="16" x14ac:dyDescent="0.2">
      <c r="B622" s="226"/>
      <c r="C622" s="190"/>
      <c r="G622" s="191"/>
      <c r="L622" s="241"/>
      <c r="M622" s="195"/>
      <c r="N622" s="190"/>
      <c r="O622" s="190"/>
      <c r="P622" s="190"/>
      <c r="Q622" s="190"/>
    </row>
    <row r="623" spans="2:17" ht="16" x14ac:dyDescent="0.2">
      <c r="B623" s="226">
        <v>10.6</v>
      </c>
      <c r="C623" s="231">
        <f>DATE(94,7,13)</f>
        <v>34528</v>
      </c>
      <c r="D623" s="225">
        <v>0.45833333333333331</v>
      </c>
      <c r="F623" s="195"/>
      <c r="G623" s="195"/>
      <c r="H623" s="195"/>
      <c r="I623" s="196"/>
      <c r="J623" s="195">
        <v>12.1</v>
      </c>
      <c r="K623" t="s">
        <v>608</v>
      </c>
      <c r="L623" s="241"/>
      <c r="M623" s="195"/>
      <c r="N623" s="190"/>
      <c r="O623" s="190"/>
      <c r="P623" s="190"/>
      <c r="Q623" s="190"/>
    </row>
    <row r="624" spans="2:17" ht="16" x14ac:dyDescent="0.2">
      <c r="B624" s="226"/>
      <c r="C624" s="231">
        <f t="shared" ref="C624:C625" si="9">DATE(94,7,13)</f>
        <v>34528</v>
      </c>
      <c r="D624" s="225">
        <v>0.45833333333333331</v>
      </c>
      <c r="E624" s="190">
        <v>1</v>
      </c>
      <c r="F624" s="195">
        <v>9.1</v>
      </c>
      <c r="G624" s="195"/>
      <c r="H624" s="195">
        <v>20.5</v>
      </c>
      <c r="I624" s="196"/>
      <c r="J624" s="195"/>
      <c r="L624" s="241"/>
      <c r="M624" s="195"/>
      <c r="N624" s="190"/>
      <c r="O624" s="190"/>
      <c r="P624" s="190"/>
      <c r="Q624" s="190"/>
    </row>
    <row r="625" spans="2:17" ht="16" x14ac:dyDescent="0.2">
      <c r="B625" s="226"/>
      <c r="C625" s="231">
        <f t="shared" si="9"/>
        <v>34528</v>
      </c>
      <c r="D625" s="225">
        <v>0.45833333333333331</v>
      </c>
      <c r="E625" s="190">
        <v>10</v>
      </c>
      <c r="F625" s="195">
        <v>9.6999999999999993</v>
      </c>
      <c r="G625" s="195"/>
      <c r="H625" s="195">
        <v>10.3</v>
      </c>
      <c r="I625" s="196"/>
      <c r="J625" s="195"/>
      <c r="L625" s="241"/>
      <c r="M625" s="195"/>
      <c r="N625" s="190"/>
      <c r="O625" s="190"/>
      <c r="P625" s="190"/>
      <c r="Q625" s="190"/>
    </row>
    <row r="626" spans="2:17" ht="16" x14ac:dyDescent="0.2">
      <c r="B626" s="226"/>
      <c r="C626" s="231"/>
      <c r="D626" s="195"/>
      <c r="F626" s="195"/>
      <c r="G626" s="195"/>
      <c r="H626" s="195"/>
      <c r="I626" s="196"/>
      <c r="J626" s="195"/>
      <c r="L626" s="241"/>
      <c r="M626" s="195"/>
      <c r="N626" s="190"/>
      <c r="O626" s="190"/>
      <c r="P626" s="190"/>
      <c r="Q626" s="190"/>
    </row>
    <row r="627" spans="2:17" ht="16" x14ac:dyDescent="0.2">
      <c r="B627" s="226">
        <v>10.199999999999999</v>
      </c>
      <c r="C627" s="231">
        <f>DATE(94,6,22)</f>
        <v>34507</v>
      </c>
      <c r="D627" s="225">
        <v>0.4375</v>
      </c>
      <c r="F627" s="195"/>
      <c r="G627" s="195"/>
      <c r="H627" s="195"/>
      <c r="I627" s="196"/>
      <c r="J627" s="195">
        <v>9.3000000000000007</v>
      </c>
      <c r="L627" s="241"/>
      <c r="M627" s="195"/>
      <c r="N627" s="190"/>
      <c r="O627" s="190"/>
      <c r="P627" s="190"/>
      <c r="Q627" s="190"/>
    </row>
    <row r="628" spans="2:17" ht="16" x14ac:dyDescent="0.2">
      <c r="B628" s="226"/>
      <c r="C628" s="231">
        <f t="shared" ref="C628:C629" si="10">DATE(94,6,22)</f>
        <v>34507</v>
      </c>
      <c r="D628" s="225">
        <v>0.4375</v>
      </c>
      <c r="E628" s="190">
        <v>1</v>
      </c>
      <c r="F628" s="195">
        <v>9.6</v>
      </c>
      <c r="G628" s="195"/>
      <c r="H628" s="195">
        <v>17.8</v>
      </c>
      <c r="I628" s="196"/>
      <c r="J628" s="195"/>
      <c r="L628" s="241"/>
      <c r="M628" s="195"/>
      <c r="N628" s="190"/>
      <c r="O628" s="190"/>
      <c r="P628" s="190"/>
      <c r="Q628" s="190"/>
    </row>
    <row r="629" spans="2:17" ht="16" x14ac:dyDescent="0.2">
      <c r="B629" s="226"/>
      <c r="C629" s="231">
        <f t="shared" si="10"/>
        <v>34507</v>
      </c>
      <c r="D629" s="225">
        <v>0.4375</v>
      </c>
      <c r="E629" s="190">
        <v>9.5</v>
      </c>
      <c r="F629" s="195">
        <v>10.6</v>
      </c>
      <c r="G629" s="195"/>
      <c r="H629" s="195">
        <v>12.7</v>
      </c>
      <c r="I629" s="196"/>
      <c r="J629" s="195"/>
      <c r="L629" s="241"/>
      <c r="M629" s="195"/>
      <c r="N629" s="190"/>
      <c r="O629" s="190"/>
      <c r="P629" s="190"/>
      <c r="Q629" s="190"/>
    </row>
    <row r="630" spans="2:17" ht="16" x14ac:dyDescent="0.2">
      <c r="B630" s="226"/>
      <c r="C630" s="231"/>
      <c r="D630" s="195"/>
      <c r="F630" s="195"/>
      <c r="G630" s="195"/>
      <c r="H630" s="195"/>
      <c r="I630" s="196"/>
      <c r="J630" s="195"/>
      <c r="L630" s="241"/>
      <c r="M630" s="195"/>
      <c r="N630" s="190"/>
      <c r="O630" s="190"/>
      <c r="P630" s="190"/>
      <c r="Q630" s="190"/>
    </row>
    <row r="631" spans="2:17" ht="16" x14ac:dyDescent="0.2">
      <c r="B631" s="226">
        <v>10.4</v>
      </c>
      <c r="C631" s="231">
        <f>DATE(94,6,3)</f>
        <v>34488</v>
      </c>
      <c r="D631" s="225">
        <v>0.5625</v>
      </c>
      <c r="F631" s="195"/>
      <c r="G631" s="195"/>
      <c r="H631" s="195"/>
      <c r="I631" s="196"/>
      <c r="J631" s="195">
        <v>9.3000000000000007</v>
      </c>
      <c r="K631" s="195"/>
    </row>
    <row r="632" spans="2:17" ht="16" x14ac:dyDescent="0.2">
      <c r="B632" s="226"/>
      <c r="C632" s="231">
        <f>DATE(94,6,3)</f>
        <v>34488</v>
      </c>
      <c r="D632" s="225">
        <v>0.5625</v>
      </c>
      <c r="E632" s="190">
        <v>1</v>
      </c>
      <c r="F632" s="195">
        <v>10.1</v>
      </c>
      <c r="G632" s="195"/>
      <c r="H632" s="195">
        <v>16.600000000000001</v>
      </c>
      <c r="I632" s="196"/>
      <c r="J632" s="195"/>
      <c r="K632" s="195"/>
    </row>
    <row r="633" spans="2:17" ht="16" x14ac:dyDescent="0.2">
      <c r="B633" s="226"/>
      <c r="C633" s="231">
        <f>DATE(94,6,3)</f>
        <v>34488</v>
      </c>
      <c r="D633" s="225">
        <v>0.5625</v>
      </c>
      <c r="E633" s="190">
        <v>9</v>
      </c>
      <c r="F633" s="195">
        <v>10.6</v>
      </c>
      <c r="G633" s="195"/>
      <c r="H633" s="195">
        <v>12.3</v>
      </c>
      <c r="I633" s="196"/>
      <c r="J633" s="195"/>
      <c r="K633" s="195"/>
    </row>
    <row r="634" spans="2:17" ht="16" x14ac:dyDescent="0.2">
      <c r="B634" s="226"/>
      <c r="C634" s="190"/>
      <c r="G634" s="191"/>
      <c r="K634" s="195"/>
    </row>
    <row r="635" spans="2:17" ht="16" x14ac:dyDescent="0.2">
      <c r="B635" s="226">
        <v>9.1</v>
      </c>
      <c r="C635" s="231">
        <f>DATE(94,5,19)</f>
        <v>34473</v>
      </c>
      <c r="D635" s="225">
        <v>0.45833333333333331</v>
      </c>
      <c r="F635" s="195"/>
      <c r="G635" s="195"/>
      <c r="H635" s="195"/>
      <c r="I635" s="196"/>
      <c r="J635" s="195">
        <v>9</v>
      </c>
      <c r="K635" s="195"/>
    </row>
    <row r="636" spans="2:17" ht="16" x14ac:dyDescent="0.2">
      <c r="B636" s="226"/>
      <c r="C636" s="231">
        <f t="shared" ref="C636:C637" si="11">DATE(94,5,19)</f>
        <v>34473</v>
      </c>
      <c r="D636" s="225">
        <v>0.45833333333333331</v>
      </c>
      <c r="E636" s="190">
        <v>1</v>
      </c>
      <c r="F636" s="190">
        <v>10.9</v>
      </c>
      <c r="G636" s="191"/>
      <c r="H636" s="190">
        <v>12.2</v>
      </c>
      <c r="K636" s="195"/>
    </row>
    <row r="637" spans="2:17" ht="16" x14ac:dyDescent="0.2">
      <c r="B637" s="226"/>
      <c r="C637" s="231">
        <f t="shared" si="11"/>
        <v>34473</v>
      </c>
      <c r="D637" s="225">
        <v>0.45833333333333331</v>
      </c>
      <c r="E637" s="190">
        <v>8</v>
      </c>
      <c r="F637" s="190">
        <v>10.6</v>
      </c>
      <c r="G637" s="191"/>
      <c r="H637" s="190">
        <v>11.9</v>
      </c>
      <c r="K637" s="195"/>
    </row>
    <row r="638" spans="2:17" ht="16" x14ac:dyDescent="0.2">
      <c r="B638" s="226"/>
      <c r="C638" s="190"/>
      <c r="G638" s="191"/>
      <c r="K638" s="195"/>
    </row>
    <row r="639" spans="2:17" ht="16" x14ac:dyDescent="0.2">
      <c r="B639" s="226">
        <v>9.3000000000000007</v>
      </c>
      <c r="C639" s="231">
        <f>DATE(94,4,27)</f>
        <v>34451</v>
      </c>
      <c r="D639" s="225">
        <v>0.41666666666666669</v>
      </c>
      <c r="F639" s="195"/>
      <c r="G639" s="195"/>
      <c r="H639" s="195"/>
      <c r="I639" s="196"/>
      <c r="J639" s="195">
        <v>7.1</v>
      </c>
      <c r="K639" s="195"/>
    </row>
    <row r="640" spans="2:17" ht="16" x14ac:dyDescent="0.2">
      <c r="B640" s="226"/>
      <c r="C640" s="231">
        <f t="shared" ref="C640:C641" si="12">DATE(94,4,27)</f>
        <v>34451</v>
      </c>
      <c r="D640" s="225">
        <v>0.41666666666666669</v>
      </c>
      <c r="E640" s="190">
        <v>1</v>
      </c>
      <c r="F640" s="195">
        <v>12.1</v>
      </c>
      <c r="G640" s="195"/>
      <c r="H640" s="195">
        <v>8.4</v>
      </c>
      <c r="I640" s="196"/>
      <c r="J640" s="195"/>
      <c r="K640" s="195"/>
    </row>
    <row r="641" spans="2:11" ht="16" x14ac:dyDescent="0.2">
      <c r="B641" s="226"/>
      <c r="C641" s="231">
        <f t="shared" si="12"/>
        <v>34451</v>
      </c>
      <c r="D641" s="225">
        <v>0.41666666666666669</v>
      </c>
      <c r="E641" s="190">
        <v>8</v>
      </c>
      <c r="F641" s="195">
        <v>11.8</v>
      </c>
      <c r="G641" s="195"/>
      <c r="H641" s="195">
        <v>6.8</v>
      </c>
      <c r="I641" s="196"/>
      <c r="J641" s="195"/>
      <c r="K641" s="195"/>
    </row>
    <row r="642" spans="2:11" ht="16" x14ac:dyDescent="0.2">
      <c r="B642" s="226"/>
      <c r="C642" s="231"/>
      <c r="D642" s="195"/>
      <c r="F642" s="195"/>
      <c r="G642" s="195"/>
      <c r="H642" s="195"/>
      <c r="I642" s="196"/>
      <c r="J642" s="195"/>
      <c r="K642" s="195"/>
    </row>
    <row r="643" spans="2:11" ht="16" x14ac:dyDescent="0.2">
      <c r="B643" s="226">
        <v>8.3000000000000007</v>
      </c>
      <c r="C643" s="231">
        <f>DATE(94,3,30)</f>
        <v>34423</v>
      </c>
      <c r="D643" s="225">
        <v>0.41666666666666669</v>
      </c>
      <c r="F643" s="195"/>
      <c r="G643" s="195"/>
      <c r="H643" s="195"/>
      <c r="I643" s="196"/>
      <c r="J643" s="195">
        <v>8.3000000000000007</v>
      </c>
      <c r="K643" s="195"/>
    </row>
    <row r="644" spans="2:11" ht="16" x14ac:dyDescent="0.2">
      <c r="B644" s="226"/>
      <c r="C644" s="231">
        <f t="shared" ref="C644:C645" si="13">DATE(94,3,30)</f>
        <v>34423</v>
      </c>
      <c r="D644" s="225">
        <v>0.41666666666666669</v>
      </c>
      <c r="E644" s="190">
        <v>1</v>
      </c>
      <c r="F644" s="190">
        <v>11.7</v>
      </c>
      <c r="G644" s="191"/>
      <c r="H644" s="190">
        <v>4.5999999999999996</v>
      </c>
      <c r="K644" s="195"/>
    </row>
    <row r="645" spans="2:11" ht="16" x14ac:dyDescent="0.2">
      <c r="B645" s="226"/>
      <c r="C645" s="231">
        <f t="shared" si="13"/>
        <v>34423</v>
      </c>
      <c r="D645" s="225">
        <v>0.41666666666666669</v>
      </c>
      <c r="E645" s="190">
        <v>7</v>
      </c>
      <c r="F645" s="195">
        <v>11.7</v>
      </c>
      <c r="G645" s="195"/>
      <c r="H645" s="195">
        <v>4.5999999999999996</v>
      </c>
      <c r="I645" s="196"/>
      <c r="J645" s="195"/>
    </row>
    <row r="646" spans="2:11" ht="16" x14ac:dyDescent="0.2">
      <c r="B646" s="226"/>
      <c r="C646" s="190"/>
      <c r="G646" s="191"/>
    </row>
    <row r="647" spans="2:11" ht="16" x14ac:dyDescent="0.2">
      <c r="B647" s="226">
        <v>15.6</v>
      </c>
      <c r="C647" s="231">
        <f>DATE(93,4,22)</f>
        <v>34081</v>
      </c>
      <c r="D647" s="225">
        <v>0.5625</v>
      </c>
      <c r="F647" s="195" t="s">
        <v>599</v>
      </c>
      <c r="G647" s="195" t="s">
        <v>599</v>
      </c>
      <c r="H647" s="195"/>
      <c r="I647" s="196"/>
      <c r="J647" s="195">
        <v>4.7</v>
      </c>
      <c r="K647" s="195"/>
    </row>
    <row r="648" spans="2:11" ht="16" x14ac:dyDescent="0.2">
      <c r="B648" s="226"/>
      <c r="C648" s="231"/>
      <c r="D648" s="225"/>
      <c r="F648" s="195"/>
      <c r="G648" s="195"/>
      <c r="H648" s="195"/>
      <c r="I648" s="196"/>
      <c r="J648" s="195"/>
      <c r="K648" s="195"/>
    </row>
    <row r="649" spans="2:11" ht="16" x14ac:dyDescent="0.2">
      <c r="B649" s="226">
        <v>17.600000000000001</v>
      </c>
      <c r="C649" s="231">
        <f>DATE(93,5,19)</f>
        <v>34108</v>
      </c>
      <c r="D649" s="225">
        <v>0.5</v>
      </c>
      <c r="E649" s="190">
        <v>1</v>
      </c>
      <c r="F649" s="195">
        <v>12</v>
      </c>
      <c r="G649" s="195"/>
      <c r="H649" s="195">
        <v>14.4</v>
      </c>
      <c r="I649" s="196"/>
      <c r="J649" s="195">
        <v>7</v>
      </c>
      <c r="K649" s="195"/>
    </row>
    <row r="650" spans="2:11" ht="16" x14ac:dyDescent="0.2">
      <c r="B650" s="226"/>
      <c r="C650" s="231">
        <f>DATE(93,5,19)</f>
        <v>34108</v>
      </c>
      <c r="D650" s="225"/>
      <c r="E650" s="190">
        <v>15</v>
      </c>
      <c r="F650" s="195">
        <v>13.2</v>
      </c>
      <c r="G650" s="195"/>
      <c r="H650" s="195">
        <v>5.9</v>
      </c>
      <c r="I650" s="196"/>
      <c r="J650" s="195"/>
      <c r="K650" s="195"/>
    </row>
    <row r="651" spans="2:11" ht="16" x14ac:dyDescent="0.2">
      <c r="B651" s="226">
        <v>14.5</v>
      </c>
      <c r="C651" s="231">
        <f>DATE(93,6,16)</f>
        <v>34136</v>
      </c>
      <c r="D651" s="225">
        <v>0.47916666666666669</v>
      </c>
      <c r="F651" s="195"/>
      <c r="G651" s="195"/>
      <c r="H651" s="195"/>
      <c r="I651" s="196"/>
      <c r="J651" s="195">
        <v>7.5</v>
      </c>
      <c r="K651" s="195"/>
    </row>
    <row r="652" spans="2:11" ht="16" x14ac:dyDescent="0.2">
      <c r="B652" s="226"/>
      <c r="C652" s="231">
        <f>DATE(93,6,16)</f>
        <v>34136</v>
      </c>
      <c r="D652" s="225">
        <v>0.47916666666666669</v>
      </c>
      <c r="E652" s="190">
        <v>1</v>
      </c>
      <c r="F652" s="195">
        <v>9.1999999999999993</v>
      </c>
      <c r="G652" s="195"/>
      <c r="H652" s="195">
        <v>16.7</v>
      </c>
      <c r="I652" s="196"/>
      <c r="J652" s="195"/>
      <c r="K652" s="195"/>
    </row>
    <row r="653" spans="2:11" ht="16" x14ac:dyDescent="0.2">
      <c r="B653" s="226"/>
      <c r="C653" s="231">
        <f>DATE(93,6,16)</f>
        <v>34136</v>
      </c>
      <c r="D653" s="225">
        <v>0.47916666666666669</v>
      </c>
      <c r="E653" s="190">
        <v>14</v>
      </c>
      <c r="F653" s="195">
        <v>9.6</v>
      </c>
      <c r="G653" s="195"/>
      <c r="H653" s="195">
        <v>6.8</v>
      </c>
      <c r="I653" s="196"/>
      <c r="K653" s="195"/>
    </row>
    <row r="654" spans="2:11" ht="16" x14ac:dyDescent="0.2">
      <c r="B654" s="226"/>
      <c r="C654" s="231"/>
      <c r="D654" s="225"/>
      <c r="F654" s="195"/>
      <c r="G654" s="195"/>
      <c r="H654" s="195"/>
      <c r="I654" s="196"/>
      <c r="J654" s="195"/>
      <c r="K654" s="195"/>
    </row>
    <row r="655" spans="2:11" ht="16" x14ac:dyDescent="0.2">
      <c r="B655" s="226">
        <v>13.4</v>
      </c>
      <c r="C655" s="231">
        <v>34157</v>
      </c>
      <c r="D655" s="225">
        <v>0.54166666666666663</v>
      </c>
      <c r="F655" s="195"/>
      <c r="G655" s="195"/>
      <c r="H655" s="195"/>
      <c r="I655" s="196"/>
      <c r="J655" s="195">
        <v>6.7</v>
      </c>
      <c r="K655" s="195"/>
    </row>
    <row r="656" spans="2:11" ht="16" x14ac:dyDescent="0.2">
      <c r="B656" s="226"/>
      <c r="C656" s="231">
        <v>34157</v>
      </c>
      <c r="D656" s="225">
        <v>0.54166666666666663</v>
      </c>
      <c r="E656" s="190">
        <v>1</v>
      </c>
      <c r="F656" s="195">
        <v>9.1999999999999993</v>
      </c>
      <c r="G656" s="195"/>
      <c r="H656" s="195">
        <v>17.899999999999999</v>
      </c>
      <c r="I656" s="196"/>
      <c r="J656" s="195"/>
      <c r="K656" s="195"/>
    </row>
    <row r="657" spans="2:11" ht="16" x14ac:dyDescent="0.2">
      <c r="B657" s="226"/>
      <c r="C657" s="231">
        <v>34157</v>
      </c>
      <c r="D657" s="225">
        <v>0.54166666666666663</v>
      </c>
      <c r="E657" s="190">
        <v>8</v>
      </c>
      <c r="F657" s="195">
        <v>9.4</v>
      </c>
      <c r="G657" s="195"/>
      <c r="H657" s="195">
        <v>16</v>
      </c>
      <c r="I657" s="196"/>
      <c r="J657" s="195"/>
      <c r="K657" s="195"/>
    </row>
    <row r="658" spans="2:11" ht="16" x14ac:dyDescent="0.2">
      <c r="B658" s="226"/>
      <c r="C658" s="231">
        <v>34157</v>
      </c>
      <c r="D658" s="225">
        <v>0.54166666666666663</v>
      </c>
      <c r="E658" s="190">
        <v>10</v>
      </c>
      <c r="F658" s="195">
        <v>9.6</v>
      </c>
      <c r="G658" s="195"/>
      <c r="H658" s="195">
        <v>14.8</v>
      </c>
      <c r="I658" s="196"/>
      <c r="J658" s="195"/>
      <c r="K658" s="195"/>
    </row>
    <row r="659" spans="2:11" ht="16" x14ac:dyDescent="0.2">
      <c r="B659" s="226"/>
      <c r="C659" s="231">
        <v>34157</v>
      </c>
      <c r="D659" s="225">
        <v>0.54166666666666663</v>
      </c>
      <c r="E659" s="190">
        <v>13</v>
      </c>
      <c r="F659" s="195">
        <v>11</v>
      </c>
      <c r="G659" s="195"/>
      <c r="H659" s="195">
        <v>8.3000000000000007</v>
      </c>
      <c r="I659" s="196"/>
      <c r="J659" s="195"/>
      <c r="K659" s="195"/>
    </row>
    <row r="660" spans="2:11" ht="16" x14ac:dyDescent="0.2">
      <c r="B660" s="226"/>
      <c r="C660" s="231"/>
      <c r="D660" s="225"/>
      <c r="F660" s="195"/>
      <c r="G660" s="195"/>
      <c r="H660" s="195"/>
      <c r="I660" s="196"/>
      <c r="J660" s="195"/>
      <c r="K660" s="195"/>
    </row>
    <row r="661" spans="2:11" ht="16" x14ac:dyDescent="0.2">
      <c r="B661" s="226">
        <v>13.6</v>
      </c>
      <c r="C661" s="231">
        <f>DATE(93,7,28)</f>
        <v>34178</v>
      </c>
      <c r="D661" s="225">
        <v>0.5625</v>
      </c>
      <c r="F661" s="195"/>
      <c r="G661" s="195"/>
      <c r="H661" s="195"/>
      <c r="I661" s="196"/>
      <c r="J661" s="195">
        <v>10.5</v>
      </c>
      <c r="K661" s="195"/>
    </row>
    <row r="662" spans="2:11" ht="16" x14ac:dyDescent="0.2">
      <c r="B662" s="226"/>
      <c r="C662" s="231">
        <f t="shared" ref="C662:C670" si="14">DATE(93,7,28)</f>
        <v>34178</v>
      </c>
      <c r="D662" s="225">
        <v>0.5625</v>
      </c>
      <c r="E662" s="190">
        <v>0</v>
      </c>
      <c r="F662" s="195">
        <v>9.1999999999999993</v>
      </c>
      <c r="G662" s="195"/>
      <c r="H662" s="195">
        <v>19.8</v>
      </c>
      <c r="I662" s="196"/>
      <c r="J662" s="195"/>
      <c r="K662" s="195"/>
    </row>
    <row r="663" spans="2:11" ht="16" x14ac:dyDescent="0.2">
      <c r="B663" s="226"/>
      <c r="C663" s="231">
        <f t="shared" si="14"/>
        <v>34178</v>
      </c>
      <c r="D663" s="225">
        <v>0.5625</v>
      </c>
      <c r="E663" s="190">
        <v>2</v>
      </c>
      <c r="F663" s="195">
        <v>9.1999999999999993</v>
      </c>
      <c r="G663" s="195"/>
      <c r="H663" s="195">
        <v>19.100000000000001</v>
      </c>
      <c r="I663" s="196"/>
      <c r="J663" s="195"/>
      <c r="K663" s="195"/>
    </row>
    <row r="664" spans="2:11" ht="16" x14ac:dyDescent="0.2">
      <c r="B664" s="226"/>
      <c r="C664" s="231">
        <f t="shared" si="14"/>
        <v>34178</v>
      </c>
      <c r="D664" s="225">
        <v>0.5625</v>
      </c>
      <c r="E664" s="190">
        <v>4</v>
      </c>
      <c r="F664" s="195">
        <v>9.3000000000000007</v>
      </c>
      <c r="G664" s="195"/>
      <c r="H664" s="195">
        <v>17.7</v>
      </c>
      <c r="I664" s="196"/>
      <c r="J664" s="195"/>
      <c r="K664" s="195"/>
    </row>
    <row r="665" spans="2:11" ht="16" x14ac:dyDescent="0.2">
      <c r="B665" s="226"/>
      <c r="C665" s="231">
        <f t="shared" si="14"/>
        <v>34178</v>
      </c>
      <c r="D665" s="225">
        <v>0.5625</v>
      </c>
      <c r="E665" s="190">
        <v>6</v>
      </c>
      <c r="F665" s="195">
        <v>9.4</v>
      </c>
      <c r="G665" s="195"/>
      <c r="H665" s="195">
        <v>17.2</v>
      </c>
      <c r="I665" s="196"/>
      <c r="J665" s="195"/>
      <c r="K665" s="195"/>
    </row>
    <row r="666" spans="2:11" ht="16" x14ac:dyDescent="0.2">
      <c r="B666" s="226"/>
      <c r="C666" s="231">
        <f t="shared" si="14"/>
        <v>34178</v>
      </c>
      <c r="D666" s="225">
        <v>0.5625</v>
      </c>
      <c r="E666" s="190">
        <v>8</v>
      </c>
      <c r="F666" s="195">
        <v>9.4</v>
      </c>
      <c r="G666" s="195"/>
      <c r="H666" s="195">
        <v>16.8</v>
      </c>
      <c r="I666" s="196"/>
      <c r="J666" s="195"/>
      <c r="K666" s="195"/>
    </row>
    <row r="667" spans="2:11" ht="16" x14ac:dyDescent="0.2">
      <c r="B667" s="226"/>
      <c r="C667" s="231">
        <f t="shared" si="14"/>
        <v>34178</v>
      </c>
      <c r="D667" s="225">
        <v>0.5625</v>
      </c>
      <c r="E667" s="190">
        <v>10</v>
      </c>
      <c r="F667" s="195">
        <v>9.5</v>
      </c>
      <c r="G667" s="195"/>
      <c r="H667" s="195">
        <v>16.3</v>
      </c>
      <c r="I667" s="196"/>
      <c r="J667" s="195"/>
      <c r="K667" s="195"/>
    </row>
    <row r="668" spans="2:11" ht="16" x14ac:dyDescent="0.2">
      <c r="B668" s="226"/>
      <c r="C668" s="231">
        <f t="shared" si="14"/>
        <v>34178</v>
      </c>
      <c r="D668" s="225">
        <v>0.5625</v>
      </c>
      <c r="E668" s="190">
        <v>11</v>
      </c>
      <c r="F668" s="195">
        <v>9.8000000000000007</v>
      </c>
      <c r="G668" s="195"/>
      <c r="H668" s="195">
        <v>14.8</v>
      </c>
      <c r="I668" s="196"/>
      <c r="J668" s="195"/>
      <c r="K668" s="195"/>
    </row>
    <row r="669" spans="2:11" ht="16" x14ac:dyDescent="0.2">
      <c r="B669" s="226"/>
      <c r="C669" s="231">
        <f t="shared" si="14"/>
        <v>34178</v>
      </c>
      <c r="D669" s="225">
        <v>0.5625</v>
      </c>
      <c r="E669" s="190">
        <v>12</v>
      </c>
      <c r="F669" s="195">
        <v>10</v>
      </c>
      <c r="G669" s="195"/>
      <c r="H669" s="195">
        <v>13.8</v>
      </c>
      <c r="I669" s="196"/>
      <c r="J669" s="195"/>
      <c r="K669" s="195"/>
    </row>
    <row r="670" spans="2:11" ht="16" x14ac:dyDescent="0.2">
      <c r="B670" s="226"/>
      <c r="C670" s="231">
        <f t="shared" si="14"/>
        <v>34178</v>
      </c>
      <c r="D670" s="225">
        <v>0.5625</v>
      </c>
      <c r="E670" s="190">
        <v>13</v>
      </c>
      <c r="F670" s="195">
        <v>10.3</v>
      </c>
      <c r="G670" s="195"/>
      <c r="H670" s="195">
        <v>12.7</v>
      </c>
      <c r="I670" s="196"/>
      <c r="J670" s="195"/>
      <c r="K670" s="195"/>
    </row>
    <row r="671" spans="2:11" ht="16" x14ac:dyDescent="0.2">
      <c r="B671" s="226"/>
      <c r="C671" s="231"/>
      <c r="D671" s="225"/>
      <c r="F671" s="195"/>
      <c r="G671" s="195"/>
      <c r="H671" s="195"/>
      <c r="I671" s="196"/>
      <c r="J671" s="195"/>
      <c r="K671" s="195"/>
    </row>
    <row r="672" spans="2:11" ht="16" x14ac:dyDescent="0.2">
      <c r="B672" s="226">
        <v>14.2</v>
      </c>
      <c r="C672" s="231">
        <f>DATE(93,8,18)</f>
        <v>34199</v>
      </c>
      <c r="D672" s="225">
        <v>0.59375</v>
      </c>
      <c r="F672" s="195"/>
      <c r="G672" s="195"/>
      <c r="H672" s="195"/>
      <c r="I672" s="196"/>
      <c r="J672" s="195">
        <v>14</v>
      </c>
      <c r="K672" s="195"/>
    </row>
    <row r="673" spans="2:11" ht="16" x14ac:dyDescent="0.2">
      <c r="B673" s="226"/>
      <c r="C673" s="231">
        <f t="shared" ref="C673:C675" si="15">DATE(93,8,18)</f>
        <v>34199</v>
      </c>
      <c r="D673" s="225">
        <v>0.59375</v>
      </c>
      <c r="E673" s="190">
        <v>1</v>
      </c>
      <c r="F673" s="195">
        <v>8.6</v>
      </c>
      <c r="G673" s="195"/>
      <c r="H673" s="195">
        <v>20.2</v>
      </c>
      <c r="I673" s="196"/>
      <c r="J673" s="195"/>
      <c r="K673" s="195"/>
    </row>
    <row r="674" spans="2:11" ht="16" x14ac:dyDescent="0.2">
      <c r="B674" s="226"/>
      <c r="C674" s="231">
        <f t="shared" si="15"/>
        <v>34199</v>
      </c>
      <c r="D674" s="225">
        <v>0.59375</v>
      </c>
      <c r="E674" s="190">
        <v>10</v>
      </c>
      <c r="F674" s="195">
        <v>9.3000000000000007</v>
      </c>
      <c r="G674" s="195"/>
      <c r="H674" s="195">
        <v>16.3</v>
      </c>
      <c r="I674" s="196"/>
      <c r="J674" s="195"/>
      <c r="K674" s="195"/>
    </row>
    <row r="675" spans="2:11" ht="16" x14ac:dyDescent="0.2">
      <c r="B675" s="226"/>
      <c r="C675" s="231">
        <f t="shared" si="15"/>
        <v>34199</v>
      </c>
      <c r="D675" s="225">
        <v>0.59375</v>
      </c>
      <c r="E675" s="190">
        <v>13</v>
      </c>
      <c r="F675" s="195">
        <v>11.3</v>
      </c>
      <c r="G675" s="195"/>
      <c r="H675" s="195">
        <v>11.3</v>
      </c>
      <c r="I675" s="196"/>
      <c r="J675" s="195"/>
      <c r="K675" s="195"/>
    </row>
    <row r="676" spans="2:11" ht="16" x14ac:dyDescent="0.2">
      <c r="B676" s="226"/>
      <c r="C676" s="242"/>
      <c r="D676" s="225"/>
      <c r="E676" s="198"/>
      <c r="F676" s="195"/>
      <c r="G676" s="195"/>
      <c r="H676" s="195"/>
      <c r="I676" s="196"/>
      <c r="J676" s="198"/>
      <c r="K676" s="195"/>
    </row>
    <row r="677" spans="2:11" ht="16" x14ac:dyDescent="0.2">
      <c r="B677" s="226">
        <v>14.5</v>
      </c>
      <c r="C677" s="231">
        <f>DATE(93,9,15)</f>
        <v>34227</v>
      </c>
      <c r="D677" s="225">
        <v>0.63194444444444442</v>
      </c>
      <c r="E677" s="198"/>
      <c r="F677" s="195"/>
      <c r="G677" s="195"/>
      <c r="H677" s="195"/>
      <c r="I677" s="196"/>
      <c r="J677" s="198">
        <v>12.2</v>
      </c>
      <c r="K677" s="195"/>
    </row>
    <row r="678" spans="2:11" ht="16" x14ac:dyDescent="0.2">
      <c r="B678" s="226">
        <v>14.5</v>
      </c>
      <c r="C678" s="231">
        <f>DATE(93,9,15)</f>
        <v>34227</v>
      </c>
      <c r="D678" s="225">
        <v>0.63194444444444442</v>
      </c>
      <c r="E678" s="190">
        <v>1</v>
      </c>
      <c r="F678" s="195">
        <v>8.73</v>
      </c>
      <c r="G678" s="195"/>
      <c r="H678" s="195">
        <v>17.850000000000001</v>
      </c>
      <c r="I678" s="196"/>
      <c r="J678" s="195"/>
      <c r="K678" s="195"/>
    </row>
    <row r="679" spans="2:11" ht="16" x14ac:dyDescent="0.2">
      <c r="B679" s="226"/>
      <c r="C679" s="231">
        <f>DATE(93,9,15)</f>
        <v>34227</v>
      </c>
      <c r="D679" s="225">
        <v>0.63194444444444442</v>
      </c>
      <c r="E679" s="190">
        <v>13.5</v>
      </c>
      <c r="F679" s="195">
        <v>10.199999999999999</v>
      </c>
      <c r="G679" s="195"/>
      <c r="H679" s="195">
        <v>10.45</v>
      </c>
      <c r="I679" s="196"/>
      <c r="J679" s="195"/>
      <c r="K679" s="195"/>
    </row>
    <row r="680" spans="2:11" ht="16" x14ac:dyDescent="0.2">
      <c r="B680" s="226"/>
      <c r="C680" s="231"/>
      <c r="D680" s="225"/>
      <c r="F680" s="195"/>
      <c r="G680" s="195"/>
      <c r="H680" s="195"/>
      <c r="I680" s="196"/>
      <c r="J680" s="195"/>
      <c r="K680" s="195"/>
    </row>
    <row r="681" spans="2:11" ht="16" x14ac:dyDescent="0.2">
      <c r="B681" s="226">
        <v>13.3</v>
      </c>
      <c r="C681" s="231">
        <f>DATE(93,10,13)</f>
        <v>34255</v>
      </c>
      <c r="D681" s="225">
        <v>0.61458333333333337</v>
      </c>
      <c r="F681" s="195"/>
      <c r="G681" s="195"/>
      <c r="H681" s="195"/>
      <c r="I681" s="196"/>
      <c r="J681" s="195">
        <v>11</v>
      </c>
      <c r="K681" s="195"/>
    </row>
    <row r="682" spans="2:11" ht="16" x14ac:dyDescent="0.2">
      <c r="B682" s="226"/>
      <c r="C682" s="231">
        <f t="shared" ref="C682:C683" si="16">DATE(93,10,13)</f>
        <v>34255</v>
      </c>
      <c r="D682" s="225">
        <v>0.61458333333333337</v>
      </c>
      <c r="E682" s="190">
        <v>1</v>
      </c>
      <c r="F682" s="195">
        <v>9.5</v>
      </c>
      <c r="G682" s="195"/>
      <c r="H682" s="195">
        <v>14.5</v>
      </c>
      <c r="I682" s="196"/>
      <c r="J682" s="195"/>
      <c r="K682" s="195"/>
    </row>
    <row r="683" spans="2:11" ht="16" x14ac:dyDescent="0.2">
      <c r="B683" s="226"/>
      <c r="C683" s="231">
        <f t="shared" si="16"/>
        <v>34255</v>
      </c>
      <c r="D683" s="225">
        <v>0.61458333333333337</v>
      </c>
      <c r="E683" s="198">
        <v>13</v>
      </c>
      <c r="F683" s="190">
        <v>9.4</v>
      </c>
      <c r="G683" s="191"/>
      <c r="H683" s="190">
        <v>14.4</v>
      </c>
      <c r="J683" s="198"/>
    </row>
    <row r="684" spans="2:11" ht="15.75" customHeight="1" x14ac:dyDescent="0.2">
      <c r="C684" s="199"/>
      <c r="D684" s="19"/>
      <c r="E684" s="24"/>
      <c r="F684" s="24"/>
      <c r="G684" s="7"/>
      <c r="H684" s="7"/>
      <c r="J684" s="3"/>
      <c r="K684" s="3"/>
    </row>
    <row r="685" spans="2:11" ht="15.75" customHeight="1" x14ac:dyDescent="0.2">
      <c r="C685" s="202">
        <f>DATE(95,9,20)</f>
        <v>34962</v>
      </c>
      <c r="D685" s="194">
        <v>0.40972222222222227</v>
      </c>
      <c r="F685" s="195"/>
      <c r="G685" s="195"/>
      <c r="H685" s="195"/>
      <c r="I685" s="196"/>
      <c r="J685" s="195">
        <v>12.9</v>
      </c>
      <c r="K685" s="3"/>
    </row>
    <row r="686" spans="2:11" ht="15.75" customHeight="1" x14ac:dyDescent="0.2">
      <c r="C686" s="202">
        <f t="shared" ref="C686:C687" si="17">DATE(95,9,20)</f>
        <v>34962</v>
      </c>
      <c r="D686" s="194"/>
      <c r="E686" s="190">
        <v>1</v>
      </c>
      <c r="F686" s="195">
        <v>8.8000000000000007</v>
      </c>
      <c r="G686" s="195"/>
      <c r="H686" s="195">
        <v>18.2</v>
      </c>
      <c r="I686" s="196"/>
      <c r="J686" s="195"/>
      <c r="K686" s="3"/>
    </row>
    <row r="687" spans="2:11" ht="15.75" customHeight="1" x14ac:dyDescent="0.2">
      <c r="C687" s="202">
        <f t="shared" si="17"/>
        <v>34962</v>
      </c>
      <c r="D687" s="194"/>
      <c r="E687" s="190">
        <v>11</v>
      </c>
      <c r="F687" s="195">
        <v>8.8000000000000007</v>
      </c>
      <c r="G687" s="195"/>
      <c r="H687" s="195">
        <v>16.899999999999999</v>
      </c>
      <c r="I687" s="196"/>
      <c r="J687" s="195"/>
      <c r="K687" s="7"/>
    </row>
    <row r="688" spans="2:11" ht="15.75" customHeight="1" x14ac:dyDescent="0.2">
      <c r="D688" s="197"/>
      <c r="G688" s="191"/>
      <c r="K688" s="7"/>
    </row>
    <row r="689" spans="3:11" ht="15.75" customHeight="1" x14ac:dyDescent="0.2">
      <c r="C689" s="202">
        <f>DATE(95,8,22)</f>
        <v>34933</v>
      </c>
      <c r="D689" s="197">
        <v>0.4375</v>
      </c>
      <c r="F689" s="195"/>
      <c r="G689" s="195"/>
      <c r="H689" s="195"/>
      <c r="I689" s="196"/>
      <c r="J689" s="195">
        <v>10.3</v>
      </c>
      <c r="K689" s="7"/>
    </row>
    <row r="690" spans="3:11" ht="15.75" customHeight="1" x14ac:dyDescent="0.2">
      <c r="C690" s="202">
        <f t="shared" ref="C690:C691" si="18">DATE(95,8,22)</f>
        <v>34933</v>
      </c>
      <c r="D690" s="197"/>
      <c r="E690" s="190">
        <v>1</v>
      </c>
      <c r="F690" s="195">
        <v>9.3000000000000007</v>
      </c>
      <c r="G690" s="195"/>
      <c r="H690" s="195">
        <v>17.100000000000001</v>
      </c>
      <c r="I690" s="196"/>
      <c r="J690" s="195"/>
      <c r="K690" s="7"/>
    </row>
    <row r="691" spans="3:11" ht="15.75" customHeight="1" x14ac:dyDescent="0.2">
      <c r="C691" s="202">
        <f t="shared" si="18"/>
        <v>34933</v>
      </c>
      <c r="D691" s="197"/>
      <c r="E691" s="190">
        <v>10</v>
      </c>
      <c r="F691" s="195">
        <v>8.9</v>
      </c>
      <c r="G691" s="195"/>
      <c r="H691" s="195">
        <v>17.5</v>
      </c>
      <c r="I691" s="196"/>
      <c r="J691" s="195"/>
      <c r="K691" s="7"/>
    </row>
    <row r="692" spans="3:11" ht="15.75" customHeight="1" x14ac:dyDescent="0.2">
      <c r="D692" s="197"/>
      <c r="G692" s="191"/>
      <c r="I692" s="190"/>
      <c r="K692" s="7"/>
    </row>
    <row r="693" spans="3:11" ht="15.75" customHeight="1" x14ac:dyDescent="0.2">
      <c r="D693" s="197"/>
      <c r="G693" s="191"/>
      <c r="I693" s="190"/>
      <c r="K693" s="7"/>
    </row>
    <row r="694" spans="3:11" ht="15.75" customHeight="1" x14ac:dyDescent="0.2">
      <c r="C694" s="202">
        <f>DATE(95,7,6)</f>
        <v>34886</v>
      </c>
      <c r="D694" s="197">
        <v>0.4375</v>
      </c>
      <c r="F694" s="195"/>
      <c r="G694" s="195"/>
      <c r="H694" s="195"/>
      <c r="I694" s="196"/>
      <c r="J694" s="195">
        <v>8</v>
      </c>
      <c r="K694" s="7"/>
    </row>
    <row r="695" spans="3:11" ht="15.75" customHeight="1" x14ac:dyDescent="0.2">
      <c r="C695" s="202">
        <f t="shared" ref="C695:C696" si="19">DATE(95,7,6)</f>
        <v>34886</v>
      </c>
      <c r="D695" s="194"/>
      <c r="E695" s="190">
        <v>1</v>
      </c>
      <c r="F695" s="195">
        <v>10</v>
      </c>
      <c r="G695" s="195"/>
      <c r="H695" s="195">
        <v>17.7</v>
      </c>
      <c r="I695" s="196"/>
      <c r="J695" s="195"/>
      <c r="K695" s="7"/>
    </row>
    <row r="696" spans="3:11" ht="15.75" customHeight="1" x14ac:dyDescent="0.2">
      <c r="C696" s="202">
        <f t="shared" si="19"/>
        <v>34886</v>
      </c>
      <c r="D696" s="194"/>
      <c r="E696" s="190">
        <v>11</v>
      </c>
      <c r="F696" s="195">
        <v>10.9</v>
      </c>
      <c r="G696" s="195"/>
      <c r="H696" s="195">
        <v>12.4</v>
      </c>
      <c r="I696" s="196"/>
      <c r="J696" s="195"/>
      <c r="K696" s="7"/>
    </row>
    <row r="697" spans="3:11" ht="15.75" customHeight="1" x14ac:dyDescent="0.2">
      <c r="D697" s="197"/>
      <c r="G697" s="191"/>
      <c r="K697" s="7"/>
    </row>
    <row r="698" spans="3:11" ht="15.75" customHeight="1" x14ac:dyDescent="0.2">
      <c r="C698" s="202">
        <f>DATE(95,6,13)</f>
        <v>34863</v>
      </c>
      <c r="D698" s="197">
        <v>0.35416666666666669</v>
      </c>
      <c r="F698" s="195"/>
      <c r="G698" s="195"/>
      <c r="H698" s="195"/>
      <c r="I698" s="196"/>
      <c r="J698" s="195">
        <v>6.8</v>
      </c>
      <c r="K698" s="3"/>
    </row>
    <row r="699" spans="3:11" ht="15.75" customHeight="1" x14ac:dyDescent="0.2">
      <c r="C699" s="202">
        <f t="shared" ref="C699:C700" si="20">DATE(95,6,13)</f>
        <v>34863</v>
      </c>
      <c r="D699" s="197"/>
      <c r="E699" s="190">
        <v>1</v>
      </c>
      <c r="F699" s="190">
        <v>10.8</v>
      </c>
      <c r="G699" s="191"/>
      <c r="H699" s="190">
        <v>14.6</v>
      </c>
      <c r="K699" s="3"/>
    </row>
    <row r="700" spans="3:11" ht="15.75" customHeight="1" x14ac:dyDescent="0.2">
      <c r="C700" s="202">
        <f t="shared" si="20"/>
        <v>34863</v>
      </c>
      <c r="D700" s="197"/>
      <c r="E700" s="190">
        <v>10</v>
      </c>
      <c r="F700" s="190">
        <v>11.5</v>
      </c>
      <c r="G700" s="191"/>
      <c r="H700" s="190">
        <v>12</v>
      </c>
      <c r="K700" s="3"/>
    </row>
    <row r="701" spans="3:11" ht="15.75" customHeight="1" x14ac:dyDescent="0.2">
      <c r="C701" s="202"/>
      <c r="D701" s="197"/>
      <c r="F701" s="195"/>
      <c r="G701" s="195"/>
      <c r="H701" s="195"/>
      <c r="I701" s="196"/>
      <c r="J701" s="195"/>
      <c r="K701" s="3"/>
    </row>
    <row r="702" spans="3:11" ht="15.75" customHeight="1" x14ac:dyDescent="0.2">
      <c r="C702" s="202">
        <f>DATE(95,5,23)</f>
        <v>34842</v>
      </c>
      <c r="D702" s="197">
        <v>0.39583333333333331</v>
      </c>
      <c r="F702" s="195"/>
      <c r="G702" s="195"/>
      <c r="H702" s="195"/>
      <c r="I702" s="196"/>
      <c r="J702" s="195">
        <v>6.6</v>
      </c>
      <c r="K702" s="3"/>
    </row>
    <row r="703" spans="3:11" ht="15.75" customHeight="1" x14ac:dyDescent="0.2">
      <c r="C703" s="202">
        <f t="shared" ref="C703:C704" si="21">DATE(95,5,23)</f>
        <v>34842</v>
      </c>
      <c r="D703" s="194"/>
      <c r="E703" s="190">
        <v>1</v>
      </c>
      <c r="F703" s="195">
        <v>11</v>
      </c>
      <c r="G703" s="195"/>
      <c r="H703" s="195">
        <v>12.8</v>
      </c>
      <c r="I703" s="196"/>
      <c r="J703" s="195"/>
      <c r="K703" s="3"/>
    </row>
    <row r="704" spans="3:11" ht="15.75" customHeight="1" x14ac:dyDescent="0.2">
      <c r="C704" s="202">
        <f t="shared" si="21"/>
        <v>34842</v>
      </c>
      <c r="D704" s="194"/>
      <c r="E704" s="190">
        <v>11</v>
      </c>
      <c r="F704" s="195">
        <v>11.5</v>
      </c>
      <c r="G704" s="195"/>
      <c r="H704" s="195">
        <v>9.4</v>
      </c>
      <c r="I704" s="196"/>
      <c r="J704" s="195"/>
      <c r="K704" s="3"/>
    </row>
    <row r="705" spans="3:11" ht="15.75" customHeight="1" x14ac:dyDescent="0.2">
      <c r="C705" s="202"/>
      <c r="D705" s="194"/>
      <c r="F705" s="195"/>
      <c r="G705" s="195"/>
      <c r="H705" s="195"/>
      <c r="I705" s="196"/>
      <c r="J705" s="195"/>
      <c r="K705" s="3"/>
    </row>
    <row r="706" spans="3:11" ht="15.75" customHeight="1" x14ac:dyDescent="0.2">
      <c r="C706" s="202">
        <f>DATE(95,5,4)</f>
        <v>34823</v>
      </c>
      <c r="D706" s="197">
        <v>0.4375</v>
      </c>
      <c r="F706" s="195"/>
      <c r="G706" s="195"/>
      <c r="H706" s="195"/>
      <c r="I706" s="196"/>
      <c r="J706" s="195">
        <v>7.5</v>
      </c>
      <c r="K706" s="3"/>
    </row>
    <row r="707" spans="3:11" ht="15.75" customHeight="1" x14ac:dyDescent="0.2">
      <c r="C707" s="202">
        <f t="shared" ref="C707:C708" si="22">DATE(95,5,4)</f>
        <v>34823</v>
      </c>
      <c r="D707" s="194"/>
      <c r="E707" s="190">
        <v>1</v>
      </c>
      <c r="F707" s="195">
        <v>12.6</v>
      </c>
      <c r="G707" s="195"/>
      <c r="H707" s="195">
        <v>7</v>
      </c>
      <c r="I707" s="196"/>
      <c r="J707" s="195"/>
      <c r="K707" s="3"/>
    </row>
    <row r="708" spans="3:11" ht="15.75" customHeight="1" x14ac:dyDescent="0.2">
      <c r="C708" s="202">
        <f t="shared" si="22"/>
        <v>34823</v>
      </c>
      <c r="D708" s="194"/>
      <c r="E708" s="190">
        <v>7</v>
      </c>
      <c r="F708" s="195">
        <v>12.2</v>
      </c>
      <c r="G708" s="195"/>
      <c r="H708" s="195">
        <v>6.2</v>
      </c>
      <c r="I708" s="196"/>
      <c r="J708" s="195"/>
      <c r="K708" s="3"/>
    </row>
    <row r="709" spans="3:11" ht="15.75" customHeight="1" x14ac:dyDescent="0.2">
      <c r="C709" s="202"/>
      <c r="D709" s="194"/>
      <c r="F709" s="195"/>
      <c r="G709" s="195"/>
      <c r="H709" s="195"/>
      <c r="I709" s="196"/>
      <c r="J709" s="195"/>
      <c r="K709" s="3"/>
    </row>
    <row r="710" spans="3:11" ht="15.75" customHeight="1" x14ac:dyDescent="0.2">
      <c r="C710" s="202"/>
      <c r="D710" s="194"/>
      <c r="F710" s="195"/>
      <c r="G710" s="195"/>
      <c r="H710" s="195"/>
      <c r="I710" s="196"/>
      <c r="J710" s="195"/>
      <c r="K710" s="3"/>
    </row>
    <row r="711" spans="3:11" ht="15.75" customHeight="1" x14ac:dyDescent="0.2">
      <c r="C711" s="202">
        <f>DATE(95,4,13)</f>
        <v>34802</v>
      </c>
      <c r="D711" s="197">
        <v>0.4375</v>
      </c>
      <c r="F711" s="195"/>
      <c r="G711" s="195"/>
      <c r="H711" s="195"/>
      <c r="I711" s="196"/>
      <c r="J711" s="195">
        <v>6.3</v>
      </c>
      <c r="K711" s="3"/>
    </row>
    <row r="712" spans="3:11" ht="15.75" customHeight="1" x14ac:dyDescent="0.2">
      <c r="C712" s="202">
        <f t="shared" ref="C712:C713" si="23">DATE(95,4,13)</f>
        <v>34802</v>
      </c>
      <c r="D712" s="197"/>
      <c r="E712" s="190">
        <v>1</v>
      </c>
      <c r="F712" s="190">
        <v>13.1</v>
      </c>
      <c r="G712" s="191"/>
      <c r="H712" s="190">
        <v>4.4000000000000004</v>
      </c>
      <c r="K712" s="3"/>
    </row>
    <row r="713" spans="3:11" ht="15.75" customHeight="1" x14ac:dyDescent="0.2">
      <c r="C713" s="202">
        <f t="shared" si="23"/>
        <v>34802</v>
      </c>
      <c r="D713" s="197"/>
      <c r="E713" s="190">
        <v>10</v>
      </c>
      <c r="F713" s="190">
        <v>12.3</v>
      </c>
      <c r="G713" s="191"/>
      <c r="H713" s="190">
        <v>4.4000000000000004</v>
      </c>
      <c r="K713" s="3"/>
    </row>
    <row r="714" spans="3:11" ht="15.75" customHeight="1" x14ac:dyDescent="0.2">
      <c r="D714" s="197"/>
      <c r="G714" s="191"/>
      <c r="K714" s="3"/>
    </row>
    <row r="715" spans="3:11" ht="15.75" customHeight="1" x14ac:dyDescent="0.2">
      <c r="D715" s="197"/>
      <c r="G715" s="191"/>
      <c r="K715" s="3"/>
    </row>
    <row r="716" spans="3:11" ht="15.75" customHeight="1" x14ac:dyDescent="0.2">
      <c r="C716" s="202"/>
      <c r="D716" s="194"/>
      <c r="F716" s="195"/>
      <c r="G716" s="195"/>
      <c r="H716" s="195"/>
      <c r="I716" s="196"/>
      <c r="J716" s="195"/>
      <c r="K716" s="3"/>
    </row>
    <row r="717" spans="3:11" ht="15.75" customHeight="1" x14ac:dyDescent="0.2">
      <c r="C717" s="202">
        <f>DATE(94,10,5)</f>
        <v>34612</v>
      </c>
      <c r="D717" s="197">
        <v>0.70833333333333337</v>
      </c>
      <c r="F717" s="195"/>
      <c r="G717" s="195"/>
      <c r="H717" s="195"/>
      <c r="I717" s="196"/>
      <c r="J717" s="195">
        <v>11.1</v>
      </c>
      <c r="K717" s="3"/>
    </row>
    <row r="718" spans="3:11" ht="15.75" customHeight="1" x14ac:dyDescent="0.2">
      <c r="C718" s="202">
        <f t="shared" ref="C718:C719" si="24">DATE(94,10,5)</f>
        <v>34612</v>
      </c>
      <c r="D718" s="197"/>
      <c r="E718" s="190">
        <v>1</v>
      </c>
      <c r="F718" s="195">
        <v>9.1999999999999993</v>
      </c>
      <c r="G718" s="195"/>
      <c r="H718" s="195">
        <v>16.5</v>
      </c>
      <c r="I718" s="196"/>
      <c r="J718" s="195"/>
      <c r="K718" s="3"/>
    </row>
    <row r="719" spans="3:11" ht="15.75" customHeight="1" x14ac:dyDescent="0.2">
      <c r="C719" s="202">
        <f t="shared" si="24"/>
        <v>34612</v>
      </c>
      <c r="D719" s="197"/>
      <c r="E719" s="190">
        <v>11</v>
      </c>
      <c r="F719" s="195">
        <v>9</v>
      </c>
      <c r="G719" s="195"/>
      <c r="H719" s="195">
        <v>16.3</v>
      </c>
      <c r="I719" s="196"/>
      <c r="J719" s="195"/>
      <c r="K719" s="3"/>
    </row>
    <row r="720" spans="3:11" ht="15.75" customHeight="1" x14ac:dyDescent="0.2">
      <c r="C720" s="202"/>
      <c r="D720" s="194"/>
      <c r="F720" s="195"/>
      <c r="G720" s="195"/>
      <c r="H720" s="195"/>
      <c r="I720" s="196"/>
      <c r="J720" s="195"/>
      <c r="K720" s="3"/>
    </row>
    <row r="721" spans="3:11" ht="15.75" customHeight="1" x14ac:dyDescent="0.2">
      <c r="C721" s="202">
        <f>DATE(94,9,8)</f>
        <v>34585</v>
      </c>
      <c r="D721" s="197">
        <v>0.52083333333333337</v>
      </c>
      <c r="G721" s="191"/>
      <c r="J721" s="190">
        <v>12.8</v>
      </c>
      <c r="K721" s="3"/>
    </row>
    <row r="722" spans="3:11" ht="15.75" customHeight="1" x14ac:dyDescent="0.2">
      <c r="C722" s="202">
        <f t="shared" ref="C722:C723" si="25">DATE(94,9,8)</f>
        <v>34585</v>
      </c>
      <c r="D722" s="197"/>
      <c r="E722" s="190">
        <v>1</v>
      </c>
      <c r="F722" s="190">
        <v>8.6999999999999993</v>
      </c>
      <c r="G722" s="191"/>
      <c r="H722" s="190">
        <v>19.600000000000001</v>
      </c>
      <c r="K722" s="3"/>
    </row>
    <row r="723" spans="3:11" ht="15.75" customHeight="1" x14ac:dyDescent="0.2">
      <c r="C723" s="202">
        <f t="shared" si="25"/>
        <v>34585</v>
      </c>
      <c r="D723" s="197"/>
      <c r="E723" s="190">
        <v>10.4</v>
      </c>
      <c r="F723" s="190">
        <v>8.6</v>
      </c>
      <c r="G723" s="191"/>
      <c r="H723" s="190">
        <v>18.899999999999999</v>
      </c>
      <c r="K723" s="3"/>
    </row>
    <row r="724" spans="3:11" ht="15.75" customHeight="1" x14ac:dyDescent="0.2">
      <c r="C724" s="202"/>
      <c r="D724" s="197"/>
      <c r="F724" s="195"/>
      <c r="G724" s="195"/>
      <c r="H724" s="195"/>
      <c r="I724" s="196"/>
      <c r="J724" s="195"/>
      <c r="K724" s="3"/>
    </row>
    <row r="725" spans="3:11" ht="15.75" customHeight="1" x14ac:dyDescent="0.2">
      <c r="C725" s="202"/>
      <c r="D725" s="194"/>
      <c r="F725" s="195"/>
      <c r="G725" s="195"/>
      <c r="H725" s="195"/>
      <c r="I725" s="196"/>
      <c r="J725" s="195"/>
      <c r="K725" s="3"/>
    </row>
    <row r="726" spans="3:11" ht="15.75" customHeight="1" x14ac:dyDescent="0.2">
      <c r="C726" s="202">
        <f>DATE(94,8,9)</f>
        <v>34555</v>
      </c>
      <c r="D726" s="197">
        <v>0.52083333333333337</v>
      </c>
      <c r="F726" s="195"/>
      <c r="G726" s="195"/>
      <c r="H726" s="195"/>
      <c r="I726" s="196"/>
      <c r="J726" s="195">
        <v>10.1</v>
      </c>
      <c r="K726" s="3"/>
    </row>
    <row r="727" spans="3:11" ht="15.75" customHeight="1" x14ac:dyDescent="0.2">
      <c r="C727" s="202">
        <f t="shared" ref="C727:C729" si="26">DATE(94,8,9)</f>
        <v>34555</v>
      </c>
      <c r="D727" s="194"/>
      <c r="E727" s="190">
        <v>1</v>
      </c>
      <c r="F727" s="195">
        <v>8.5</v>
      </c>
      <c r="G727" s="195"/>
      <c r="H727" s="195">
        <v>21.6</v>
      </c>
      <c r="I727" s="196"/>
      <c r="J727" s="195"/>
      <c r="K727" s="3"/>
    </row>
    <row r="728" spans="3:11" ht="15.75" customHeight="1" x14ac:dyDescent="0.2">
      <c r="C728" s="202">
        <f t="shared" si="26"/>
        <v>34555</v>
      </c>
      <c r="D728" s="194"/>
      <c r="E728" s="190">
        <v>10</v>
      </c>
      <c r="F728" s="195">
        <v>9.6</v>
      </c>
      <c r="G728" s="195"/>
      <c r="H728" s="195">
        <v>17</v>
      </c>
      <c r="I728" s="196"/>
      <c r="J728" s="195"/>
      <c r="K728" s="3"/>
    </row>
    <row r="729" spans="3:11" ht="15.75" customHeight="1" x14ac:dyDescent="0.2">
      <c r="C729" s="202">
        <f t="shared" si="26"/>
        <v>34555</v>
      </c>
      <c r="D729" s="194"/>
      <c r="E729" s="190">
        <v>16</v>
      </c>
      <c r="F729" s="195">
        <v>11.4</v>
      </c>
      <c r="G729" s="195"/>
      <c r="H729" s="195">
        <v>9.4</v>
      </c>
      <c r="I729" s="196"/>
      <c r="J729" s="195"/>
      <c r="K729" s="3"/>
    </row>
    <row r="730" spans="3:11" ht="15.75" customHeight="1" x14ac:dyDescent="0.2">
      <c r="D730" s="197"/>
      <c r="G730" s="191"/>
      <c r="K730" s="3"/>
    </row>
    <row r="731" spans="3:11" ht="15.75" customHeight="1" x14ac:dyDescent="0.2">
      <c r="C731" s="202">
        <f>DATE(94,7,13)</f>
        <v>34528</v>
      </c>
      <c r="D731" s="197">
        <v>0.45833333333333331</v>
      </c>
      <c r="F731" s="195"/>
      <c r="G731" s="195"/>
      <c r="H731" s="195"/>
      <c r="I731" s="196"/>
      <c r="J731" s="195">
        <v>12.1</v>
      </c>
      <c r="K731" s="3"/>
    </row>
    <row r="732" spans="3:11" ht="15.75" customHeight="1" x14ac:dyDescent="0.2">
      <c r="C732" s="202">
        <f t="shared" ref="C732:C733" si="27">DATE(94,7,13)</f>
        <v>34528</v>
      </c>
      <c r="D732" s="194"/>
      <c r="E732" s="190">
        <v>1</v>
      </c>
      <c r="F732" s="195">
        <v>9.1</v>
      </c>
      <c r="G732" s="195"/>
      <c r="H732" s="195">
        <v>20.5</v>
      </c>
      <c r="I732" s="196"/>
      <c r="J732" s="195"/>
      <c r="K732" s="3"/>
    </row>
    <row r="733" spans="3:11" ht="15.75" customHeight="1" x14ac:dyDescent="0.2">
      <c r="C733" s="202">
        <f t="shared" si="27"/>
        <v>34528</v>
      </c>
      <c r="D733" s="194"/>
      <c r="E733" s="190">
        <v>10</v>
      </c>
      <c r="F733" s="195">
        <v>9.6999999999999993</v>
      </c>
      <c r="G733" s="195"/>
      <c r="H733" s="195">
        <v>10.3</v>
      </c>
      <c r="I733" s="196"/>
      <c r="J733" s="195"/>
      <c r="K733" s="3"/>
    </row>
    <row r="734" spans="3:11" ht="15.75" customHeight="1" x14ac:dyDescent="0.2">
      <c r="C734" s="202"/>
      <c r="D734" s="194"/>
      <c r="F734" s="195"/>
      <c r="G734" s="195"/>
      <c r="H734" s="195"/>
      <c r="I734" s="196"/>
      <c r="J734" s="195"/>
      <c r="K734" s="3"/>
    </row>
    <row r="735" spans="3:11" ht="15.75" customHeight="1" x14ac:dyDescent="0.2">
      <c r="C735" s="202">
        <f>DATE(94,6,22)</f>
        <v>34507</v>
      </c>
      <c r="D735" s="197">
        <v>0.4375</v>
      </c>
      <c r="F735" s="195"/>
      <c r="G735" s="195"/>
      <c r="H735" s="195"/>
      <c r="I735" s="196"/>
      <c r="J735" s="195">
        <v>9.3000000000000007</v>
      </c>
      <c r="K735" s="3"/>
    </row>
    <row r="736" spans="3:11" ht="15.75" customHeight="1" x14ac:dyDescent="0.2">
      <c r="C736" s="202">
        <f t="shared" ref="C736:C737" si="28">DATE(94,6,22)</f>
        <v>34507</v>
      </c>
      <c r="D736" s="194"/>
      <c r="E736" s="190">
        <v>1</v>
      </c>
      <c r="F736" s="195">
        <v>9.6</v>
      </c>
      <c r="G736" s="195"/>
      <c r="H736" s="195">
        <v>17.8</v>
      </c>
      <c r="I736" s="196"/>
      <c r="J736" s="195"/>
      <c r="K736" s="3"/>
    </row>
    <row r="737" spans="3:11" ht="15.75" customHeight="1" x14ac:dyDescent="0.2">
      <c r="C737" s="202">
        <f t="shared" si="28"/>
        <v>34507</v>
      </c>
      <c r="D737" s="194"/>
      <c r="E737" s="190">
        <v>9.5</v>
      </c>
      <c r="F737" s="195">
        <v>10.6</v>
      </c>
      <c r="G737" s="195"/>
      <c r="H737" s="195">
        <v>12.7</v>
      </c>
      <c r="I737" s="196"/>
      <c r="J737" s="195"/>
      <c r="K737" s="3"/>
    </row>
    <row r="738" spans="3:11" ht="15.75" customHeight="1" x14ac:dyDescent="0.2">
      <c r="C738" s="202"/>
      <c r="D738" s="194"/>
      <c r="F738" s="195"/>
      <c r="G738" s="195"/>
      <c r="H738" s="195"/>
      <c r="I738" s="196"/>
      <c r="J738" s="195"/>
      <c r="K738" s="3"/>
    </row>
    <row r="739" spans="3:11" ht="15.75" customHeight="1" x14ac:dyDescent="0.2">
      <c r="C739" s="202">
        <f>DATE(94,6,3)</f>
        <v>34488</v>
      </c>
      <c r="D739" s="197">
        <v>0.5625</v>
      </c>
      <c r="F739" s="195"/>
      <c r="G739" s="195"/>
      <c r="H739" s="195"/>
      <c r="I739" s="196"/>
      <c r="J739" s="195">
        <v>9.3000000000000007</v>
      </c>
      <c r="K739" s="3"/>
    </row>
    <row r="740" spans="3:11" ht="15.75" customHeight="1" x14ac:dyDescent="0.2">
      <c r="C740" s="202">
        <f t="shared" ref="C740:C741" si="29">DATE(94,6,3)</f>
        <v>34488</v>
      </c>
      <c r="D740" s="197"/>
      <c r="E740" s="190">
        <v>1</v>
      </c>
      <c r="F740" s="195">
        <v>10.1</v>
      </c>
      <c r="G740" s="195"/>
      <c r="H740" s="195">
        <v>16.600000000000001</v>
      </c>
      <c r="I740" s="196"/>
      <c r="J740" s="195"/>
      <c r="K740" s="3"/>
    </row>
    <row r="741" spans="3:11" ht="15.75" customHeight="1" x14ac:dyDescent="0.2">
      <c r="C741" s="202">
        <f t="shared" si="29"/>
        <v>34488</v>
      </c>
      <c r="D741" s="197"/>
      <c r="E741" s="190">
        <v>9</v>
      </c>
      <c r="F741" s="195">
        <v>10.6</v>
      </c>
      <c r="G741" s="195"/>
      <c r="H741" s="195">
        <v>12.3</v>
      </c>
      <c r="I741" s="196"/>
      <c r="J741" s="195"/>
      <c r="K741" s="3"/>
    </row>
    <row r="742" spans="3:11" ht="15.75" customHeight="1" x14ac:dyDescent="0.2">
      <c r="C742" s="202"/>
      <c r="D742" s="197"/>
      <c r="F742" s="195"/>
      <c r="G742" s="195"/>
      <c r="H742" s="195"/>
      <c r="I742" s="196"/>
      <c r="J742" s="195"/>
      <c r="K742" s="3"/>
    </row>
    <row r="743" spans="3:11" ht="15.75" customHeight="1" x14ac:dyDescent="0.2">
      <c r="D743" s="197"/>
      <c r="G743" s="191"/>
      <c r="K743" s="3"/>
    </row>
    <row r="744" spans="3:11" ht="15.75" customHeight="1" x14ac:dyDescent="0.2">
      <c r="C744" s="202">
        <f>DATE(94,5,19)</f>
        <v>34473</v>
      </c>
      <c r="D744" s="197">
        <v>0.45833333333333331</v>
      </c>
      <c r="F744" s="195"/>
      <c r="G744" s="195"/>
      <c r="H744" s="195"/>
      <c r="I744" s="196"/>
      <c r="J744" s="195">
        <v>9</v>
      </c>
      <c r="K744" s="3"/>
    </row>
    <row r="745" spans="3:11" ht="15.75" customHeight="1" x14ac:dyDescent="0.2">
      <c r="C745" s="202">
        <f t="shared" ref="C745:C746" si="30">DATE(94,5,19)</f>
        <v>34473</v>
      </c>
      <c r="D745" s="197"/>
      <c r="E745" s="190">
        <v>1</v>
      </c>
      <c r="F745" s="190">
        <v>10.9</v>
      </c>
      <c r="G745" s="191"/>
      <c r="H745" s="190">
        <v>12.2</v>
      </c>
      <c r="K745" s="3"/>
    </row>
    <row r="746" spans="3:11" ht="15.75" customHeight="1" x14ac:dyDescent="0.2">
      <c r="C746" s="202">
        <f t="shared" si="30"/>
        <v>34473</v>
      </c>
      <c r="D746" s="197"/>
      <c r="E746" s="190">
        <v>8</v>
      </c>
      <c r="F746" s="190">
        <v>10.6</v>
      </c>
      <c r="G746" s="191"/>
      <c r="H746" s="190">
        <v>11.9</v>
      </c>
      <c r="K746" s="3"/>
    </row>
    <row r="747" spans="3:11" ht="15.75" customHeight="1" x14ac:dyDescent="0.2">
      <c r="D747" s="197"/>
      <c r="G747" s="191"/>
      <c r="K747" s="3"/>
    </row>
    <row r="748" spans="3:11" ht="15.75" customHeight="1" x14ac:dyDescent="0.2">
      <c r="C748" s="202">
        <f>DATE(94,4,27)</f>
        <v>34451</v>
      </c>
      <c r="D748" s="197">
        <v>0.41666666666666669</v>
      </c>
      <c r="F748" s="195"/>
      <c r="G748" s="195"/>
      <c r="H748" s="195"/>
      <c r="I748" s="196"/>
      <c r="J748" s="195">
        <v>7.1</v>
      </c>
      <c r="K748" s="3"/>
    </row>
    <row r="749" spans="3:11" ht="15.75" customHeight="1" x14ac:dyDescent="0.2">
      <c r="C749" s="202">
        <f t="shared" ref="C749:C750" si="31">DATE(94,4,27)</f>
        <v>34451</v>
      </c>
      <c r="D749" s="194"/>
      <c r="E749" s="190">
        <v>1</v>
      </c>
      <c r="F749" s="195">
        <v>12.1</v>
      </c>
      <c r="G749" s="195"/>
      <c r="H749" s="195">
        <v>8.4</v>
      </c>
      <c r="I749" s="196"/>
      <c r="J749" s="195"/>
      <c r="K749" s="3"/>
    </row>
    <row r="750" spans="3:11" ht="15.75" customHeight="1" x14ac:dyDescent="0.2">
      <c r="C750" s="202">
        <f t="shared" si="31"/>
        <v>34451</v>
      </c>
      <c r="D750" s="194"/>
      <c r="E750" s="190">
        <v>8</v>
      </c>
      <c r="F750" s="195">
        <v>11.8</v>
      </c>
      <c r="G750" s="195"/>
      <c r="H750" s="195">
        <v>6.8</v>
      </c>
      <c r="I750" s="196"/>
      <c r="J750" s="195"/>
      <c r="K750" s="3"/>
    </row>
    <row r="751" spans="3:11" ht="15.75" customHeight="1" x14ac:dyDescent="0.2">
      <c r="C751" s="202"/>
      <c r="D751" s="194"/>
      <c r="F751" s="195"/>
      <c r="G751" s="195"/>
      <c r="H751" s="195"/>
      <c r="I751" s="196"/>
      <c r="J751" s="195"/>
      <c r="K751" s="3"/>
    </row>
    <row r="752" spans="3:11" ht="15.75" customHeight="1" x14ac:dyDescent="0.2">
      <c r="D752" s="197"/>
      <c r="G752" s="191"/>
      <c r="K752" s="3"/>
    </row>
    <row r="753" spans="3:11" ht="15.75" customHeight="1" x14ac:dyDescent="0.2">
      <c r="C753" s="202">
        <f>DATE(94,3,30)</f>
        <v>34423</v>
      </c>
      <c r="D753" s="197">
        <v>0.41666666666666669</v>
      </c>
      <c r="F753" s="195"/>
      <c r="G753" s="195"/>
      <c r="H753" s="195"/>
      <c r="I753" s="196"/>
      <c r="J753" s="195">
        <v>8.3000000000000007</v>
      </c>
      <c r="K753" s="3"/>
    </row>
    <row r="754" spans="3:11" ht="15.75" customHeight="1" x14ac:dyDescent="0.2">
      <c r="C754" s="202">
        <f t="shared" ref="C754:C755" si="32">DATE(94,3,30)</f>
        <v>34423</v>
      </c>
      <c r="D754" s="197">
        <v>0.41666666666666669</v>
      </c>
      <c r="E754" s="190">
        <v>1</v>
      </c>
      <c r="F754" s="190">
        <v>11.7</v>
      </c>
      <c r="G754" s="191"/>
      <c r="H754" s="190">
        <v>4.5999999999999996</v>
      </c>
      <c r="K754" s="3"/>
    </row>
    <row r="755" spans="3:11" ht="15.75" customHeight="1" x14ac:dyDescent="0.2">
      <c r="C755" s="202">
        <f t="shared" si="32"/>
        <v>34423</v>
      </c>
      <c r="D755" s="197">
        <v>0.41666666666666669</v>
      </c>
      <c r="E755" s="190">
        <v>7</v>
      </c>
      <c r="F755" s="195">
        <v>11.7</v>
      </c>
      <c r="G755" s="195"/>
      <c r="H755" s="195">
        <v>4.5999999999999996</v>
      </c>
      <c r="I755" s="196"/>
      <c r="J755" s="195"/>
      <c r="K755" s="3"/>
    </row>
    <row r="756" spans="3:11" ht="15.75" customHeight="1" x14ac:dyDescent="0.2">
      <c r="D756" s="197"/>
      <c r="G756" s="191"/>
      <c r="K756" s="3"/>
    </row>
    <row r="757" spans="3:11" ht="15.75" customHeight="1" x14ac:dyDescent="0.2">
      <c r="C757" s="202"/>
      <c r="D757" s="197"/>
      <c r="F757" s="195"/>
      <c r="G757" s="195"/>
      <c r="H757" s="195"/>
      <c r="I757" s="196"/>
      <c r="J757" s="195"/>
      <c r="K757" s="3"/>
    </row>
    <row r="758" spans="3:11" ht="15.75" customHeight="1" x14ac:dyDescent="0.2">
      <c r="C758" s="202">
        <f>DATE(93,5,19)</f>
        <v>34108</v>
      </c>
      <c r="D758" s="197">
        <v>0.5</v>
      </c>
      <c r="E758" s="190">
        <v>1</v>
      </c>
      <c r="F758" s="195">
        <v>12</v>
      </c>
      <c r="G758" s="195"/>
      <c r="H758" s="195">
        <v>14.4</v>
      </c>
      <c r="I758" s="196"/>
      <c r="J758" s="195">
        <v>7</v>
      </c>
      <c r="K758" s="3"/>
    </row>
    <row r="759" spans="3:11" ht="15.75" customHeight="1" x14ac:dyDescent="0.2">
      <c r="C759" s="202">
        <f>DATE(93,5,19)</f>
        <v>34108</v>
      </c>
      <c r="D759" s="197">
        <v>0.5</v>
      </c>
      <c r="E759" s="190">
        <v>15</v>
      </c>
      <c r="F759" s="195">
        <v>13.2</v>
      </c>
      <c r="G759" s="195"/>
      <c r="H759" s="195">
        <v>5.9</v>
      </c>
      <c r="I759" s="196"/>
      <c r="J759" s="195"/>
      <c r="K759" s="3"/>
    </row>
    <row r="760" spans="3:11" ht="15.75" customHeight="1" x14ac:dyDescent="0.2">
      <c r="C760" s="202"/>
      <c r="D760" s="197"/>
      <c r="G760" s="191"/>
      <c r="K760" s="3"/>
    </row>
    <row r="761" spans="3:11" ht="15.75" customHeight="1" x14ac:dyDescent="0.2">
      <c r="C761" s="202">
        <f>DATE(93,6,16)</f>
        <v>34136</v>
      </c>
      <c r="D761" s="197">
        <v>0.47916666666666669</v>
      </c>
      <c r="F761" s="195"/>
      <c r="G761" s="195"/>
      <c r="H761" s="195"/>
      <c r="I761" s="196"/>
      <c r="J761" s="195">
        <v>7.5</v>
      </c>
      <c r="K761" s="3"/>
    </row>
    <row r="762" spans="3:11" ht="15.75" customHeight="1" x14ac:dyDescent="0.2">
      <c r="C762" s="202">
        <f>DATE(93,6,16)</f>
        <v>34136</v>
      </c>
      <c r="D762" s="197">
        <v>0.47916666666666669</v>
      </c>
      <c r="E762" s="190">
        <v>1</v>
      </c>
      <c r="F762" s="195">
        <v>9.1999999999999993</v>
      </c>
      <c r="G762" s="195"/>
      <c r="H762" s="195">
        <v>16.7</v>
      </c>
      <c r="I762" s="196"/>
      <c r="J762" s="195"/>
      <c r="K762" s="3"/>
    </row>
    <row r="763" spans="3:11" ht="15.75" customHeight="1" x14ac:dyDescent="0.2">
      <c r="C763" s="202">
        <f>DATE(93,6,16)</f>
        <v>34136</v>
      </c>
      <c r="D763" s="197">
        <v>0.47916666666666669</v>
      </c>
      <c r="E763" s="190">
        <v>14</v>
      </c>
      <c r="F763" s="195">
        <v>9.6</v>
      </c>
      <c r="G763" s="195"/>
      <c r="H763" s="195">
        <v>6.8</v>
      </c>
      <c r="I763" s="196"/>
      <c r="K763" s="3"/>
    </row>
    <row r="764" spans="3:11" ht="15.75" customHeight="1" x14ac:dyDescent="0.2">
      <c r="C764" s="202"/>
      <c r="D764" s="197"/>
      <c r="F764" s="195"/>
      <c r="G764" s="195"/>
      <c r="H764" s="195"/>
      <c r="I764" s="196"/>
      <c r="J764" s="195"/>
      <c r="K764" s="3"/>
    </row>
    <row r="765" spans="3:11" ht="15.75" customHeight="1" x14ac:dyDescent="0.2">
      <c r="C765" s="202">
        <v>34157</v>
      </c>
      <c r="D765" s="197">
        <v>0.54166666666666663</v>
      </c>
      <c r="F765" s="195"/>
      <c r="G765" s="195"/>
      <c r="H765" s="195"/>
      <c r="I765" s="196"/>
      <c r="J765" s="195">
        <v>6.7</v>
      </c>
      <c r="K765" s="3"/>
    </row>
    <row r="766" spans="3:11" ht="15.75" customHeight="1" x14ac:dyDescent="0.2">
      <c r="C766" s="202">
        <v>34157</v>
      </c>
      <c r="D766" s="197">
        <v>0.54166666666666663</v>
      </c>
      <c r="E766" s="190">
        <v>1</v>
      </c>
      <c r="F766" s="195">
        <v>9.1999999999999993</v>
      </c>
      <c r="G766" s="195"/>
      <c r="H766" s="195">
        <v>17.899999999999999</v>
      </c>
      <c r="I766" s="196"/>
      <c r="J766" s="195"/>
      <c r="K766" s="3"/>
    </row>
    <row r="767" spans="3:11" ht="15.75" customHeight="1" x14ac:dyDescent="0.2">
      <c r="C767" s="202">
        <v>34157</v>
      </c>
      <c r="D767" s="197">
        <v>0.54166666666666663</v>
      </c>
      <c r="E767" s="190">
        <v>8</v>
      </c>
      <c r="F767" s="195">
        <v>9.4</v>
      </c>
      <c r="G767" s="195"/>
      <c r="H767" s="195">
        <v>16</v>
      </c>
      <c r="I767" s="196"/>
      <c r="J767" s="195"/>
      <c r="K767" s="3"/>
    </row>
    <row r="768" spans="3:11" ht="15.75" customHeight="1" x14ac:dyDescent="0.2">
      <c r="C768" s="202">
        <v>34157</v>
      </c>
      <c r="D768" s="197">
        <v>0.54166666666666663</v>
      </c>
      <c r="E768" s="190">
        <v>10</v>
      </c>
      <c r="F768" s="195">
        <v>9.6</v>
      </c>
      <c r="G768" s="195"/>
      <c r="H768" s="195">
        <v>14.8</v>
      </c>
      <c r="I768" s="196"/>
      <c r="J768" s="195"/>
      <c r="K768" s="3"/>
    </row>
    <row r="769" spans="3:11" ht="15.75" customHeight="1" x14ac:dyDescent="0.2">
      <c r="C769" s="202">
        <v>34157</v>
      </c>
      <c r="D769" s="197">
        <v>0.54166666666666663</v>
      </c>
      <c r="E769" s="190">
        <v>13</v>
      </c>
      <c r="F769" s="195">
        <v>11</v>
      </c>
      <c r="G769" s="195"/>
      <c r="H769" s="195">
        <v>8.3000000000000007</v>
      </c>
      <c r="I769" s="196"/>
      <c r="J769" s="195"/>
      <c r="K769" s="3"/>
    </row>
    <row r="770" spans="3:11" ht="15.75" customHeight="1" x14ac:dyDescent="0.2">
      <c r="C770" s="202"/>
      <c r="D770" s="197"/>
      <c r="F770" s="195"/>
      <c r="G770" s="195"/>
      <c r="H770" s="195"/>
      <c r="I770" s="196"/>
      <c r="J770" s="195"/>
      <c r="K770" s="3"/>
    </row>
    <row r="771" spans="3:11" ht="15.75" customHeight="1" x14ac:dyDescent="0.2">
      <c r="C771" s="202">
        <f>DATE(93,7,28)</f>
        <v>34178</v>
      </c>
      <c r="D771" s="197">
        <v>0.5625</v>
      </c>
      <c r="F771" s="195"/>
      <c r="G771" s="195"/>
      <c r="H771" s="195"/>
      <c r="I771" s="196"/>
      <c r="J771" s="195">
        <v>10.5</v>
      </c>
      <c r="K771" s="3"/>
    </row>
    <row r="772" spans="3:11" ht="15.75" customHeight="1" x14ac:dyDescent="0.2">
      <c r="C772" s="202">
        <f t="shared" ref="C772:C780" si="33">DATE(93,7,28)</f>
        <v>34178</v>
      </c>
      <c r="D772" s="197">
        <v>0.5625</v>
      </c>
      <c r="E772" s="190">
        <v>0</v>
      </c>
      <c r="F772" s="195">
        <v>9.1999999999999993</v>
      </c>
      <c r="G772" s="195"/>
      <c r="H772" s="195">
        <v>19.8</v>
      </c>
      <c r="I772" s="196"/>
      <c r="J772" s="195"/>
      <c r="K772" s="3"/>
    </row>
    <row r="773" spans="3:11" ht="15.75" customHeight="1" x14ac:dyDescent="0.2">
      <c r="C773" s="202">
        <f t="shared" si="33"/>
        <v>34178</v>
      </c>
      <c r="D773" s="197">
        <v>0.5625</v>
      </c>
      <c r="E773" s="190">
        <v>2</v>
      </c>
      <c r="F773" s="195">
        <v>9.1999999999999993</v>
      </c>
      <c r="G773" s="195"/>
      <c r="H773" s="195">
        <v>19.100000000000001</v>
      </c>
      <c r="I773" s="196"/>
      <c r="J773" s="195"/>
      <c r="K773" s="3"/>
    </row>
    <row r="774" spans="3:11" ht="15.75" customHeight="1" x14ac:dyDescent="0.2">
      <c r="C774" s="202">
        <f t="shared" si="33"/>
        <v>34178</v>
      </c>
      <c r="D774" s="197">
        <v>0.5625</v>
      </c>
      <c r="E774" s="190">
        <v>4</v>
      </c>
      <c r="F774" s="195">
        <v>9.3000000000000007</v>
      </c>
      <c r="G774" s="195"/>
      <c r="H774" s="195">
        <v>17.7</v>
      </c>
      <c r="I774" s="196"/>
      <c r="J774" s="195"/>
      <c r="K774" s="3"/>
    </row>
    <row r="775" spans="3:11" ht="15.75" customHeight="1" x14ac:dyDescent="0.2">
      <c r="C775" s="202">
        <f t="shared" si="33"/>
        <v>34178</v>
      </c>
      <c r="D775" s="197">
        <v>0.5625</v>
      </c>
      <c r="E775" s="190">
        <v>6</v>
      </c>
      <c r="F775" s="195">
        <v>9.4</v>
      </c>
      <c r="G775" s="195"/>
      <c r="H775" s="195">
        <v>17.2</v>
      </c>
      <c r="I775" s="196"/>
      <c r="J775" s="195"/>
      <c r="K775" s="3"/>
    </row>
    <row r="776" spans="3:11" ht="15.75" customHeight="1" x14ac:dyDescent="0.2">
      <c r="C776" s="202">
        <f t="shared" si="33"/>
        <v>34178</v>
      </c>
      <c r="D776" s="197">
        <v>0.5625</v>
      </c>
      <c r="E776" s="190">
        <v>8</v>
      </c>
      <c r="F776" s="195">
        <v>9.4</v>
      </c>
      <c r="G776" s="195"/>
      <c r="H776" s="195">
        <v>16.8</v>
      </c>
      <c r="I776" s="196"/>
      <c r="J776" s="195"/>
      <c r="K776" s="3"/>
    </row>
    <row r="777" spans="3:11" ht="15.75" customHeight="1" x14ac:dyDescent="0.2">
      <c r="C777" s="202">
        <f t="shared" si="33"/>
        <v>34178</v>
      </c>
      <c r="D777" s="197">
        <v>0.5625</v>
      </c>
      <c r="E777" s="190">
        <v>10</v>
      </c>
      <c r="F777" s="195">
        <v>9.5</v>
      </c>
      <c r="G777" s="195"/>
      <c r="H777" s="195">
        <v>16.3</v>
      </c>
      <c r="I777" s="196"/>
      <c r="J777" s="195"/>
      <c r="K777" s="3"/>
    </row>
    <row r="778" spans="3:11" ht="15.75" customHeight="1" x14ac:dyDescent="0.2">
      <c r="C778" s="202">
        <f t="shared" si="33"/>
        <v>34178</v>
      </c>
      <c r="D778" s="197">
        <v>0.5625</v>
      </c>
      <c r="E778" s="190">
        <v>11</v>
      </c>
      <c r="F778" s="195">
        <v>9.8000000000000007</v>
      </c>
      <c r="G778" s="195"/>
      <c r="H778" s="195">
        <v>14.8</v>
      </c>
      <c r="I778" s="196"/>
      <c r="J778" s="195"/>
      <c r="K778" s="3"/>
    </row>
    <row r="779" spans="3:11" ht="15.75" customHeight="1" x14ac:dyDescent="0.2">
      <c r="C779" s="202">
        <f t="shared" si="33"/>
        <v>34178</v>
      </c>
      <c r="D779" s="197">
        <v>0.5625</v>
      </c>
      <c r="E779" s="190">
        <v>12</v>
      </c>
      <c r="F779" s="195">
        <v>10</v>
      </c>
      <c r="G779" s="195"/>
      <c r="H779" s="195">
        <v>13.8</v>
      </c>
      <c r="I779" s="196"/>
      <c r="J779" s="195"/>
      <c r="K779" s="3"/>
    </row>
    <row r="780" spans="3:11" ht="15.75" customHeight="1" x14ac:dyDescent="0.2">
      <c r="C780" s="202">
        <f t="shared" si="33"/>
        <v>34178</v>
      </c>
      <c r="D780" s="197">
        <v>0.5625</v>
      </c>
      <c r="E780" s="190">
        <v>13</v>
      </c>
      <c r="F780" s="195">
        <v>10.3</v>
      </c>
      <c r="G780" s="195"/>
      <c r="H780" s="195">
        <v>12.7</v>
      </c>
      <c r="I780" s="196"/>
      <c r="J780" s="195"/>
      <c r="K780" s="3"/>
    </row>
    <row r="781" spans="3:11" ht="15.75" customHeight="1" x14ac:dyDescent="0.2">
      <c r="C781" s="202"/>
      <c r="D781" s="197"/>
      <c r="F781" s="195"/>
      <c r="G781" s="195"/>
      <c r="H781" s="195"/>
      <c r="I781" s="196"/>
      <c r="J781" s="195"/>
      <c r="K781" s="3"/>
    </row>
    <row r="782" spans="3:11" ht="15.75" customHeight="1" x14ac:dyDescent="0.2">
      <c r="C782" s="202">
        <f>DATE(93,8,18)</f>
        <v>34199</v>
      </c>
      <c r="D782" s="197">
        <v>0.59375</v>
      </c>
      <c r="F782" s="195"/>
      <c r="G782" s="195"/>
      <c r="H782" s="195"/>
      <c r="I782" s="196"/>
      <c r="J782" s="195">
        <v>14</v>
      </c>
      <c r="K782" s="3"/>
    </row>
    <row r="783" spans="3:11" ht="15.75" customHeight="1" x14ac:dyDescent="0.2">
      <c r="C783" s="202">
        <f t="shared" ref="C783:C785" si="34">DATE(93,8,18)</f>
        <v>34199</v>
      </c>
      <c r="D783" s="197">
        <v>0.59375</v>
      </c>
      <c r="E783" s="190">
        <v>1</v>
      </c>
      <c r="F783" s="195">
        <v>8.6</v>
      </c>
      <c r="G783" s="195"/>
      <c r="H783" s="195">
        <v>20.2</v>
      </c>
      <c r="I783" s="196"/>
      <c r="J783" s="195"/>
      <c r="K783" s="3"/>
    </row>
    <row r="784" spans="3:11" ht="15.75" customHeight="1" x14ac:dyDescent="0.2">
      <c r="C784" s="202">
        <f t="shared" si="34"/>
        <v>34199</v>
      </c>
      <c r="D784" s="197">
        <v>0.59375</v>
      </c>
      <c r="E784" s="190">
        <v>10</v>
      </c>
      <c r="F784" s="195">
        <v>9.3000000000000007</v>
      </c>
      <c r="G784" s="195"/>
      <c r="H784" s="195">
        <v>16.3</v>
      </c>
      <c r="I784" s="196"/>
      <c r="J784" s="195"/>
      <c r="K784" s="3"/>
    </row>
    <row r="785" spans="3:11" ht="15.75" customHeight="1" x14ac:dyDescent="0.2">
      <c r="C785" s="202">
        <f t="shared" si="34"/>
        <v>34199</v>
      </c>
      <c r="D785" s="197">
        <v>0.59375</v>
      </c>
      <c r="E785" s="190">
        <v>13</v>
      </c>
      <c r="F785" s="195">
        <v>11.3</v>
      </c>
      <c r="G785" s="195"/>
      <c r="H785" s="195">
        <v>11.3</v>
      </c>
      <c r="I785" s="196"/>
      <c r="J785" s="195"/>
      <c r="K785" s="3"/>
    </row>
    <row r="786" spans="3:11" ht="15.75" customHeight="1" x14ac:dyDescent="0.2">
      <c r="C786" s="204"/>
      <c r="D786" s="197"/>
      <c r="E786" s="198"/>
      <c r="F786" s="195"/>
      <c r="G786" s="195"/>
      <c r="H786" s="195"/>
      <c r="I786" s="196"/>
      <c r="J786" s="198"/>
      <c r="K786" s="3"/>
    </row>
    <row r="787" spans="3:11" ht="15.75" customHeight="1" x14ac:dyDescent="0.2">
      <c r="C787" s="202">
        <f>DATE(93,9,15)</f>
        <v>34227</v>
      </c>
      <c r="D787" s="197">
        <v>0.63194444444444442</v>
      </c>
      <c r="E787" s="198"/>
      <c r="F787" s="195"/>
      <c r="G787" s="195"/>
      <c r="H787" s="195"/>
      <c r="I787" s="196"/>
      <c r="J787" s="198">
        <v>12.2</v>
      </c>
      <c r="K787" s="3"/>
    </row>
    <row r="788" spans="3:11" ht="15.75" customHeight="1" x14ac:dyDescent="0.2">
      <c r="C788" s="202">
        <f>DATE(93,9,15)</f>
        <v>34227</v>
      </c>
      <c r="D788" s="197">
        <v>0.63194444444444442</v>
      </c>
      <c r="E788" s="190">
        <v>1</v>
      </c>
      <c r="F788" s="195">
        <v>8.73</v>
      </c>
      <c r="G788" s="195"/>
      <c r="H788" s="195">
        <v>17.850000000000001</v>
      </c>
      <c r="I788" s="196"/>
      <c r="J788" s="195"/>
      <c r="K788" s="3"/>
    </row>
    <row r="789" spans="3:11" ht="15.75" customHeight="1" x14ac:dyDescent="0.2">
      <c r="C789" s="202">
        <f>DATE(93,9,15)</f>
        <v>34227</v>
      </c>
      <c r="D789" s="197"/>
      <c r="E789" s="190">
        <v>13.5</v>
      </c>
      <c r="F789" s="195">
        <v>10.199999999999999</v>
      </c>
      <c r="G789" s="195"/>
      <c r="H789" s="195">
        <v>10.45</v>
      </c>
      <c r="I789" s="196"/>
      <c r="J789" s="195"/>
      <c r="K789" s="3"/>
    </row>
    <row r="790" spans="3:11" ht="15.75" customHeight="1" x14ac:dyDescent="0.2">
      <c r="C790" s="202"/>
      <c r="D790" s="197"/>
      <c r="F790" s="195"/>
      <c r="G790" s="195"/>
      <c r="H790" s="195"/>
      <c r="I790" s="196"/>
      <c r="J790" s="195"/>
      <c r="K790" s="3"/>
    </row>
    <row r="791" spans="3:11" ht="15.75" customHeight="1" x14ac:dyDescent="0.2">
      <c r="C791" s="202">
        <f>DATE(93,10,13)</f>
        <v>34255</v>
      </c>
      <c r="D791" s="197">
        <v>0.61458333333333337</v>
      </c>
      <c r="F791" s="195"/>
      <c r="G791" s="195"/>
      <c r="H791" s="195"/>
      <c r="I791" s="196"/>
      <c r="J791" s="195">
        <v>11</v>
      </c>
      <c r="K791" s="3"/>
    </row>
    <row r="792" spans="3:11" ht="15.75" customHeight="1" x14ac:dyDescent="0.2">
      <c r="C792" s="202">
        <f t="shared" ref="C792:C793" si="35">DATE(93,10,13)</f>
        <v>34255</v>
      </c>
      <c r="D792" s="197">
        <v>0.61458333333333337</v>
      </c>
      <c r="E792" s="190">
        <v>1</v>
      </c>
      <c r="F792" s="195">
        <v>9.5</v>
      </c>
      <c r="G792" s="195"/>
      <c r="H792" s="195">
        <v>14.5</v>
      </c>
      <c r="I792" s="196"/>
      <c r="J792" s="195"/>
      <c r="K792" s="3"/>
    </row>
    <row r="793" spans="3:11" ht="15.75" customHeight="1" x14ac:dyDescent="0.2">
      <c r="C793" s="202">
        <f t="shared" si="35"/>
        <v>34255</v>
      </c>
      <c r="D793" s="197">
        <v>0.61458333333333337</v>
      </c>
      <c r="E793" s="198">
        <v>13</v>
      </c>
      <c r="F793" s="190">
        <v>9.4</v>
      </c>
      <c r="G793" s="191"/>
      <c r="H793" s="190">
        <v>14.4</v>
      </c>
      <c r="J793" s="198"/>
      <c r="K793" s="3"/>
    </row>
    <row r="794" spans="3:11" ht="15.75" customHeight="1" x14ac:dyDescent="0.2">
      <c r="C794" s="199"/>
      <c r="D794" s="19"/>
      <c r="E794" s="24"/>
      <c r="F794" s="24"/>
      <c r="G794" s="7"/>
      <c r="H794" s="7"/>
      <c r="J794" s="3"/>
      <c r="K794" s="3"/>
    </row>
    <row r="795" spans="3:11" ht="15.75" customHeight="1" x14ac:dyDescent="0.2">
      <c r="C795" s="199"/>
      <c r="D795" s="19"/>
      <c r="E795" s="24"/>
      <c r="F795" s="24"/>
      <c r="G795" s="7"/>
      <c r="H795" s="7"/>
      <c r="J795" s="3"/>
      <c r="K795" s="3"/>
    </row>
    <row r="796" spans="3:11" ht="15.75" customHeight="1" x14ac:dyDescent="0.2">
      <c r="C796" s="199"/>
      <c r="D796" s="19"/>
      <c r="E796" s="24"/>
      <c r="F796" s="24"/>
      <c r="G796" s="7"/>
      <c r="H796" s="7"/>
      <c r="J796" s="3"/>
      <c r="K796" s="3"/>
    </row>
    <row r="797" spans="3:11" ht="15.75" customHeight="1" x14ac:dyDescent="0.2">
      <c r="C797" s="199"/>
      <c r="D797" s="19"/>
      <c r="E797" s="24"/>
      <c r="F797" s="24"/>
      <c r="G797" s="7"/>
      <c r="H797" s="7"/>
      <c r="J797" s="3"/>
      <c r="K797" s="3"/>
    </row>
    <row r="798" spans="3:11" ht="15.75" customHeight="1" x14ac:dyDescent="0.2">
      <c r="C798" s="199"/>
      <c r="D798" s="19"/>
      <c r="E798" s="24"/>
      <c r="F798" s="24"/>
      <c r="G798" s="7"/>
      <c r="H798" s="7"/>
      <c r="J798" s="3"/>
      <c r="K798" s="3"/>
    </row>
    <row r="799" spans="3:11" ht="15.75" customHeight="1" x14ac:dyDescent="0.2">
      <c r="C799" s="199"/>
      <c r="D799" s="19"/>
      <c r="E799" s="24"/>
      <c r="F799" s="24"/>
      <c r="G799" s="7"/>
      <c r="H799" s="7"/>
      <c r="J799" s="3"/>
      <c r="K799" s="3"/>
    </row>
    <row r="800" spans="3:11" ht="15.75" customHeight="1" x14ac:dyDescent="0.2">
      <c r="C800" s="199"/>
      <c r="D800" s="19"/>
      <c r="E800" s="24"/>
      <c r="F800" s="24"/>
      <c r="G800" s="7"/>
      <c r="H800" s="7"/>
      <c r="J800" s="3"/>
      <c r="K800" s="3"/>
    </row>
    <row r="801" spans="3:11" ht="15.75" customHeight="1" x14ac:dyDescent="0.2">
      <c r="C801" s="199"/>
      <c r="D801" s="19"/>
      <c r="E801" s="24"/>
      <c r="F801" s="24"/>
      <c r="G801" s="7"/>
      <c r="H801" s="7"/>
      <c r="J801" s="3"/>
      <c r="K801" s="3"/>
    </row>
    <row r="802" spans="3:11" ht="15.75" customHeight="1" x14ac:dyDescent="0.2">
      <c r="C802" s="199"/>
      <c r="D802" s="19"/>
      <c r="E802" s="24"/>
      <c r="F802" s="24"/>
      <c r="G802" s="7"/>
      <c r="H802" s="7"/>
      <c r="J802" s="3"/>
      <c r="K802" s="3"/>
    </row>
    <row r="803" spans="3:11" ht="15.75" customHeight="1" x14ac:dyDescent="0.2">
      <c r="C803" s="199"/>
      <c r="D803" s="19"/>
      <c r="E803" s="24"/>
      <c r="F803" s="24"/>
      <c r="G803" s="7"/>
      <c r="H803" s="7"/>
      <c r="J803" s="3"/>
      <c r="K803" s="3"/>
    </row>
    <row r="804" spans="3:11" ht="15.75" customHeight="1" x14ac:dyDescent="0.2">
      <c r="C804" s="199"/>
      <c r="D804" s="19"/>
      <c r="E804" s="24"/>
      <c r="F804" s="24"/>
      <c r="G804" s="7"/>
      <c r="H804" s="7"/>
      <c r="J804" s="3"/>
      <c r="K804" s="3"/>
    </row>
    <row r="805" spans="3:11" ht="15.75" customHeight="1" x14ac:dyDescent="0.2">
      <c r="C805" s="199"/>
      <c r="D805" s="19"/>
      <c r="E805" s="24"/>
      <c r="F805" s="24"/>
      <c r="G805" s="7"/>
      <c r="H805" s="7"/>
      <c r="J805" s="3"/>
      <c r="K805" s="3"/>
    </row>
    <row r="806" spans="3:11" ht="15.75" customHeight="1" x14ac:dyDescent="0.2">
      <c r="C806" s="199"/>
      <c r="D806" s="19"/>
      <c r="E806" s="24"/>
      <c r="F806" s="24"/>
      <c r="G806" s="7"/>
      <c r="H806" s="7"/>
      <c r="J806" s="3"/>
      <c r="K806" s="3"/>
    </row>
    <row r="807" spans="3:11" ht="15.75" customHeight="1" x14ac:dyDescent="0.2">
      <c r="C807" s="199"/>
      <c r="D807" s="19"/>
      <c r="E807" s="24"/>
      <c r="F807" s="24"/>
      <c r="G807" s="7"/>
      <c r="H807" s="7"/>
      <c r="J807" s="3"/>
      <c r="K807" s="3"/>
    </row>
    <row r="808" spans="3:11" ht="15.75" customHeight="1" x14ac:dyDescent="0.2">
      <c r="C808" s="199"/>
      <c r="D808" s="19"/>
      <c r="E808" s="24"/>
      <c r="F808" s="24"/>
      <c r="G808" s="7"/>
      <c r="H808" s="7"/>
      <c r="J808" s="3"/>
      <c r="K808" s="3"/>
    </row>
    <row r="809" spans="3:11" ht="15.75" customHeight="1" x14ac:dyDescent="0.2">
      <c r="C809" s="199"/>
      <c r="D809" s="19"/>
      <c r="E809" s="24"/>
      <c r="F809" s="24"/>
      <c r="G809" s="7"/>
      <c r="H809" s="7"/>
      <c r="J809" s="3"/>
      <c r="K809" s="3"/>
    </row>
    <row r="810" spans="3:11" ht="15.75" customHeight="1" x14ac:dyDescent="0.2">
      <c r="C810" s="199"/>
      <c r="D810" s="19"/>
      <c r="E810" s="24"/>
      <c r="F810" s="24"/>
      <c r="G810" s="7"/>
      <c r="H810" s="7"/>
      <c r="J810" s="3"/>
      <c r="K810" s="3"/>
    </row>
    <row r="811" spans="3:11" ht="15.75" customHeight="1" x14ac:dyDescent="0.2">
      <c r="C811" s="199"/>
      <c r="D811" s="19"/>
      <c r="E811" s="24"/>
      <c r="F811" s="24"/>
      <c r="G811" s="7"/>
      <c r="H811" s="7"/>
      <c r="J811" s="3"/>
      <c r="K811" s="3"/>
    </row>
    <row r="812" spans="3:11" ht="15.75" customHeight="1" x14ac:dyDescent="0.2">
      <c r="C812" s="199"/>
      <c r="D812" s="19"/>
      <c r="E812" s="24"/>
      <c r="F812" s="24"/>
      <c r="G812" s="7"/>
      <c r="H812" s="7"/>
      <c r="J812" s="3"/>
      <c r="K812" s="3"/>
    </row>
    <row r="813" spans="3:11" ht="15.75" customHeight="1" x14ac:dyDescent="0.2">
      <c r="C813" s="199"/>
      <c r="D813" s="19"/>
      <c r="E813" s="24"/>
      <c r="F813" s="24"/>
      <c r="G813" s="7"/>
      <c r="H813" s="7"/>
      <c r="J813" s="3"/>
      <c r="K813" s="3"/>
    </row>
    <row r="814" spans="3:11" ht="15.75" customHeight="1" x14ac:dyDescent="0.2">
      <c r="C814" s="199"/>
      <c r="D814" s="19"/>
      <c r="E814" s="24"/>
      <c r="F814" s="24"/>
      <c r="G814" s="7"/>
      <c r="H814" s="7"/>
      <c r="J814" s="3"/>
      <c r="K814" s="3"/>
    </row>
    <row r="815" spans="3:11" ht="15.75" customHeight="1" x14ac:dyDescent="0.2">
      <c r="C815" s="199"/>
      <c r="D815" s="19"/>
      <c r="E815" s="24"/>
      <c r="F815" s="24"/>
      <c r="G815" s="7"/>
      <c r="H815" s="7"/>
      <c r="J815" s="3"/>
      <c r="K815" s="3"/>
    </row>
    <row r="816" spans="3:11" ht="15.75" customHeight="1" x14ac:dyDescent="0.2">
      <c r="C816" s="199"/>
      <c r="D816" s="19"/>
      <c r="E816" s="24"/>
      <c r="F816" s="24"/>
      <c r="G816" s="7"/>
      <c r="H816" s="7"/>
      <c r="J816" s="3"/>
      <c r="K816" s="3"/>
    </row>
    <row r="817" spans="3:11" ht="15.75" customHeight="1" x14ac:dyDescent="0.2">
      <c r="C817" s="199"/>
      <c r="D817" s="19"/>
      <c r="E817" s="24"/>
      <c r="F817" s="24"/>
      <c r="G817" s="7"/>
      <c r="H817" s="7"/>
      <c r="J817" s="3"/>
      <c r="K817" s="3"/>
    </row>
    <row r="818" spans="3:11" ht="15.75" customHeight="1" x14ac:dyDescent="0.2">
      <c r="C818" s="199"/>
      <c r="D818" s="19"/>
      <c r="E818" s="24"/>
      <c r="F818" s="24"/>
      <c r="G818" s="7"/>
      <c r="H818" s="7"/>
      <c r="J818" s="3"/>
      <c r="K818" s="3"/>
    </row>
    <row r="819" spans="3:11" ht="15.75" customHeight="1" x14ac:dyDescent="0.2">
      <c r="C819" s="199"/>
      <c r="D819" s="19"/>
      <c r="E819" s="24"/>
      <c r="F819" s="24"/>
      <c r="G819" s="7"/>
      <c r="H819" s="7"/>
      <c r="J819" s="3"/>
      <c r="K819" s="3"/>
    </row>
    <row r="820" spans="3:11" ht="15.75" customHeight="1" x14ac:dyDescent="0.2">
      <c r="C820" s="199"/>
      <c r="D820" s="19"/>
      <c r="E820" s="24"/>
      <c r="F820" s="24"/>
      <c r="G820" s="7"/>
      <c r="H820" s="7"/>
      <c r="J820" s="3"/>
      <c r="K820" s="3"/>
    </row>
    <row r="821" spans="3:11" ht="15.75" customHeight="1" x14ac:dyDescent="0.2">
      <c r="C821" s="199"/>
      <c r="D821" s="19"/>
      <c r="E821" s="24"/>
      <c r="F821" s="24"/>
      <c r="G821" s="7"/>
      <c r="H821" s="7"/>
      <c r="J821" s="3"/>
      <c r="K821" s="3"/>
    </row>
    <row r="822" spans="3:11" ht="15.75" customHeight="1" x14ac:dyDescent="0.2">
      <c r="C822" s="199"/>
      <c r="D822" s="19"/>
      <c r="E822" s="24"/>
      <c r="F822" s="24"/>
      <c r="G822" s="7"/>
      <c r="H822" s="7"/>
      <c r="J822" s="3"/>
      <c r="K822" s="3"/>
    </row>
    <row r="823" spans="3:11" ht="15.75" customHeight="1" x14ac:dyDescent="0.2">
      <c r="C823" s="199"/>
      <c r="D823" s="19"/>
      <c r="E823" s="24"/>
      <c r="F823" s="24"/>
      <c r="G823" s="7"/>
      <c r="H823" s="7"/>
      <c r="J823" s="3"/>
      <c r="K823" s="3"/>
    </row>
    <row r="824" spans="3:11" ht="15.75" customHeight="1" x14ac:dyDescent="0.2">
      <c r="C824" s="199"/>
      <c r="D824" s="19"/>
      <c r="E824" s="24"/>
      <c r="F824" s="24"/>
      <c r="G824" s="7"/>
      <c r="H824" s="7"/>
      <c r="J824" s="3"/>
      <c r="K824" s="3"/>
    </row>
    <row r="825" spans="3:11" ht="15.75" customHeight="1" x14ac:dyDescent="0.2">
      <c r="C825" s="199"/>
      <c r="D825" s="19"/>
      <c r="E825" s="24"/>
      <c r="F825" s="24"/>
      <c r="G825" s="7"/>
      <c r="H825" s="7"/>
      <c r="J825" s="3"/>
      <c r="K825" s="3"/>
    </row>
    <row r="826" spans="3:11" ht="15.75" customHeight="1" x14ac:dyDescent="0.2">
      <c r="C826" s="199"/>
      <c r="D826" s="19"/>
      <c r="E826" s="24"/>
      <c r="F826" s="24"/>
      <c r="G826" s="7"/>
      <c r="H826" s="7"/>
      <c r="J826" s="3"/>
      <c r="K826" s="3"/>
    </row>
    <row r="827" spans="3:11" ht="15.75" customHeight="1" x14ac:dyDescent="0.2">
      <c r="C827" s="199"/>
      <c r="D827" s="19"/>
      <c r="E827" s="24"/>
      <c r="F827" s="24"/>
      <c r="G827" s="7"/>
      <c r="H827" s="7"/>
      <c r="J827" s="3"/>
      <c r="K827" s="3"/>
    </row>
    <row r="828" spans="3:11" ht="15.75" customHeight="1" x14ac:dyDescent="0.2">
      <c r="C828" s="199"/>
      <c r="D828" s="19"/>
      <c r="E828" s="24"/>
      <c r="F828" s="24"/>
      <c r="G828" s="7"/>
      <c r="H828" s="7"/>
      <c r="J828" s="3"/>
      <c r="K828" s="3"/>
    </row>
    <row r="829" spans="3:11" ht="15.75" customHeight="1" x14ac:dyDescent="0.2">
      <c r="C829" s="199"/>
      <c r="D829" s="19"/>
      <c r="E829" s="24"/>
      <c r="F829" s="24"/>
      <c r="G829" s="7"/>
      <c r="H829" s="7"/>
      <c r="J829" s="3"/>
      <c r="K829" s="3"/>
    </row>
    <row r="830" spans="3:11" ht="15.75" customHeight="1" x14ac:dyDescent="0.2">
      <c r="C830" s="199"/>
      <c r="D830" s="19"/>
      <c r="E830" s="24"/>
      <c r="F830" s="24"/>
      <c r="G830" s="7"/>
      <c r="H830" s="7"/>
      <c r="J830" s="3"/>
      <c r="K830" s="3"/>
    </row>
    <row r="831" spans="3:11" ht="15.75" customHeight="1" x14ac:dyDescent="0.2">
      <c r="C831" s="199"/>
      <c r="D831" s="19"/>
      <c r="E831" s="24"/>
      <c r="F831" s="24"/>
      <c r="G831" s="7"/>
      <c r="H831" s="7"/>
      <c r="J831" s="3"/>
      <c r="K831" s="3"/>
    </row>
    <row r="832" spans="3:11" ht="15.75" customHeight="1" x14ac:dyDescent="0.2">
      <c r="C832" s="199"/>
      <c r="D832" s="19"/>
      <c r="E832" s="24"/>
      <c r="F832" s="24"/>
      <c r="G832" s="7"/>
      <c r="H832" s="7"/>
      <c r="J832" s="3"/>
      <c r="K832" s="3"/>
    </row>
    <row r="833" spans="3:11" ht="15.75" customHeight="1" x14ac:dyDescent="0.2">
      <c r="C833" s="199"/>
      <c r="D833" s="19"/>
      <c r="E833" s="24"/>
      <c r="F833" s="24"/>
      <c r="G833" s="7"/>
      <c r="H833" s="7"/>
      <c r="J833" s="3"/>
      <c r="K833" s="3"/>
    </row>
    <row r="834" spans="3:11" ht="15.75" customHeight="1" x14ac:dyDescent="0.2">
      <c r="C834" s="199"/>
      <c r="D834" s="19"/>
      <c r="E834" s="24"/>
      <c r="F834" s="24"/>
      <c r="G834" s="7"/>
      <c r="H834" s="7"/>
      <c r="J834" s="3"/>
      <c r="K834" s="3"/>
    </row>
    <row r="835" spans="3:11" ht="15.75" customHeight="1" x14ac:dyDescent="0.2">
      <c r="C835" s="199"/>
      <c r="D835" s="19"/>
      <c r="E835" s="24"/>
      <c r="F835" s="24"/>
      <c r="G835" s="7"/>
      <c r="H835" s="7"/>
      <c r="J835" s="3"/>
      <c r="K835" s="3"/>
    </row>
    <row r="836" spans="3:11" ht="15.75" customHeight="1" x14ac:dyDescent="0.2">
      <c r="C836" s="199"/>
      <c r="D836" s="19"/>
      <c r="E836" s="24"/>
      <c r="F836" s="24"/>
      <c r="G836" s="7"/>
      <c r="H836" s="7"/>
      <c r="J836" s="3"/>
      <c r="K836" s="3"/>
    </row>
    <row r="837" spans="3:11" ht="15.75" customHeight="1" x14ac:dyDescent="0.2">
      <c r="C837" s="199"/>
      <c r="D837" s="19"/>
      <c r="E837" s="24"/>
      <c r="F837" s="24"/>
      <c r="G837" s="7"/>
      <c r="H837" s="7"/>
      <c r="J837" s="3"/>
      <c r="K837" s="3"/>
    </row>
    <row r="838" spans="3:11" ht="15.75" customHeight="1" x14ac:dyDescent="0.2">
      <c r="C838" s="199"/>
      <c r="D838" s="19"/>
      <c r="E838" s="24"/>
      <c r="F838" s="24"/>
      <c r="G838" s="7"/>
      <c r="H838" s="7"/>
      <c r="J838" s="3"/>
      <c r="K838" s="3"/>
    </row>
    <row r="839" spans="3:11" ht="15.75" customHeight="1" x14ac:dyDescent="0.2">
      <c r="C839" s="199"/>
      <c r="D839" s="19"/>
      <c r="E839" s="24"/>
      <c r="F839" s="24"/>
      <c r="G839" s="7"/>
      <c r="H839" s="7"/>
      <c r="J839" s="3"/>
      <c r="K839" s="3"/>
    </row>
    <row r="840" spans="3:11" ht="15.75" customHeight="1" x14ac:dyDescent="0.2">
      <c r="C840" s="199"/>
      <c r="D840" s="19"/>
      <c r="E840" s="24"/>
      <c r="F840" s="24"/>
      <c r="G840" s="7"/>
      <c r="H840" s="7"/>
      <c r="J840" s="3"/>
      <c r="K840" s="3"/>
    </row>
    <row r="841" spans="3:11" ht="15.75" customHeight="1" x14ac:dyDescent="0.2">
      <c r="C841" s="199"/>
      <c r="D841" s="19"/>
      <c r="E841" s="24"/>
      <c r="F841" s="24"/>
      <c r="G841" s="7"/>
      <c r="H841" s="7"/>
      <c r="J841" s="3"/>
      <c r="K841" s="3"/>
    </row>
    <row r="842" spans="3:11" ht="15.75" customHeight="1" x14ac:dyDescent="0.2">
      <c r="C842" s="199"/>
      <c r="D842" s="19"/>
      <c r="E842" s="24"/>
      <c r="F842" s="24"/>
      <c r="G842" s="7"/>
      <c r="H842" s="7"/>
      <c r="J842" s="3"/>
      <c r="K842" s="3"/>
    </row>
    <row r="843" spans="3:11" ht="15.75" customHeight="1" x14ac:dyDescent="0.2">
      <c r="C843" s="199"/>
      <c r="D843" s="19"/>
      <c r="E843" s="24"/>
      <c r="F843" s="24"/>
      <c r="G843" s="7"/>
      <c r="H843" s="7"/>
      <c r="J843" s="3"/>
      <c r="K843" s="3"/>
    </row>
    <row r="844" spans="3:11" ht="15.75" customHeight="1" x14ac:dyDescent="0.2">
      <c r="C844" s="199"/>
      <c r="D844" s="19"/>
      <c r="E844" s="24"/>
      <c r="F844" s="24"/>
      <c r="G844" s="7"/>
      <c r="H844" s="7"/>
      <c r="J844" s="3"/>
      <c r="K844" s="3"/>
    </row>
    <row r="845" spans="3:11" ht="15.75" customHeight="1" x14ac:dyDescent="0.2">
      <c r="C845" s="199"/>
      <c r="D845" s="19"/>
      <c r="E845" s="24"/>
      <c r="F845" s="24"/>
      <c r="G845" s="7"/>
      <c r="H845" s="7"/>
      <c r="J845" s="3"/>
      <c r="K845" s="3"/>
    </row>
    <row r="846" spans="3:11" ht="15.75" customHeight="1" x14ac:dyDescent="0.2">
      <c r="C846" s="199"/>
      <c r="D846" s="19"/>
      <c r="E846" s="24"/>
      <c r="F846" s="24"/>
      <c r="G846" s="7"/>
      <c r="H846" s="7"/>
      <c r="J846" s="3"/>
      <c r="K846" s="3"/>
    </row>
    <row r="847" spans="3:11" ht="15.75" customHeight="1" x14ac:dyDescent="0.2">
      <c r="C847" s="199"/>
      <c r="D847" s="19"/>
      <c r="E847" s="24"/>
      <c r="F847" s="24"/>
      <c r="G847" s="7"/>
      <c r="H847" s="7"/>
      <c r="J847" s="3"/>
      <c r="K847" s="3"/>
    </row>
    <row r="848" spans="3:11" ht="15.75" customHeight="1" x14ac:dyDescent="0.2">
      <c r="C848" s="199"/>
      <c r="D848" s="19"/>
      <c r="E848" s="24"/>
      <c r="F848" s="24"/>
      <c r="G848" s="7"/>
      <c r="H848" s="7"/>
      <c r="J848" s="3"/>
      <c r="K848" s="3"/>
    </row>
    <row r="849" spans="3:11" ht="15.75" customHeight="1" x14ac:dyDescent="0.2">
      <c r="C849" s="199"/>
      <c r="D849" s="19"/>
      <c r="E849" s="24"/>
      <c r="F849" s="24"/>
      <c r="G849" s="7"/>
      <c r="H849" s="7"/>
      <c r="J849" s="3"/>
      <c r="K849" s="3"/>
    </row>
    <row r="850" spans="3:11" ht="15.75" customHeight="1" x14ac:dyDescent="0.2">
      <c r="C850" s="199"/>
      <c r="D850" s="19"/>
      <c r="E850" s="24"/>
      <c r="F850" s="24"/>
      <c r="G850" s="7"/>
      <c r="H850" s="7"/>
      <c r="J850" s="3"/>
      <c r="K850" s="3"/>
    </row>
    <row r="851" spans="3:11" ht="15.75" customHeight="1" x14ac:dyDescent="0.2">
      <c r="C851" s="199"/>
      <c r="D851" s="19"/>
      <c r="E851" s="24"/>
      <c r="F851" s="24"/>
      <c r="G851" s="7"/>
      <c r="H851" s="7"/>
      <c r="J851" s="3"/>
      <c r="K851" s="3"/>
    </row>
    <row r="852" spans="3:11" ht="15.75" customHeight="1" x14ac:dyDescent="0.2">
      <c r="C852" s="199"/>
      <c r="D852" s="19"/>
      <c r="E852" s="24"/>
      <c r="F852" s="24"/>
      <c r="G852" s="7"/>
      <c r="H852" s="7"/>
      <c r="J852" s="3"/>
      <c r="K852" s="3"/>
    </row>
    <row r="853" spans="3:11" ht="15.75" customHeight="1" x14ac:dyDescent="0.2">
      <c r="C853" s="199"/>
      <c r="D853" s="19"/>
      <c r="E853" s="24"/>
      <c r="F853" s="24"/>
      <c r="G853" s="7"/>
      <c r="H853" s="7"/>
      <c r="J853" s="3"/>
      <c r="K853" s="3"/>
    </row>
    <row r="854" spans="3:11" ht="15.75" customHeight="1" x14ac:dyDescent="0.2">
      <c r="C854" s="199"/>
      <c r="D854" s="19"/>
      <c r="E854" s="24"/>
      <c r="F854" s="24"/>
      <c r="G854" s="7"/>
      <c r="H854" s="7"/>
      <c r="J854" s="3"/>
      <c r="K854" s="3"/>
    </row>
    <row r="855" spans="3:11" ht="15.75" customHeight="1" x14ac:dyDescent="0.2">
      <c r="C855" s="199"/>
      <c r="D855" s="19"/>
      <c r="E855" s="24"/>
      <c r="F855" s="24"/>
      <c r="G855" s="7"/>
      <c r="H855" s="7"/>
      <c r="J855" s="3"/>
      <c r="K855" s="3"/>
    </row>
    <row r="856" spans="3:11" ht="15.75" customHeight="1" x14ac:dyDescent="0.2">
      <c r="C856" s="199"/>
      <c r="D856" s="19"/>
      <c r="E856" s="24"/>
      <c r="F856" s="24"/>
      <c r="G856" s="7"/>
      <c r="H856" s="7"/>
      <c r="J856" s="3"/>
      <c r="K856" s="3"/>
    </row>
    <row r="857" spans="3:11" ht="15.75" customHeight="1" x14ac:dyDescent="0.2">
      <c r="C857" s="199"/>
      <c r="D857" s="19"/>
      <c r="E857" s="24"/>
      <c r="F857" s="24"/>
      <c r="G857" s="7"/>
      <c r="H857" s="7"/>
      <c r="J857" s="3"/>
      <c r="K857" s="3"/>
    </row>
    <row r="858" spans="3:11" ht="15.75" customHeight="1" x14ac:dyDescent="0.2">
      <c r="C858" s="199"/>
      <c r="D858" s="19"/>
      <c r="E858" s="24"/>
      <c r="F858" s="24"/>
      <c r="G858" s="7"/>
      <c r="H858" s="7"/>
      <c r="J858" s="3"/>
      <c r="K858" s="3"/>
    </row>
    <row r="859" spans="3:11" ht="15.75" customHeight="1" x14ac:dyDescent="0.2">
      <c r="C859" s="199"/>
      <c r="D859" s="19"/>
      <c r="E859" s="24"/>
      <c r="F859" s="24"/>
      <c r="G859" s="7"/>
      <c r="H859" s="7"/>
      <c r="J859" s="3"/>
      <c r="K859" s="3"/>
    </row>
    <row r="860" spans="3:11" ht="15.75" customHeight="1" x14ac:dyDescent="0.2">
      <c r="C860" s="199"/>
      <c r="D860" s="19"/>
      <c r="E860" s="24"/>
      <c r="F860" s="24"/>
      <c r="G860" s="7"/>
      <c r="H860" s="7"/>
      <c r="J860" s="3"/>
      <c r="K860" s="3"/>
    </row>
    <row r="861" spans="3:11" ht="15.75" customHeight="1" x14ac:dyDescent="0.2">
      <c r="C861" s="199"/>
      <c r="D861" s="19"/>
      <c r="E861" s="24"/>
      <c r="F861" s="24"/>
      <c r="G861" s="7"/>
      <c r="H861" s="7"/>
      <c r="J861" s="3"/>
      <c r="K861" s="3"/>
    </row>
    <row r="862" spans="3:11" ht="15.75" customHeight="1" x14ac:dyDescent="0.2">
      <c r="C862" s="199"/>
      <c r="D862" s="19"/>
      <c r="E862" s="24"/>
      <c r="F862" s="24"/>
      <c r="G862" s="7"/>
      <c r="H862" s="7"/>
      <c r="J862" s="3"/>
      <c r="K862" s="3"/>
    </row>
    <row r="863" spans="3:11" ht="15.75" customHeight="1" x14ac:dyDescent="0.2">
      <c r="C863" s="199"/>
      <c r="D863" s="19"/>
      <c r="E863" s="24"/>
      <c r="F863" s="24"/>
      <c r="G863" s="7"/>
      <c r="H863" s="7"/>
      <c r="J863" s="3"/>
      <c r="K863" s="3"/>
    </row>
    <row r="864" spans="3:11" ht="15.75" customHeight="1" x14ac:dyDescent="0.2">
      <c r="C864" s="199"/>
      <c r="D864" s="19"/>
      <c r="E864" s="24"/>
      <c r="F864" s="24"/>
      <c r="G864" s="7"/>
      <c r="H864" s="7"/>
      <c r="J864" s="3"/>
      <c r="K864" s="3"/>
    </row>
    <row r="865" spans="3:11" ht="15.75" customHeight="1" x14ac:dyDescent="0.2">
      <c r="C865" s="199"/>
      <c r="D865" s="19"/>
      <c r="E865" s="24"/>
      <c r="F865" s="24"/>
      <c r="G865" s="7"/>
      <c r="H865" s="7"/>
      <c r="J865" s="3"/>
      <c r="K865" s="3"/>
    </row>
    <row r="866" spans="3:11" ht="15.75" customHeight="1" x14ac:dyDescent="0.2">
      <c r="C866" s="199"/>
      <c r="D866" s="19"/>
      <c r="E866" s="24"/>
      <c r="F866" s="24"/>
      <c r="G866" s="7"/>
      <c r="H866" s="7"/>
      <c r="J866" s="3"/>
      <c r="K866" s="3"/>
    </row>
    <row r="867" spans="3:11" ht="15.75" customHeight="1" x14ac:dyDescent="0.2">
      <c r="C867" s="199"/>
      <c r="D867" s="19"/>
      <c r="E867" s="24"/>
      <c r="F867" s="24"/>
      <c r="G867" s="7"/>
      <c r="H867" s="7"/>
      <c r="J867" s="3"/>
      <c r="K867" s="3"/>
    </row>
    <row r="868" spans="3:11" ht="15.75" customHeight="1" x14ac:dyDescent="0.2">
      <c r="C868" s="199"/>
      <c r="D868" s="19"/>
      <c r="E868" s="24"/>
      <c r="F868" s="24"/>
      <c r="G868" s="7"/>
      <c r="H868" s="7"/>
      <c r="J868" s="3"/>
      <c r="K868" s="3"/>
    </row>
    <row r="869" spans="3:11" ht="15.75" customHeight="1" x14ac:dyDescent="0.2">
      <c r="C869" s="199"/>
      <c r="D869" s="19"/>
      <c r="E869" s="24"/>
      <c r="F869" s="24"/>
      <c r="G869" s="7"/>
      <c r="H869" s="7"/>
      <c r="J869" s="3"/>
      <c r="K869" s="3"/>
    </row>
    <row r="870" spans="3:11" ht="15.75" customHeight="1" x14ac:dyDescent="0.2">
      <c r="C870" s="199"/>
      <c r="D870" s="19"/>
      <c r="E870" s="24"/>
      <c r="F870" s="24"/>
      <c r="G870" s="7"/>
      <c r="H870" s="7"/>
      <c r="J870" s="3"/>
      <c r="K870" s="3"/>
    </row>
    <row r="871" spans="3:11" ht="15.75" customHeight="1" x14ac:dyDescent="0.2">
      <c r="C871" s="199"/>
      <c r="D871" s="19"/>
      <c r="E871" s="24"/>
      <c r="F871" s="24"/>
      <c r="G871" s="7"/>
      <c r="H871" s="7"/>
      <c r="J871" s="3"/>
      <c r="K871" s="3"/>
    </row>
    <row r="872" spans="3:11" ht="15.75" customHeight="1" x14ac:dyDescent="0.2">
      <c r="C872" s="199"/>
      <c r="D872" s="19"/>
      <c r="E872" s="24"/>
      <c r="F872" s="24"/>
      <c r="G872" s="7"/>
      <c r="H872" s="7"/>
      <c r="J872" s="3"/>
      <c r="K872" s="3"/>
    </row>
    <row r="873" spans="3:11" ht="15.75" customHeight="1" x14ac:dyDescent="0.2">
      <c r="C873" s="199"/>
      <c r="D873" s="19"/>
      <c r="E873" s="24"/>
      <c r="F873" s="24"/>
      <c r="G873" s="7"/>
      <c r="H873" s="7"/>
      <c r="J873" s="3"/>
      <c r="K873" s="3"/>
    </row>
    <row r="874" spans="3:11" ht="15.75" customHeight="1" x14ac:dyDescent="0.2">
      <c r="C874" s="199"/>
      <c r="D874" s="19"/>
      <c r="E874" s="24"/>
      <c r="F874" s="24"/>
      <c r="G874" s="7"/>
      <c r="H874" s="7"/>
      <c r="J874" s="3"/>
      <c r="K874" s="3"/>
    </row>
    <row r="875" spans="3:11" ht="15.75" customHeight="1" x14ac:dyDescent="0.2">
      <c r="C875" s="199"/>
      <c r="D875" s="19"/>
      <c r="E875" s="24"/>
      <c r="F875" s="24"/>
      <c r="G875" s="7"/>
      <c r="H875" s="7"/>
      <c r="J875" s="3"/>
      <c r="K875" s="3"/>
    </row>
    <row r="876" spans="3:11" ht="15.75" customHeight="1" x14ac:dyDescent="0.2">
      <c r="C876" s="199"/>
      <c r="D876" s="19"/>
      <c r="E876" s="24"/>
      <c r="F876" s="24"/>
      <c r="G876" s="7"/>
      <c r="H876" s="7"/>
      <c r="J876" s="3"/>
      <c r="K876" s="3"/>
    </row>
    <row r="877" spans="3:11" ht="15.75" customHeight="1" x14ac:dyDescent="0.2">
      <c r="C877" s="199"/>
      <c r="D877" s="19"/>
      <c r="E877" s="24"/>
      <c r="F877" s="24"/>
      <c r="G877" s="7"/>
      <c r="H877" s="7"/>
      <c r="J877" s="3"/>
      <c r="K877" s="3"/>
    </row>
    <row r="878" spans="3:11" ht="15.75" customHeight="1" x14ac:dyDescent="0.2">
      <c r="C878" s="199"/>
      <c r="D878" s="19"/>
      <c r="E878" s="24"/>
      <c r="F878" s="24"/>
      <c r="G878" s="7"/>
      <c r="H878" s="7"/>
      <c r="J878" s="3"/>
      <c r="K878" s="3"/>
    </row>
    <row r="879" spans="3:11" ht="15.75" customHeight="1" x14ac:dyDescent="0.2">
      <c r="C879" s="199"/>
      <c r="D879" s="19"/>
      <c r="E879" s="24"/>
      <c r="F879" s="24"/>
      <c r="G879" s="7"/>
      <c r="H879" s="7"/>
      <c r="J879" s="3"/>
      <c r="K879" s="3"/>
    </row>
    <row r="880" spans="3:11" ht="15.75" customHeight="1" x14ac:dyDescent="0.2">
      <c r="C880" s="199"/>
      <c r="D880" s="19"/>
      <c r="E880" s="24"/>
      <c r="F880" s="24"/>
      <c r="G880" s="7"/>
      <c r="H880" s="7"/>
      <c r="J880" s="3"/>
      <c r="K880" s="3"/>
    </row>
    <row r="881" spans="3:11" ht="15.75" customHeight="1" x14ac:dyDescent="0.2">
      <c r="C881" s="199"/>
      <c r="D881" s="19"/>
      <c r="E881" s="24"/>
      <c r="F881" s="24"/>
      <c r="G881" s="7"/>
      <c r="H881" s="7"/>
      <c r="J881" s="3"/>
      <c r="K881" s="3"/>
    </row>
    <row r="882" spans="3:11" ht="15.75" customHeight="1" x14ac:dyDescent="0.2">
      <c r="C882" s="199"/>
      <c r="D882" s="19"/>
      <c r="E882" s="24"/>
      <c r="F882" s="24"/>
      <c r="G882" s="7"/>
      <c r="H882" s="7"/>
      <c r="J882" s="3"/>
      <c r="K882" s="3"/>
    </row>
    <row r="883" spans="3:11" ht="15.75" customHeight="1" x14ac:dyDescent="0.2">
      <c r="C883" s="199"/>
      <c r="D883" s="19"/>
      <c r="E883" s="24"/>
      <c r="F883" s="24"/>
      <c r="G883" s="7"/>
      <c r="H883" s="7"/>
      <c r="J883" s="3"/>
      <c r="K883" s="3"/>
    </row>
    <row r="884" spans="3:11" ht="15.75" customHeight="1" x14ac:dyDescent="0.2">
      <c r="C884" s="199"/>
      <c r="D884" s="19"/>
      <c r="E884" s="24"/>
      <c r="F884" s="24"/>
      <c r="G884" s="7"/>
      <c r="H884" s="7"/>
      <c r="J884" s="3"/>
      <c r="K884" s="3"/>
    </row>
    <row r="885" spans="3:11" ht="15.75" customHeight="1" x14ac:dyDescent="0.2">
      <c r="C885" s="199"/>
      <c r="D885" s="19"/>
      <c r="E885" s="24"/>
      <c r="F885" s="24"/>
      <c r="G885" s="7"/>
      <c r="H885" s="7"/>
      <c r="J885" s="3"/>
      <c r="K885" s="3"/>
    </row>
    <row r="886" spans="3:11" ht="15.75" customHeight="1" x14ac:dyDescent="0.2">
      <c r="C886" s="199"/>
      <c r="D886" s="19"/>
      <c r="E886" s="24"/>
      <c r="F886" s="24"/>
      <c r="G886" s="7"/>
      <c r="H886" s="7"/>
      <c r="J886" s="3"/>
      <c r="K886" s="3"/>
    </row>
    <row r="887" spans="3:11" ht="15.75" customHeight="1" x14ac:dyDescent="0.2">
      <c r="C887" s="199"/>
      <c r="D887" s="19"/>
      <c r="E887" s="24"/>
      <c r="F887" s="24"/>
      <c r="G887" s="7"/>
      <c r="H887" s="7"/>
      <c r="J887" s="3"/>
      <c r="K887" s="3"/>
    </row>
    <row r="888" spans="3:11" ht="15.75" customHeight="1" x14ac:dyDescent="0.2">
      <c r="C888" s="199"/>
      <c r="D888" s="19"/>
      <c r="E888" s="24"/>
      <c r="F888" s="24"/>
      <c r="G888" s="7"/>
      <c r="H888" s="7"/>
      <c r="J888" s="3"/>
      <c r="K888" s="3"/>
    </row>
    <row r="889" spans="3:11" ht="15.75" customHeight="1" x14ac:dyDescent="0.2">
      <c r="C889" s="199"/>
      <c r="D889" s="19"/>
      <c r="E889" s="24"/>
      <c r="F889" s="24"/>
      <c r="G889" s="7"/>
      <c r="H889" s="7"/>
      <c r="J889" s="3"/>
      <c r="K889" s="3"/>
    </row>
    <row r="890" spans="3:11" ht="15.75" customHeight="1" x14ac:dyDescent="0.2">
      <c r="C890" s="199"/>
      <c r="D890" s="19"/>
      <c r="E890" s="24"/>
      <c r="F890" s="24"/>
      <c r="G890" s="7"/>
      <c r="H890" s="7"/>
      <c r="J890" s="3"/>
      <c r="K890" s="3"/>
    </row>
    <row r="891" spans="3:11" ht="15.75" customHeight="1" x14ac:dyDescent="0.2">
      <c r="C891" s="199"/>
      <c r="D891" s="19"/>
      <c r="E891" s="24"/>
      <c r="F891" s="24"/>
      <c r="G891" s="7"/>
      <c r="H891" s="7"/>
      <c r="J891" s="3"/>
      <c r="K891" s="3"/>
    </row>
    <row r="892" spans="3:11" ht="15.75" customHeight="1" x14ac:dyDescent="0.2">
      <c r="C892" s="199"/>
      <c r="D892" s="19"/>
      <c r="E892" s="24"/>
      <c r="F892" s="24"/>
      <c r="G892" s="7"/>
      <c r="H892" s="7"/>
      <c r="J892" s="3"/>
      <c r="K892" s="3"/>
    </row>
    <row r="893" spans="3:11" ht="15.75" customHeight="1" x14ac:dyDescent="0.2">
      <c r="C893" s="199"/>
      <c r="D893" s="19"/>
      <c r="E893" s="24"/>
      <c r="F893" s="24"/>
      <c r="G893" s="7"/>
      <c r="H893" s="7"/>
      <c r="J893" s="3"/>
      <c r="K893" s="3"/>
    </row>
    <row r="894" spans="3:11" ht="15.75" customHeight="1" x14ac:dyDescent="0.2">
      <c r="C894" s="199"/>
      <c r="D894" s="19"/>
      <c r="E894" s="24"/>
      <c r="F894" s="24"/>
      <c r="G894" s="7"/>
      <c r="H894" s="7"/>
      <c r="J894" s="3"/>
      <c r="K894" s="3"/>
    </row>
    <row r="895" spans="3:11" ht="15.75" customHeight="1" x14ac:dyDescent="0.2">
      <c r="C895" s="199"/>
      <c r="D895" s="19"/>
      <c r="E895" s="24"/>
      <c r="F895" s="24"/>
      <c r="G895" s="7"/>
      <c r="H895" s="7"/>
      <c r="J895" s="3"/>
      <c r="K895" s="3"/>
    </row>
    <row r="896" spans="3:11" ht="15.75" customHeight="1" x14ac:dyDescent="0.2">
      <c r="C896" s="199"/>
      <c r="D896" s="19"/>
      <c r="E896" s="24"/>
      <c r="F896" s="24"/>
      <c r="G896" s="7"/>
      <c r="H896" s="7"/>
      <c r="J896" s="3"/>
      <c r="K896" s="3"/>
    </row>
    <row r="897" spans="3:11" ht="15.75" customHeight="1" x14ac:dyDescent="0.2">
      <c r="C897" s="199"/>
      <c r="D897" s="19"/>
      <c r="E897" s="24"/>
      <c r="F897" s="24"/>
      <c r="G897" s="7"/>
      <c r="H897" s="7"/>
      <c r="J897" s="3"/>
      <c r="K897" s="3"/>
    </row>
    <row r="898" spans="3:11" ht="15.75" customHeight="1" x14ac:dyDescent="0.2">
      <c r="C898" s="199"/>
      <c r="D898" s="19"/>
      <c r="E898" s="24"/>
      <c r="F898" s="24"/>
      <c r="G898" s="7"/>
      <c r="H898" s="7"/>
      <c r="J898" s="3"/>
      <c r="K898" s="3"/>
    </row>
    <row r="899" spans="3:11" ht="15.75" customHeight="1" x14ac:dyDescent="0.2">
      <c r="C899" s="199"/>
      <c r="D899" s="19"/>
      <c r="E899" s="24"/>
      <c r="F899" s="24"/>
      <c r="G899" s="7"/>
      <c r="H899" s="7"/>
      <c r="J899" s="3"/>
      <c r="K899" s="3"/>
    </row>
    <row r="900" spans="3:11" ht="15.75" customHeight="1" x14ac:dyDescent="0.2">
      <c r="C900" s="199"/>
      <c r="D900" s="19"/>
      <c r="E900" s="24"/>
      <c r="F900" s="24"/>
      <c r="G900" s="7"/>
      <c r="H900" s="7"/>
      <c r="J900" s="3"/>
      <c r="K900" s="3"/>
    </row>
    <row r="901" spans="3:11" ht="15.75" customHeight="1" x14ac:dyDescent="0.2">
      <c r="C901" s="199"/>
      <c r="D901" s="19"/>
      <c r="E901" s="24"/>
      <c r="F901" s="24"/>
      <c r="G901" s="7"/>
      <c r="H901" s="7"/>
      <c r="J901" s="3"/>
      <c r="K901" s="3"/>
    </row>
    <row r="902" spans="3:11" ht="15.75" customHeight="1" x14ac:dyDescent="0.2">
      <c r="C902" s="199"/>
      <c r="D902" s="19"/>
      <c r="E902" s="24"/>
      <c r="F902" s="24"/>
      <c r="G902" s="7"/>
      <c r="H902" s="7"/>
      <c r="J902" s="3"/>
      <c r="K902" s="3"/>
    </row>
    <row r="903" spans="3:11" ht="15.75" customHeight="1" x14ac:dyDescent="0.2">
      <c r="C903" s="199"/>
      <c r="D903" s="19"/>
      <c r="E903" s="24"/>
      <c r="F903" s="24"/>
      <c r="G903" s="7"/>
      <c r="H903" s="7"/>
      <c r="J903" s="3"/>
      <c r="K903" s="3"/>
    </row>
    <row r="904" spans="3:11" ht="15.75" customHeight="1" x14ac:dyDescent="0.2">
      <c r="C904" s="199"/>
      <c r="D904" s="19"/>
      <c r="E904" s="24"/>
      <c r="F904" s="24"/>
      <c r="G904" s="7"/>
      <c r="H904" s="7"/>
      <c r="J904" s="3"/>
      <c r="K904" s="3"/>
    </row>
    <row r="905" spans="3:11" ht="15.75" customHeight="1" x14ac:dyDescent="0.2">
      <c r="C905" s="199"/>
      <c r="D905" s="19"/>
      <c r="E905" s="24"/>
      <c r="F905" s="24"/>
      <c r="G905" s="7"/>
      <c r="H905" s="7"/>
      <c r="J905" s="3"/>
      <c r="K905" s="3"/>
    </row>
    <row r="906" spans="3:11" ht="15.75" customHeight="1" x14ac:dyDescent="0.2">
      <c r="C906" s="199"/>
      <c r="D906" s="19"/>
      <c r="E906" s="24"/>
      <c r="F906" s="24"/>
      <c r="G906" s="7"/>
      <c r="H906" s="7"/>
      <c r="J906" s="3"/>
      <c r="K906" s="3"/>
    </row>
    <row r="907" spans="3:11" ht="15.75" customHeight="1" x14ac:dyDescent="0.2">
      <c r="C907" s="199"/>
      <c r="D907" s="19"/>
      <c r="E907" s="24"/>
      <c r="F907" s="24"/>
      <c r="G907" s="7"/>
      <c r="H907" s="7"/>
      <c r="J907" s="3"/>
      <c r="K907" s="3"/>
    </row>
    <row r="908" spans="3:11" ht="15.75" customHeight="1" x14ac:dyDescent="0.2">
      <c r="C908" s="199"/>
      <c r="D908" s="19"/>
      <c r="E908" s="24"/>
      <c r="F908" s="24"/>
      <c r="G908" s="7"/>
      <c r="H908" s="7"/>
      <c r="J908" s="3"/>
      <c r="K908" s="3"/>
    </row>
    <row r="909" spans="3:11" ht="15.75" customHeight="1" x14ac:dyDescent="0.2">
      <c r="C909" s="199"/>
      <c r="D909" s="19"/>
      <c r="E909" s="24"/>
      <c r="F909" s="24"/>
      <c r="G909" s="7"/>
      <c r="H909" s="7"/>
      <c r="J909" s="3"/>
      <c r="K909" s="3"/>
    </row>
    <row r="910" spans="3:11" ht="15.75" customHeight="1" x14ac:dyDescent="0.2">
      <c r="C910" s="199"/>
      <c r="D910" s="19"/>
      <c r="E910" s="24"/>
      <c r="F910" s="24"/>
      <c r="G910" s="7"/>
      <c r="H910" s="7"/>
      <c r="J910" s="3"/>
      <c r="K910" s="3"/>
    </row>
    <row r="911" spans="3:11" ht="15.75" customHeight="1" x14ac:dyDescent="0.2">
      <c r="C911" s="199"/>
      <c r="D911" s="19"/>
      <c r="E911" s="24"/>
      <c r="F911" s="24"/>
      <c r="G911" s="7"/>
      <c r="H911" s="7"/>
      <c r="J911" s="3"/>
      <c r="K911" s="3"/>
    </row>
    <row r="912" spans="3:11" ht="15.75" customHeight="1" x14ac:dyDescent="0.2">
      <c r="C912" s="199"/>
      <c r="D912" s="19"/>
      <c r="E912" s="24"/>
      <c r="F912" s="24"/>
      <c r="G912" s="7"/>
      <c r="H912" s="7"/>
      <c r="J912" s="3"/>
      <c r="K912" s="3"/>
    </row>
    <row r="913" spans="3:11" ht="15.75" customHeight="1" x14ac:dyDescent="0.2">
      <c r="C913" s="199"/>
      <c r="D913" s="19"/>
      <c r="E913" s="24"/>
      <c r="F913" s="24"/>
      <c r="G913" s="7"/>
      <c r="H913" s="7"/>
      <c r="J913" s="3"/>
      <c r="K913" s="3"/>
    </row>
    <row r="914" spans="3:11" ht="15.75" customHeight="1" x14ac:dyDescent="0.2">
      <c r="C914" s="199"/>
      <c r="D914" s="19"/>
      <c r="E914" s="24"/>
      <c r="F914" s="24"/>
      <c r="G914" s="7"/>
      <c r="H914" s="7"/>
      <c r="J914" s="3"/>
      <c r="K914" s="3"/>
    </row>
    <row r="915" spans="3:11" ht="15.75" customHeight="1" x14ac:dyDescent="0.2">
      <c r="C915" s="199"/>
      <c r="D915" s="19"/>
      <c r="E915" s="24"/>
      <c r="F915" s="24"/>
      <c r="G915" s="7"/>
      <c r="H915" s="7"/>
      <c r="J915" s="3"/>
      <c r="K915" s="3"/>
    </row>
    <row r="916" spans="3:11" ht="15.75" customHeight="1" x14ac:dyDescent="0.2">
      <c r="C916" s="199"/>
      <c r="D916" s="19"/>
      <c r="E916" s="24"/>
      <c r="F916" s="24"/>
      <c r="G916" s="7"/>
      <c r="H916" s="7"/>
      <c r="J916" s="3"/>
      <c r="K916" s="3"/>
    </row>
    <row r="917" spans="3:11" ht="15.75" customHeight="1" x14ac:dyDescent="0.2">
      <c r="C917" s="199"/>
      <c r="D917" s="19"/>
      <c r="E917" s="24"/>
      <c r="F917" s="24"/>
      <c r="G917" s="7"/>
      <c r="H917" s="7"/>
      <c r="J917" s="3"/>
      <c r="K917" s="3"/>
    </row>
    <row r="918" spans="3:11" ht="15.75" customHeight="1" x14ac:dyDescent="0.2">
      <c r="C918" s="199"/>
      <c r="D918" s="19"/>
      <c r="E918" s="24"/>
      <c r="F918" s="24"/>
      <c r="G918" s="7"/>
      <c r="H918" s="7"/>
      <c r="J918" s="3"/>
      <c r="K918" s="3"/>
    </row>
    <row r="919" spans="3:11" ht="15.75" customHeight="1" x14ac:dyDescent="0.2">
      <c r="C919" s="199"/>
      <c r="D919" s="19"/>
      <c r="E919" s="24"/>
      <c r="F919" s="24"/>
      <c r="G919" s="7"/>
      <c r="H919" s="7"/>
      <c r="J919" s="3"/>
      <c r="K919" s="3"/>
    </row>
    <row r="920" spans="3:11" ht="15.75" customHeight="1" x14ac:dyDescent="0.2">
      <c r="C920" s="199"/>
      <c r="D920" s="19"/>
      <c r="E920" s="24"/>
      <c r="F920" s="24"/>
      <c r="G920" s="7"/>
      <c r="H920" s="7"/>
      <c r="J920" s="3"/>
      <c r="K920" s="3"/>
    </row>
    <row r="921" spans="3:11" ht="15.75" customHeight="1" x14ac:dyDescent="0.2">
      <c r="C921" s="199"/>
      <c r="D921" s="19"/>
      <c r="E921" s="24"/>
      <c r="F921" s="24"/>
      <c r="G921" s="7"/>
      <c r="H921" s="7"/>
      <c r="J921" s="3"/>
      <c r="K921" s="3"/>
    </row>
    <row r="922" spans="3:11" ht="15.75" customHeight="1" x14ac:dyDescent="0.2">
      <c r="C922" s="199"/>
      <c r="D922" s="19"/>
      <c r="E922" s="24"/>
      <c r="F922" s="24"/>
      <c r="G922" s="7"/>
      <c r="H922" s="7"/>
      <c r="J922" s="3"/>
      <c r="K922" s="3"/>
    </row>
    <row r="923" spans="3:11" ht="15.75" customHeight="1" x14ac:dyDescent="0.2">
      <c r="C923" s="199"/>
      <c r="D923" s="19"/>
      <c r="E923" s="24"/>
      <c r="F923" s="24"/>
      <c r="G923" s="7"/>
      <c r="H923" s="7"/>
      <c r="J923" s="3"/>
      <c r="K923" s="3"/>
    </row>
    <row r="924" spans="3:11" ht="15.75" customHeight="1" x14ac:dyDescent="0.2">
      <c r="C924" s="199"/>
      <c r="D924" s="19"/>
      <c r="E924" s="24"/>
      <c r="F924" s="24"/>
      <c r="G924" s="7"/>
      <c r="H924" s="7"/>
      <c r="J924" s="3"/>
      <c r="K924" s="3"/>
    </row>
    <row r="925" spans="3:11" ht="15.75" customHeight="1" x14ac:dyDescent="0.2">
      <c r="C925" s="199"/>
      <c r="D925" s="19"/>
      <c r="E925" s="24"/>
      <c r="F925" s="24"/>
      <c r="G925" s="7"/>
      <c r="H925" s="7"/>
      <c r="J925" s="3"/>
      <c r="K925" s="3"/>
    </row>
    <row r="926" spans="3:11" ht="15.75" customHeight="1" x14ac:dyDescent="0.2">
      <c r="C926" s="199"/>
      <c r="D926" s="19"/>
      <c r="E926" s="24"/>
      <c r="F926" s="24"/>
      <c r="G926" s="7"/>
      <c r="H926" s="7"/>
      <c r="J926" s="3"/>
      <c r="K926" s="3"/>
    </row>
    <row r="927" spans="3:11" ht="15.75" customHeight="1" x14ac:dyDescent="0.2">
      <c r="C927" s="199"/>
      <c r="D927" s="19"/>
      <c r="E927" s="24"/>
      <c r="F927" s="24"/>
      <c r="G927" s="7"/>
      <c r="H927" s="7"/>
      <c r="J927" s="3"/>
      <c r="K927" s="3"/>
    </row>
    <row r="928" spans="3:11" ht="15.75" customHeight="1" x14ac:dyDescent="0.2">
      <c r="C928" s="199"/>
      <c r="D928" s="19"/>
      <c r="E928" s="24"/>
      <c r="F928" s="24"/>
      <c r="G928" s="7"/>
      <c r="H928" s="7"/>
      <c r="J928" s="3"/>
      <c r="K928" s="3"/>
    </row>
    <row r="929" spans="3:11" ht="15.75" customHeight="1" x14ac:dyDescent="0.2">
      <c r="C929" s="199"/>
      <c r="D929" s="19"/>
      <c r="E929" s="24"/>
      <c r="F929" s="24"/>
      <c r="G929" s="7"/>
      <c r="H929" s="7"/>
      <c r="J929" s="3"/>
      <c r="K929" s="3"/>
    </row>
    <row r="930" spans="3:11" ht="15.75" customHeight="1" x14ac:dyDescent="0.2">
      <c r="C930" s="199"/>
      <c r="D930" s="19"/>
      <c r="E930" s="24"/>
      <c r="F930" s="24"/>
      <c r="G930" s="7"/>
      <c r="H930" s="7"/>
      <c r="J930" s="3"/>
      <c r="K930" s="3"/>
    </row>
    <row r="931" spans="3:11" ht="15.75" customHeight="1" x14ac:dyDescent="0.2">
      <c r="C931" s="199"/>
      <c r="D931" s="19"/>
      <c r="E931" s="24"/>
      <c r="F931" s="24"/>
      <c r="G931" s="7"/>
      <c r="H931" s="7"/>
      <c r="J931" s="3"/>
      <c r="K931" s="3"/>
    </row>
    <row r="932" spans="3:11" ht="15.75" customHeight="1" x14ac:dyDescent="0.2">
      <c r="C932" s="199"/>
      <c r="D932" s="19"/>
      <c r="E932" s="24"/>
      <c r="F932" s="24"/>
      <c r="G932" s="7"/>
      <c r="H932" s="7"/>
      <c r="J932" s="3"/>
      <c r="K932" s="3"/>
    </row>
    <row r="933" spans="3:11" ht="15.75" customHeight="1" x14ac:dyDescent="0.2">
      <c r="C933" s="199"/>
      <c r="D933" s="19"/>
      <c r="E933" s="24"/>
      <c r="F933" s="24"/>
      <c r="G933" s="7"/>
      <c r="H933" s="7"/>
      <c r="J933" s="3"/>
      <c r="K933" s="3"/>
    </row>
    <row r="934" spans="3:11" ht="15.75" customHeight="1" x14ac:dyDescent="0.2">
      <c r="C934" s="199"/>
      <c r="D934" s="19"/>
      <c r="E934" s="24"/>
      <c r="F934" s="24"/>
      <c r="G934" s="7"/>
      <c r="H934" s="7"/>
      <c r="J934" s="3"/>
      <c r="K934" s="3"/>
    </row>
    <row r="935" spans="3:11" ht="15.75" customHeight="1" x14ac:dyDescent="0.2">
      <c r="C935" s="199"/>
      <c r="D935" s="19"/>
      <c r="E935" s="24"/>
      <c r="F935" s="24"/>
      <c r="G935" s="7"/>
      <c r="H935" s="7"/>
      <c r="J935" s="3"/>
      <c r="K935" s="3"/>
    </row>
    <row r="936" spans="3:11" ht="15.75" customHeight="1" x14ac:dyDescent="0.2">
      <c r="C936" s="199"/>
      <c r="D936" s="19"/>
      <c r="E936" s="24"/>
      <c r="F936" s="24"/>
      <c r="G936" s="7"/>
      <c r="H936" s="7"/>
      <c r="J936" s="3"/>
      <c r="K936" s="3"/>
    </row>
    <row r="937" spans="3:11" ht="15.75" customHeight="1" x14ac:dyDescent="0.2">
      <c r="C937" s="199"/>
      <c r="D937" s="19"/>
      <c r="E937" s="24"/>
      <c r="F937" s="24"/>
      <c r="G937" s="7"/>
      <c r="H937" s="7"/>
      <c r="J937" s="3"/>
      <c r="K937" s="3"/>
    </row>
    <row r="938" spans="3:11" ht="15.75" customHeight="1" x14ac:dyDescent="0.2">
      <c r="C938" s="199"/>
      <c r="D938" s="19"/>
      <c r="E938" s="24"/>
      <c r="F938" s="24"/>
      <c r="G938" s="7"/>
      <c r="H938" s="7"/>
      <c r="J938" s="3"/>
      <c r="K938" s="3"/>
    </row>
    <row r="939" spans="3:11" ht="15.75" customHeight="1" x14ac:dyDescent="0.2">
      <c r="C939" s="199"/>
      <c r="D939" s="19"/>
      <c r="E939" s="24"/>
      <c r="F939" s="24"/>
      <c r="G939" s="7"/>
      <c r="H939" s="7"/>
      <c r="J939" s="3"/>
      <c r="K939" s="3"/>
    </row>
    <row r="940" spans="3:11" ht="15.75" customHeight="1" x14ac:dyDescent="0.2">
      <c r="C940" s="199"/>
      <c r="D940" s="19"/>
      <c r="E940" s="24"/>
      <c r="F940" s="24"/>
      <c r="G940" s="7"/>
      <c r="H940" s="7"/>
      <c r="J940" s="3"/>
      <c r="K940" s="3"/>
    </row>
    <row r="941" spans="3:11" ht="15.75" customHeight="1" x14ac:dyDescent="0.2">
      <c r="C941" s="199"/>
      <c r="D941" s="19"/>
      <c r="E941" s="24"/>
      <c r="F941" s="24"/>
      <c r="G941" s="7"/>
      <c r="H941" s="7"/>
      <c r="J941" s="3"/>
      <c r="K941" s="3"/>
    </row>
    <row r="942" spans="3:11" ht="15.75" customHeight="1" x14ac:dyDescent="0.2">
      <c r="C942" s="199"/>
      <c r="D942" s="19"/>
      <c r="E942" s="24"/>
      <c r="F942" s="24"/>
      <c r="G942" s="7"/>
      <c r="H942" s="7"/>
      <c r="J942" s="3"/>
      <c r="K942" s="3"/>
    </row>
    <row r="943" spans="3:11" ht="15.75" customHeight="1" x14ac:dyDescent="0.2">
      <c r="C943" s="199"/>
      <c r="D943" s="19"/>
      <c r="E943" s="24"/>
      <c r="F943" s="24"/>
      <c r="G943" s="7"/>
      <c r="H943" s="7"/>
      <c r="J943" s="3"/>
      <c r="K943" s="3"/>
    </row>
    <row r="944" spans="3:11" ht="15.75" customHeight="1" x14ac:dyDescent="0.2">
      <c r="C944" s="199"/>
      <c r="D944" s="19"/>
      <c r="E944" s="24"/>
      <c r="F944" s="24"/>
      <c r="G944" s="7"/>
      <c r="H944" s="7"/>
      <c r="J944" s="3"/>
      <c r="K944" s="3"/>
    </row>
    <row r="945" spans="3:11" ht="15.75" customHeight="1" x14ac:dyDescent="0.2">
      <c r="C945" s="199"/>
      <c r="D945" s="19"/>
      <c r="E945" s="24"/>
      <c r="F945" s="24"/>
      <c r="G945" s="7"/>
      <c r="H945" s="7"/>
      <c r="J945" s="3"/>
      <c r="K945" s="3"/>
    </row>
    <row r="946" spans="3:11" ht="15.75" customHeight="1" x14ac:dyDescent="0.2">
      <c r="C946" s="199"/>
      <c r="D946" s="19"/>
      <c r="E946" s="24"/>
      <c r="F946" s="24"/>
      <c r="G946" s="7"/>
      <c r="H946" s="7"/>
      <c r="J946" s="3"/>
      <c r="K946" s="3"/>
    </row>
    <row r="947" spans="3:11" ht="15.75" customHeight="1" x14ac:dyDescent="0.2">
      <c r="C947" s="199"/>
      <c r="D947" s="19"/>
      <c r="E947" s="24"/>
      <c r="F947" s="24"/>
      <c r="G947" s="7"/>
      <c r="H947" s="7"/>
      <c r="J947" s="3"/>
      <c r="K947" s="3"/>
    </row>
    <row r="948" spans="3:11" ht="15.75" customHeight="1" x14ac:dyDescent="0.2">
      <c r="C948" s="199"/>
      <c r="D948" s="19"/>
      <c r="E948" s="24"/>
      <c r="F948" s="24"/>
      <c r="G948" s="7"/>
      <c r="H948" s="7"/>
      <c r="J948" s="3"/>
      <c r="K948" s="3"/>
    </row>
    <row r="949" spans="3:11" ht="15.75" customHeight="1" x14ac:dyDescent="0.2">
      <c r="C949" s="199"/>
      <c r="D949" s="19"/>
      <c r="E949" s="24"/>
      <c r="F949" s="24"/>
      <c r="G949" s="7"/>
      <c r="H949" s="7"/>
      <c r="J949" s="3"/>
      <c r="K949" s="3"/>
    </row>
    <row r="950" spans="3:11" ht="15.75" customHeight="1" x14ac:dyDescent="0.2">
      <c r="C950" s="199"/>
      <c r="D950" s="19"/>
      <c r="E950" s="24"/>
      <c r="F950" s="24"/>
      <c r="G950" s="7"/>
      <c r="H950" s="7"/>
      <c r="J950" s="3"/>
      <c r="K950" s="3"/>
    </row>
    <row r="951" spans="3:11" ht="15.75" customHeight="1" x14ac:dyDescent="0.2">
      <c r="C951" s="199"/>
      <c r="D951" s="19"/>
      <c r="E951" s="24"/>
      <c r="F951" s="24"/>
      <c r="G951" s="7"/>
      <c r="H951" s="7"/>
      <c r="J951" s="3"/>
      <c r="K951" s="3"/>
    </row>
    <row r="952" spans="3:11" ht="15.75" customHeight="1" x14ac:dyDescent="0.2">
      <c r="C952" s="199"/>
      <c r="D952" s="19"/>
      <c r="E952" s="24"/>
      <c r="F952" s="24"/>
      <c r="G952" s="7"/>
      <c r="H952" s="7"/>
      <c r="J952" s="3"/>
      <c r="K952" s="3"/>
    </row>
    <row r="953" spans="3:11" ht="15.75" customHeight="1" x14ac:dyDescent="0.2">
      <c r="C953" s="199"/>
      <c r="D953" s="19"/>
      <c r="E953" s="24"/>
      <c r="F953" s="24"/>
      <c r="G953" s="7"/>
      <c r="H953" s="7"/>
      <c r="J953" s="3"/>
      <c r="K953" s="3"/>
    </row>
    <row r="954" spans="3:11" ht="15.75" customHeight="1" x14ac:dyDescent="0.2">
      <c r="C954" s="199"/>
      <c r="D954" s="19"/>
      <c r="E954" s="24"/>
      <c r="F954" s="24"/>
      <c r="G954" s="7"/>
      <c r="H954" s="7"/>
      <c r="J954" s="3"/>
      <c r="K954" s="3"/>
    </row>
    <row r="955" spans="3:11" ht="15.75" customHeight="1" x14ac:dyDescent="0.2">
      <c r="C955" s="199"/>
      <c r="D955" s="19"/>
      <c r="E955" s="24"/>
      <c r="F955" s="24"/>
      <c r="G955" s="7"/>
      <c r="H955" s="7"/>
      <c r="J955" s="3"/>
      <c r="K955" s="3"/>
    </row>
    <row r="956" spans="3:11" ht="15.75" customHeight="1" x14ac:dyDescent="0.2">
      <c r="C956" s="199"/>
      <c r="D956" s="19"/>
      <c r="E956" s="24"/>
      <c r="F956" s="24"/>
      <c r="G956" s="7"/>
      <c r="H956" s="7"/>
      <c r="J956" s="3"/>
      <c r="K956" s="3"/>
    </row>
    <row r="957" spans="3:11" ht="15.75" customHeight="1" x14ac:dyDescent="0.2">
      <c r="C957" s="199"/>
      <c r="D957" s="19"/>
      <c r="E957" s="24"/>
      <c r="F957" s="24"/>
      <c r="G957" s="7"/>
      <c r="H957" s="7"/>
      <c r="J957" s="3"/>
      <c r="K957" s="3"/>
    </row>
    <row r="958" spans="3:11" ht="15.75" customHeight="1" x14ac:dyDescent="0.2">
      <c r="C958" s="199"/>
      <c r="D958" s="19"/>
      <c r="E958" s="24"/>
      <c r="F958" s="24"/>
      <c r="G958" s="7"/>
      <c r="H958" s="7"/>
      <c r="J958" s="3"/>
      <c r="K958" s="3"/>
    </row>
    <row r="959" spans="3:11" ht="15.75" customHeight="1" x14ac:dyDescent="0.2">
      <c r="C959" s="199"/>
      <c r="D959" s="19"/>
      <c r="E959" s="24"/>
      <c r="F959" s="24"/>
      <c r="G959" s="7"/>
      <c r="H959" s="7"/>
      <c r="J959" s="3"/>
      <c r="K959" s="3"/>
    </row>
    <row r="960" spans="3:11" ht="15.75" customHeight="1" x14ac:dyDescent="0.2">
      <c r="C960" s="199"/>
      <c r="D960" s="19"/>
      <c r="E960" s="24"/>
      <c r="F960" s="24"/>
      <c r="G960" s="7"/>
      <c r="H960" s="7"/>
      <c r="J960" s="3"/>
      <c r="K960" s="3"/>
    </row>
    <row r="961" spans="3:11" ht="15.75" customHeight="1" x14ac:dyDescent="0.2">
      <c r="C961" s="199"/>
      <c r="D961" s="19"/>
      <c r="E961" s="24"/>
      <c r="F961" s="24"/>
      <c r="G961" s="7"/>
      <c r="H961" s="7"/>
      <c r="J961" s="3"/>
      <c r="K961" s="3"/>
    </row>
    <row r="962" spans="3:11" ht="15.75" customHeight="1" x14ac:dyDescent="0.2">
      <c r="C962" s="199"/>
      <c r="D962" s="19"/>
      <c r="E962" s="24"/>
      <c r="F962" s="24"/>
      <c r="G962" s="7"/>
      <c r="H962" s="7"/>
      <c r="J962" s="3"/>
      <c r="K962" s="3"/>
    </row>
    <row r="963" spans="3:11" ht="15.75" customHeight="1" x14ac:dyDescent="0.2">
      <c r="C963" s="199"/>
      <c r="D963" s="19"/>
      <c r="E963" s="24"/>
      <c r="F963" s="24"/>
      <c r="G963" s="7"/>
      <c r="H963" s="7"/>
      <c r="J963" s="3"/>
      <c r="K963" s="3"/>
    </row>
    <row r="964" spans="3:11" ht="15.75" customHeight="1" x14ac:dyDescent="0.2">
      <c r="C964" s="199"/>
      <c r="D964" s="19"/>
      <c r="E964" s="24"/>
      <c r="F964" s="24"/>
      <c r="G964" s="7"/>
      <c r="H964" s="7"/>
      <c r="J964" s="3"/>
      <c r="K964" s="3"/>
    </row>
    <row r="965" spans="3:11" ht="15.75" customHeight="1" x14ac:dyDescent="0.2">
      <c r="C965" s="199"/>
      <c r="D965" s="19"/>
      <c r="E965" s="24"/>
      <c r="F965" s="24"/>
      <c r="G965" s="7"/>
      <c r="H965" s="7"/>
      <c r="J965" s="3"/>
      <c r="K965" s="3"/>
    </row>
    <row r="966" spans="3:11" ht="15.75" customHeight="1" x14ac:dyDescent="0.2">
      <c r="C966" s="199"/>
      <c r="D966" s="19"/>
      <c r="E966" s="24"/>
      <c r="F966" s="24"/>
      <c r="G966" s="7"/>
      <c r="H966" s="7"/>
      <c r="J966" s="3"/>
      <c r="K966" s="3"/>
    </row>
    <row r="967" spans="3:11" ht="15.75" customHeight="1" x14ac:dyDescent="0.2">
      <c r="C967" s="199"/>
      <c r="D967" s="19"/>
      <c r="E967" s="24"/>
      <c r="F967" s="24"/>
      <c r="G967" s="7"/>
      <c r="H967" s="7"/>
      <c r="J967" s="3"/>
      <c r="K967" s="3"/>
    </row>
    <row r="968" spans="3:11" ht="15.75" customHeight="1" x14ac:dyDescent="0.2">
      <c r="C968" s="199"/>
      <c r="D968" s="19"/>
      <c r="E968" s="24"/>
      <c r="F968" s="24"/>
      <c r="G968" s="7"/>
      <c r="H968" s="7"/>
      <c r="J968" s="3"/>
      <c r="K968" s="3"/>
    </row>
    <row r="969" spans="3:11" ht="15.75" customHeight="1" x14ac:dyDescent="0.2">
      <c r="C969" s="199"/>
      <c r="D969" s="19"/>
      <c r="E969" s="24"/>
      <c r="F969" s="24"/>
      <c r="G969" s="7"/>
      <c r="H969" s="7"/>
      <c r="J969" s="3"/>
      <c r="K969" s="3"/>
    </row>
    <row r="970" spans="3:11" ht="15.75" customHeight="1" x14ac:dyDescent="0.2">
      <c r="C970" s="199"/>
      <c r="D970" s="19"/>
      <c r="E970" s="24"/>
      <c r="F970" s="24"/>
      <c r="G970" s="7"/>
      <c r="H970" s="7"/>
      <c r="J970" s="3"/>
      <c r="K970" s="3"/>
    </row>
    <row r="971" spans="3:11" ht="15.75" customHeight="1" x14ac:dyDescent="0.2">
      <c r="C971" s="199"/>
      <c r="D971" s="19"/>
      <c r="E971" s="24"/>
      <c r="F971" s="24"/>
      <c r="G971" s="7"/>
      <c r="H971" s="7"/>
      <c r="J971" s="3"/>
      <c r="K971" s="3"/>
    </row>
    <row r="972" spans="3:11" ht="15.75" customHeight="1" x14ac:dyDescent="0.2">
      <c r="C972" s="199"/>
      <c r="D972" s="19"/>
      <c r="E972" s="24"/>
      <c r="F972" s="24"/>
      <c r="G972" s="7"/>
      <c r="H972" s="7"/>
      <c r="J972" s="3"/>
      <c r="K972" s="3"/>
    </row>
    <row r="973" spans="3:11" ht="15.75" customHeight="1" x14ac:dyDescent="0.2">
      <c r="C973" s="199"/>
      <c r="D973" s="19"/>
      <c r="E973" s="24"/>
      <c r="F973" s="24"/>
      <c r="G973" s="7"/>
      <c r="H973" s="7"/>
      <c r="J973" s="3"/>
      <c r="K973" s="3"/>
    </row>
    <row r="974" spans="3:11" ht="15.75" customHeight="1" x14ac:dyDescent="0.2">
      <c r="C974" s="199"/>
      <c r="D974" s="19"/>
      <c r="E974" s="24"/>
      <c r="F974" s="24"/>
      <c r="G974" s="7"/>
      <c r="H974" s="7"/>
      <c r="J974" s="3"/>
      <c r="K974" s="3"/>
    </row>
    <row r="975" spans="3:11" ht="15.75" customHeight="1" x14ac:dyDescent="0.2">
      <c r="C975" s="199"/>
      <c r="D975" s="19"/>
      <c r="E975" s="24"/>
      <c r="F975" s="24"/>
      <c r="G975" s="7"/>
      <c r="H975" s="7"/>
      <c r="J975" s="3"/>
      <c r="K975" s="3"/>
    </row>
    <row r="976" spans="3:11" ht="15.75" customHeight="1" x14ac:dyDescent="0.2">
      <c r="C976" s="199"/>
      <c r="D976" s="19"/>
      <c r="E976" s="24"/>
      <c r="F976" s="24"/>
      <c r="G976" s="7"/>
      <c r="H976" s="7"/>
      <c r="J976" s="3"/>
      <c r="K976" s="3"/>
    </row>
    <row r="977" spans="3:11" ht="15.75" customHeight="1" x14ac:dyDescent="0.2">
      <c r="C977" s="199"/>
      <c r="D977" s="19"/>
      <c r="E977" s="24"/>
      <c r="F977" s="24"/>
      <c r="G977" s="7"/>
      <c r="H977" s="7"/>
      <c r="J977" s="3"/>
      <c r="K977" s="3"/>
    </row>
    <row r="978" spans="3:11" ht="15.75" customHeight="1" x14ac:dyDescent="0.2">
      <c r="C978" s="199"/>
      <c r="D978" s="19"/>
      <c r="E978" s="24"/>
      <c r="F978" s="24"/>
      <c r="G978" s="7"/>
      <c r="H978" s="7"/>
      <c r="J978" s="3"/>
      <c r="K978" s="3"/>
    </row>
    <row r="979" spans="3:11" ht="15.75" customHeight="1" x14ac:dyDescent="0.2">
      <c r="C979" s="199"/>
      <c r="D979" s="19"/>
      <c r="E979" s="24"/>
      <c r="F979" s="24"/>
      <c r="G979" s="7"/>
      <c r="H979" s="7"/>
      <c r="J979" s="3"/>
      <c r="K979" s="3"/>
    </row>
    <row r="980" spans="3:11" ht="15.75" customHeight="1" x14ac:dyDescent="0.2">
      <c r="C980" s="199"/>
      <c r="D980" s="19"/>
      <c r="E980" s="24"/>
      <c r="F980" s="24"/>
      <c r="G980" s="7"/>
      <c r="H980" s="7"/>
      <c r="J980" s="3"/>
      <c r="K980" s="3"/>
    </row>
    <row r="981" spans="3:11" ht="15.75" customHeight="1" x14ac:dyDescent="0.2">
      <c r="C981" s="199"/>
      <c r="D981" s="19"/>
      <c r="E981" s="24"/>
      <c r="F981" s="24"/>
      <c r="G981" s="7"/>
      <c r="H981" s="7"/>
      <c r="J981" s="3"/>
      <c r="K981" s="3"/>
    </row>
    <row r="982" spans="3:11" ht="15.75" customHeight="1" x14ac:dyDescent="0.2">
      <c r="C982" s="199"/>
      <c r="D982" s="19"/>
      <c r="E982" s="24"/>
      <c r="F982" s="24"/>
      <c r="G982" s="7"/>
      <c r="H982" s="7"/>
      <c r="J982" s="3"/>
      <c r="K982" s="3"/>
    </row>
    <row r="983" spans="3:11" ht="15.75" customHeight="1" x14ac:dyDescent="0.2">
      <c r="C983" s="199"/>
      <c r="D983" s="19"/>
      <c r="E983" s="24"/>
      <c r="F983" s="24"/>
      <c r="G983" s="7"/>
      <c r="H983" s="7"/>
      <c r="J983" s="3"/>
      <c r="K983" s="3"/>
    </row>
    <row r="984" spans="3:11" ht="15.75" customHeight="1" x14ac:dyDescent="0.2">
      <c r="C984" s="199"/>
      <c r="D984" s="19"/>
      <c r="E984" s="24"/>
      <c r="F984" s="24"/>
      <c r="G984" s="7"/>
      <c r="H984" s="7"/>
      <c r="J984" s="3"/>
      <c r="K984" s="3"/>
    </row>
    <row r="985" spans="3:11" ht="15.75" customHeight="1" x14ac:dyDescent="0.2">
      <c r="C985" s="199"/>
      <c r="D985" s="19"/>
      <c r="E985" s="24"/>
      <c r="F985" s="24"/>
      <c r="G985" s="7"/>
      <c r="H985" s="7"/>
      <c r="J985" s="3"/>
      <c r="K985" s="3"/>
    </row>
    <row r="986" spans="3:11" ht="15.75" customHeight="1" x14ac:dyDescent="0.2">
      <c r="C986" s="199"/>
      <c r="D986" s="19"/>
      <c r="E986" s="24"/>
      <c r="F986" s="24"/>
      <c r="G986" s="7"/>
      <c r="H986" s="7"/>
      <c r="J986" s="3"/>
      <c r="K986" s="3"/>
    </row>
    <row r="987" spans="3:11" ht="15.75" customHeight="1" x14ac:dyDescent="0.2">
      <c r="C987" s="199"/>
      <c r="D987" s="19"/>
      <c r="E987" s="24"/>
      <c r="F987" s="24"/>
      <c r="G987" s="7"/>
      <c r="H987" s="7"/>
      <c r="J987" s="3"/>
      <c r="K987" s="3"/>
    </row>
    <row r="988" spans="3:11" ht="15.75" customHeight="1" x14ac:dyDescent="0.2">
      <c r="C988" s="199"/>
      <c r="D988" s="19"/>
      <c r="E988" s="24"/>
      <c r="F988" s="24"/>
      <c r="G988" s="7"/>
      <c r="H988" s="7"/>
      <c r="J988" s="3"/>
      <c r="K988" s="3"/>
    </row>
    <row r="989" spans="3:11" ht="15.75" customHeight="1" x14ac:dyDescent="0.2">
      <c r="C989" s="199"/>
      <c r="D989" s="19"/>
      <c r="E989" s="24"/>
      <c r="F989" s="24"/>
      <c r="G989" s="7"/>
      <c r="H989" s="7"/>
      <c r="J989" s="3"/>
      <c r="K989" s="3"/>
    </row>
    <row r="990" spans="3:11" ht="15.75" customHeight="1" x14ac:dyDescent="0.2">
      <c r="C990" s="199"/>
      <c r="D990" s="19"/>
      <c r="E990" s="24"/>
      <c r="F990" s="24"/>
      <c r="G990" s="7"/>
      <c r="H990" s="7"/>
      <c r="J990" s="3"/>
      <c r="K990" s="3"/>
    </row>
    <row r="991" spans="3:11" ht="15.75" customHeight="1" x14ac:dyDescent="0.2">
      <c r="C991" s="199"/>
      <c r="D991" s="19"/>
      <c r="E991" s="24"/>
      <c r="F991" s="24"/>
      <c r="G991" s="7"/>
      <c r="H991" s="7"/>
      <c r="J991" s="3"/>
      <c r="K991" s="3"/>
    </row>
    <row r="992" spans="3:11" ht="15.75" customHeight="1" x14ac:dyDescent="0.2">
      <c r="C992" s="199"/>
      <c r="D992" s="19"/>
      <c r="E992" s="24"/>
      <c r="F992" s="24"/>
      <c r="G992" s="7"/>
      <c r="H992" s="7"/>
      <c r="J992" s="3"/>
      <c r="K992" s="3"/>
    </row>
    <row r="993" spans="3:11" ht="15.75" customHeight="1" x14ac:dyDescent="0.2">
      <c r="C993" s="199"/>
      <c r="D993" s="19"/>
      <c r="E993" s="24"/>
      <c r="F993" s="24"/>
      <c r="G993" s="7"/>
      <c r="H993" s="7"/>
      <c r="J993" s="3"/>
      <c r="K993" s="3"/>
    </row>
    <row r="994" spans="3:11" ht="15.75" customHeight="1" x14ac:dyDescent="0.2">
      <c r="C994" s="199"/>
      <c r="D994" s="19"/>
      <c r="E994" s="24"/>
      <c r="F994" s="24"/>
      <c r="G994" s="7"/>
      <c r="H994" s="7"/>
      <c r="J994" s="3"/>
      <c r="K994" s="3"/>
    </row>
    <row r="995" spans="3:11" ht="15.75" customHeight="1" x14ac:dyDescent="0.2">
      <c r="C995" s="199"/>
      <c r="D995" s="19"/>
      <c r="E995" s="24"/>
      <c r="F995" s="24"/>
      <c r="G995" s="7"/>
      <c r="H995" s="7"/>
      <c r="J995" s="3"/>
      <c r="K995" s="3"/>
    </row>
    <row r="996" spans="3:11" ht="15.75" customHeight="1" x14ac:dyDescent="0.2">
      <c r="C996" s="199"/>
      <c r="D996" s="19"/>
      <c r="E996" s="24"/>
      <c r="F996" s="24"/>
      <c r="G996" s="7"/>
      <c r="H996" s="7"/>
      <c r="J996" s="3"/>
      <c r="K996" s="3"/>
    </row>
    <row r="997" spans="3:11" ht="15.75" customHeight="1" x14ac:dyDescent="0.2">
      <c r="C997" s="199"/>
      <c r="D997" s="19"/>
      <c r="E997" s="24"/>
      <c r="F997" s="24"/>
      <c r="G997" s="7"/>
      <c r="H997" s="7"/>
      <c r="J997" s="3"/>
      <c r="K997" s="3"/>
    </row>
    <row r="998" spans="3:11" ht="15.75" customHeight="1" x14ac:dyDescent="0.2">
      <c r="C998" s="199"/>
      <c r="D998" s="19"/>
      <c r="E998" s="24"/>
      <c r="F998" s="24"/>
      <c r="G998" s="7"/>
      <c r="H998" s="7"/>
      <c r="J998" s="3"/>
      <c r="K998" s="3"/>
    </row>
    <row r="999" spans="3:11" ht="15.75" customHeight="1" x14ac:dyDescent="0.2">
      <c r="C999" s="199"/>
      <c r="D999" s="19"/>
      <c r="E999" s="24"/>
      <c r="F999" s="24"/>
      <c r="G999" s="7"/>
      <c r="H999" s="7"/>
      <c r="J999" s="3"/>
      <c r="K999" s="3"/>
    </row>
    <row r="1000" spans="3:11" ht="15.75" customHeight="1" x14ac:dyDescent="0.2">
      <c r="C1000" s="199"/>
      <c r="D1000" s="19"/>
      <c r="E1000" s="24"/>
      <c r="F1000" s="24"/>
      <c r="G1000" s="7"/>
      <c r="H1000" s="7"/>
      <c r="J1000" s="3"/>
      <c r="K1000" s="3"/>
    </row>
    <row r="1001" spans="3:11" ht="15.75" customHeight="1" x14ac:dyDescent="0.2">
      <c r="C1001" s="199"/>
      <c r="D1001" s="19"/>
      <c r="E1001" s="24"/>
      <c r="F1001" s="24"/>
      <c r="G1001" s="7"/>
      <c r="H1001" s="7"/>
      <c r="J1001" s="3"/>
      <c r="K1001" s="3"/>
    </row>
    <row r="1002" spans="3:11" ht="15.75" customHeight="1" x14ac:dyDescent="0.2">
      <c r="C1002" s="199"/>
      <c r="D1002" s="19"/>
      <c r="E1002" s="24"/>
      <c r="F1002" s="24"/>
      <c r="G1002" s="7"/>
      <c r="H1002" s="7"/>
      <c r="J1002" s="3"/>
      <c r="K1002" s="3"/>
    </row>
    <row r="1003" spans="3:11" ht="15.75" customHeight="1" x14ac:dyDescent="0.2">
      <c r="C1003" s="199"/>
      <c r="D1003" s="19"/>
      <c r="E1003" s="24"/>
      <c r="F1003" s="24"/>
      <c r="G1003" s="7"/>
      <c r="H1003" s="7"/>
      <c r="J1003" s="3"/>
      <c r="K1003" s="3"/>
    </row>
    <row r="1004" spans="3:11" ht="15.75" customHeight="1" x14ac:dyDescent="0.2">
      <c r="C1004" s="199"/>
      <c r="D1004" s="19"/>
      <c r="E1004" s="24"/>
      <c r="F1004" s="24"/>
      <c r="G1004" s="7"/>
      <c r="H1004" s="7"/>
      <c r="J1004" s="3"/>
      <c r="K1004" s="3"/>
    </row>
    <row r="1005" spans="3:11" ht="15.75" customHeight="1" x14ac:dyDescent="0.2">
      <c r="C1005" s="199"/>
      <c r="D1005" s="19"/>
      <c r="E1005" s="24"/>
      <c r="F1005" s="24"/>
      <c r="G1005" s="7"/>
      <c r="H1005" s="7"/>
      <c r="J1005" s="3"/>
      <c r="K1005" s="3"/>
    </row>
    <row r="1006" spans="3:11" ht="15.75" customHeight="1" x14ac:dyDescent="0.2">
      <c r="C1006" s="199"/>
      <c r="D1006" s="19"/>
      <c r="E1006" s="24"/>
      <c r="F1006" s="24"/>
      <c r="G1006" s="7"/>
      <c r="H1006" s="7"/>
      <c r="J1006" s="3"/>
      <c r="K1006" s="3"/>
    </row>
    <row r="1007" spans="3:11" ht="15.75" customHeight="1" x14ac:dyDescent="0.2">
      <c r="C1007" s="199"/>
      <c r="D1007" s="19"/>
      <c r="E1007" s="24"/>
      <c r="F1007" s="24"/>
      <c r="G1007" s="7"/>
      <c r="H1007" s="7"/>
      <c r="J1007" s="3"/>
      <c r="K1007" s="3"/>
    </row>
    <row r="1008" spans="3:11" ht="15.75" customHeight="1" x14ac:dyDescent="0.2">
      <c r="C1008" s="199"/>
      <c r="D1008" s="19"/>
      <c r="E1008" s="24"/>
      <c r="F1008" s="24"/>
      <c r="G1008" s="7"/>
      <c r="H1008" s="7"/>
      <c r="J1008" s="3"/>
      <c r="K1008" s="3"/>
    </row>
    <row r="1009" spans="3:11" ht="15.75" customHeight="1" x14ac:dyDescent="0.2">
      <c r="C1009" s="199"/>
      <c r="D1009" s="19"/>
      <c r="E1009" s="24"/>
      <c r="F1009" s="24"/>
      <c r="G1009" s="7"/>
      <c r="H1009" s="7"/>
      <c r="J1009" s="3"/>
      <c r="K1009" s="3"/>
    </row>
    <row r="1010" spans="3:11" ht="15.75" customHeight="1" x14ac:dyDescent="0.2">
      <c r="C1010" s="199"/>
      <c r="D1010" s="19"/>
      <c r="E1010" s="24"/>
      <c r="F1010" s="24"/>
      <c r="G1010" s="7"/>
      <c r="H1010" s="7"/>
      <c r="J1010" s="3"/>
      <c r="K1010" s="3"/>
    </row>
    <row r="1011" spans="3:11" ht="15.75" customHeight="1" x14ac:dyDescent="0.2">
      <c r="C1011" s="199"/>
      <c r="D1011" s="19"/>
      <c r="E1011" s="24"/>
      <c r="F1011" s="24"/>
      <c r="G1011" s="7"/>
      <c r="H1011" s="7"/>
      <c r="J1011" s="3"/>
      <c r="K1011" s="3"/>
    </row>
    <row r="1012" spans="3:11" ht="15.75" customHeight="1" x14ac:dyDescent="0.2">
      <c r="C1012" s="199"/>
      <c r="D1012" s="19"/>
      <c r="E1012" s="24"/>
      <c r="F1012" s="24"/>
      <c r="G1012" s="7"/>
      <c r="H1012" s="7"/>
      <c r="J1012" s="3"/>
      <c r="K1012" s="3"/>
    </row>
    <row r="1013" spans="3:11" ht="15.75" customHeight="1" x14ac:dyDescent="0.2">
      <c r="C1013" s="199"/>
      <c r="D1013" s="19"/>
      <c r="E1013" s="24"/>
      <c r="F1013" s="24"/>
      <c r="G1013" s="7"/>
      <c r="H1013" s="7"/>
      <c r="J1013" s="3"/>
      <c r="K1013" s="3"/>
    </row>
    <row r="1014" spans="3:11" ht="15.75" customHeight="1" x14ac:dyDescent="0.2">
      <c r="C1014" s="199"/>
      <c r="D1014" s="19"/>
      <c r="E1014" s="24"/>
      <c r="F1014" s="24"/>
      <c r="G1014" s="7"/>
      <c r="H1014" s="7"/>
      <c r="J1014" s="3"/>
      <c r="K1014" s="3"/>
    </row>
    <row r="1015" spans="3:11" ht="15.75" customHeight="1" x14ac:dyDescent="0.2">
      <c r="C1015" s="199"/>
      <c r="D1015" s="19"/>
      <c r="E1015" s="24"/>
      <c r="F1015" s="24"/>
      <c r="G1015" s="7"/>
      <c r="H1015" s="7"/>
      <c r="J1015" s="3"/>
      <c r="K1015" s="3"/>
    </row>
    <row r="1016" spans="3:11" ht="15.75" customHeight="1" x14ac:dyDescent="0.2">
      <c r="C1016" s="199"/>
      <c r="D1016" s="19"/>
      <c r="E1016" s="24"/>
      <c r="F1016" s="24"/>
      <c r="G1016" s="7"/>
      <c r="H1016" s="7"/>
      <c r="J1016" s="3"/>
      <c r="K1016" s="3"/>
    </row>
    <row r="1017" spans="3:11" ht="15.75" customHeight="1" x14ac:dyDescent="0.2">
      <c r="C1017" s="199"/>
      <c r="D1017" s="19"/>
      <c r="E1017" s="24"/>
      <c r="F1017" s="24"/>
      <c r="G1017" s="7"/>
      <c r="H1017" s="7"/>
      <c r="J1017" s="3"/>
      <c r="K1017" s="3"/>
    </row>
    <row r="1018" spans="3:11" ht="15.75" customHeight="1" x14ac:dyDescent="0.2">
      <c r="C1018" s="199"/>
      <c r="D1018" s="19"/>
      <c r="E1018" s="24"/>
      <c r="F1018" s="24"/>
      <c r="G1018" s="7"/>
      <c r="H1018" s="7"/>
      <c r="J1018" s="3"/>
      <c r="K1018" s="3"/>
    </row>
    <row r="1019" spans="3:11" ht="15.75" customHeight="1" x14ac:dyDescent="0.2">
      <c r="C1019" s="199"/>
      <c r="D1019" s="19"/>
      <c r="E1019" s="24"/>
      <c r="F1019" s="24"/>
      <c r="G1019" s="7"/>
      <c r="H1019" s="7"/>
      <c r="J1019" s="3"/>
      <c r="K1019" s="3"/>
    </row>
    <row r="1020" spans="3:11" ht="15.75" customHeight="1" x14ac:dyDescent="0.2">
      <c r="C1020" s="199"/>
      <c r="D1020" s="19"/>
      <c r="E1020" s="24"/>
      <c r="F1020" s="24"/>
      <c r="G1020" s="7"/>
      <c r="H1020" s="7"/>
      <c r="J1020" s="3"/>
      <c r="K1020" s="3"/>
    </row>
    <row r="1021" spans="3:11" ht="15.75" customHeight="1" x14ac:dyDescent="0.2">
      <c r="C1021" s="199"/>
      <c r="D1021" s="19"/>
      <c r="E1021" s="24"/>
      <c r="F1021" s="24"/>
      <c r="G1021" s="7"/>
      <c r="H1021" s="7"/>
      <c r="J1021" s="3"/>
      <c r="K1021" s="3"/>
    </row>
    <row r="1022" spans="3:11" ht="15.75" customHeight="1" x14ac:dyDescent="0.2">
      <c r="C1022" s="199"/>
      <c r="D1022" s="19"/>
      <c r="E1022" s="24"/>
      <c r="F1022" s="24"/>
      <c r="G1022" s="7"/>
      <c r="H1022" s="7"/>
      <c r="J1022" s="3"/>
      <c r="K1022" s="3"/>
    </row>
    <row r="1023" spans="3:11" ht="15.75" customHeight="1" x14ac:dyDescent="0.2">
      <c r="C1023" s="199"/>
      <c r="D1023" s="19"/>
      <c r="E1023" s="24"/>
      <c r="F1023" s="24"/>
      <c r="G1023" s="7"/>
      <c r="H1023" s="7"/>
      <c r="J1023" s="3"/>
      <c r="K1023" s="3"/>
    </row>
    <row r="1024" spans="3:11" ht="15.75" customHeight="1" x14ac:dyDescent="0.2">
      <c r="C1024" s="199"/>
      <c r="D1024" s="19"/>
      <c r="E1024" s="24"/>
      <c r="F1024" s="24"/>
      <c r="G1024" s="7"/>
      <c r="H1024" s="7"/>
      <c r="J1024" s="3"/>
      <c r="K1024" s="3"/>
    </row>
    <row r="1025" spans="3:11" ht="15.75" customHeight="1" x14ac:dyDescent="0.2">
      <c r="C1025" s="199"/>
      <c r="D1025" s="19"/>
      <c r="E1025" s="24"/>
      <c r="F1025" s="24"/>
      <c r="G1025" s="7"/>
      <c r="H1025" s="7"/>
      <c r="J1025" s="3"/>
      <c r="K1025" s="3"/>
    </row>
    <row r="1026" spans="3:11" ht="15.75" customHeight="1" x14ac:dyDescent="0.2">
      <c r="C1026" s="199"/>
      <c r="D1026" s="19"/>
      <c r="E1026" s="24"/>
      <c r="F1026" s="24"/>
      <c r="G1026" s="7"/>
      <c r="H1026" s="7"/>
      <c r="J1026" s="3"/>
      <c r="K1026" s="3"/>
    </row>
    <row r="1027" spans="3:11" ht="15.75" customHeight="1" x14ac:dyDescent="0.2">
      <c r="C1027" s="199"/>
      <c r="D1027" s="19"/>
      <c r="E1027" s="24"/>
      <c r="F1027" s="24"/>
      <c r="G1027" s="7"/>
      <c r="H1027" s="7"/>
      <c r="J1027" s="3"/>
      <c r="K1027" s="3"/>
    </row>
    <row r="1028" spans="3:11" ht="15.75" customHeight="1" x14ac:dyDescent="0.2">
      <c r="C1028" s="199"/>
      <c r="D1028" s="19"/>
      <c r="E1028" s="24"/>
      <c r="F1028" s="24"/>
      <c r="G1028" s="7"/>
      <c r="H1028" s="7"/>
      <c r="J1028" s="3"/>
      <c r="K1028" s="3"/>
    </row>
    <row r="1029" spans="3:11" ht="15.75" customHeight="1" x14ac:dyDescent="0.2">
      <c r="C1029" s="199"/>
      <c r="D1029" s="19"/>
      <c r="E1029" s="24"/>
      <c r="F1029" s="24"/>
      <c r="G1029" s="7"/>
      <c r="H1029" s="7"/>
      <c r="J1029" s="3"/>
      <c r="K1029" s="3"/>
    </row>
    <row r="1030" spans="3:11" ht="15.75" customHeight="1" x14ac:dyDescent="0.2">
      <c r="C1030" s="199"/>
      <c r="D1030" s="19"/>
      <c r="E1030" s="24"/>
      <c r="F1030" s="24"/>
      <c r="G1030" s="7"/>
      <c r="H1030" s="7"/>
      <c r="J1030" s="3"/>
      <c r="K1030" s="3"/>
    </row>
    <row r="1031" spans="3:11" ht="15.75" customHeight="1" x14ac:dyDescent="0.2">
      <c r="C1031" s="199"/>
      <c r="D1031" s="19"/>
      <c r="E1031" s="24"/>
      <c r="F1031" s="24"/>
      <c r="G1031" s="7"/>
      <c r="H1031" s="7"/>
      <c r="J1031" s="3"/>
      <c r="K1031" s="3"/>
    </row>
    <row r="1032" spans="3:11" ht="15.75" customHeight="1" x14ac:dyDescent="0.2">
      <c r="C1032" s="199"/>
      <c r="D1032" s="19"/>
      <c r="E1032" s="24"/>
      <c r="F1032" s="24"/>
      <c r="G1032" s="7"/>
      <c r="H1032" s="7"/>
      <c r="J1032" s="3"/>
      <c r="K1032" s="3"/>
    </row>
    <row r="1033" spans="3:11" ht="15.75" customHeight="1" x14ac:dyDescent="0.2">
      <c r="C1033" s="199"/>
      <c r="D1033" s="19"/>
      <c r="E1033" s="24"/>
      <c r="F1033" s="24"/>
      <c r="G1033" s="7"/>
      <c r="H1033" s="7"/>
      <c r="J1033" s="3"/>
      <c r="K1033" s="3"/>
    </row>
    <row r="1034" spans="3:11" ht="15.75" customHeight="1" x14ac:dyDescent="0.2">
      <c r="C1034" s="199"/>
      <c r="D1034" s="19"/>
      <c r="E1034" s="24"/>
      <c r="F1034" s="24"/>
      <c r="G1034" s="7"/>
      <c r="H1034" s="7"/>
      <c r="J1034" s="3"/>
      <c r="K1034" s="3"/>
    </row>
    <row r="1035" spans="3:11" ht="15.75" customHeight="1" x14ac:dyDescent="0.2">
      <c r="C1035" s="199"/>
      <c r="D1035" s="19"/>
      <c r="E1035" s="24"/>
      <c r="F1035" s="24"/>
      <c r="G1035" s="7"/>
      <c r="H1035" s="7"/>
      <c r="J1035" s="3"/>
      <c r="K1035" s="3"/>
    </row>
    <row r="1036" spans="3:11" ht="15.75" customHeight="1" x14ac:dyDescent="0.2">
      <c r="C1036" s="199"/>
      <c r="D1036" s="19"/>
      <c r="E1036" s="24"/>
      <c r="F1036" s="24"/>
      <c r="G1036" s="7"/>
      <c r="H1036" s="7"/>
      <c r="J1036" s="3"/>
      <c r="K1036" s="3"/>
    </row>
    <row r="1037" spans="3:11" ht="15.75" customHeight="1" x14ac:dyDescent="0.2">
      <c r="C1037" s="199"/>
      <c r="D1037" s="19"/>
      <c r="E1037" s="24"/>
      <c r="F1037" s="24"/>
      <c r="G1037" s="7"/>
      <c r="H1037" s="7"/>
      <c r="J1037" s="3"/>
      <c r="K1037" s="3"/>
    </row>
    <row r="1038" spans="3:11" ht="15.75" customHeight="1" x14ac:dyDescent="0.2">
      <c r="C1038" s="199"/>
      <c r="D1038" s="19"/>
      <c r="E1038" s="24"/>
      <c r="F1038" s="24"/>
      <c r="G1038" s="7"/>
      <c r="H1038" s="7"/>
      <c r="J1038" s="3"/>
      <c r="K1038" s="3"/>
    </row>
    <row r="1039" spans="3:11" ht="15.75" customHeight="1" x14ac:dyDescent="0.2">
      <c r="C1039" s="199"/>
      <c r="D1039" s="19"/>
      <c r="E1039" s="24"/>
      <c r="F1039" s="24"/>
      <c r="G1039" s="7"/>
      <c r="H1039" s="7"/>
      <c r="J1039" s="3"/>
      <c r="K1039" s="3"/>
    </row>
    <row r="1040" spans="3:11" ht="15.75" customHeight="1" x14ac:dyDescent="0.2">
      <c r="C1040" s="199"/>
      <c r="D1040" s="19"/>
      <c r="E1040" s="24"/>
      <c r="F1040" s="24"/>
      <c r="G1040" s="7"/>
      <c r="H1040" s="7"/>
      <c r="J1040" s="3"/>
      <c r="K1040" s="3"/>
    </row>
    <row r="1041" spans="3:11" ht="15.75" customHeight="1" x14ac:dyDescent="0.2">
      <c r="C1041" s="199"/>
      <c r="D1041" s="19"/>
      <c r="E1041" s="24"/>
      <c r="F1041" s="24"/>
      <c r="G1041" s="7"/>
      <c r="H1041" s="7"/>
      <c r="J1041" s="3"/>
      <c r="K1041" s="3"/>
    </row>
    <row r="1042" spans="3:11" ht="15.75" customHeight="1" x14ac:dyDescent="0.2">
      <c r="C1042" s="199"/>
      <c r="D1042" s="19"/>
      <c r="E1042" s="24"/>
      <c r="F1042" s="24"/>
      <c r="G1042" s="7"/>
      <c r="H1042" s="7"/>
      <c r="J1042" s="3"/>
      <c r="K1042" s="3"/>
    </row>
    <row r="1043" spans="3:11" ht="15.75" customHeight="1" x14ac:dyDescent="0.2">
      <c r="C1043" s="199"/>
      <c r="D1043" s="19"/>
      <c r="E1043" s="24"/>
      <c r="F1043" s="24"/>
      <c r="G1043" s="7"/>
      <c r="H1043" s="7"/>
      <c r="J1043" s="3"/>
      <c r="K1043" s="3"/>
    </row>
    <row r="1044" spans="3:11" ht="15.75" customHeight="1" x14ac:dyDescent="0.2">
      <c r="C1044" s="199"/>
      <c r="D1044" s="19"/>
      <c r="E1044" s="24"/>
      <c r="F1044" s="24"/>
      <c r="G1044" s="7"/>
      <c r="H1044" s="7"/>
      <c r="J1044" s="3"/>
      <c r="K1044" s="3"/>
    </row>
    <row r="1045" spans="3:11" ht="15.75" customHeight="1" x14ac:dyDescent="0.2">
      <c r="C1045" s="199"/>
      <c r="D1045" s="19"/>
      <c r="E1045" s="24"/>
      <c r="F1045" s="24"/>
      <c r="G1045" s="7"/>
      <c r="H1045" s="7"/>
      <c r="J1045" s="3"/>
      <c r="K1045" s="3"/>
    </row>
    <row r="1046" spans="3:11" ht="15.75" customHeight="1" x14ac:dyDescent="0.2">
      <c r="C1046" s="199"/>
      <c r="D1046" s="19"/>
      <c r="E1046" s="24"/>
      <c r="F1046" s="24"/>
      <c r="G1046" s="7"/>
      <c r="H1046" s="7"/>
      <c r="J1046" s="3"/>
      <c r="K1046" s="3"/>
    </row>
    <row r="1047" spans="3:11" ht="15.75" customHeight="1" x14ac:dyDescent="0.2">
      <c r="C1047" s="199"/>
      <c r="D1047" s="19"/>
      <c r="E1047" s="24"/>
      <c r="F1047" s="24"/>
      <c r="G1047" s="7"/>
      <c r="H1047" s="7"/>
      <c r="J1047" s="3"/>
      <c r="K1047" s="3"/>
    </row>
    <row r="1048" spans="3:11" ht="15.75" customHeight="1" x14ac:dyDescent="0.2">
      <c r="C1048" s="199"/>
      <c r="D1048" s="19"/>
      <c r="E1048" s="24"/>
      <c r="F1048" s="24"/>
      <c r="G1048" s="7"/>
      <c r="H1048" s="7"/>
      <c r="J1048" s="3"/>
      <c r="K1048" s="3"/>
    </row>
    <row r="1049" spans="3:11" ht="15.75" customHeight="1" x14ac:dyDescent="0.2">
      <c r="C1049" s="199"/>
      <c r="D1049" s="19"/>
      <c r="E1049" s="24"/>
      <c r="F1049" s="24"/>
      <c r="G1049" s="7"/>
      <c r="H1049" s="7"/>
      <c r="J1049" s="3"/>
      <c r="K1049" s="3"/>
    </row>
    <row r="1050" spans="3:11" ht="15.75" customHeight="1" x14ac:dyDescent="0.2">
      <c r="C1050" s="199"/>
      <c r="D1050" s="19"/>
      <c r="E1050" s="24"/>
      <c r="F1050" s="24"/>
      <c r="G1050" s="7"/>
      <c r="H1050" s="7"/>
      <c r="J1050" s="3"/>
      <c r="K1050" s="3"/>
    </row>
    <row r="1051" spans="3:11" ht="15.75" customHeight="1" x14ac:dyDescent="0.2">
      <c r="C1051" s="199"/>
      <c r="D1051" s="19"/>
      <c r="E1051" s="24"/>
      <c r="F1051" s="24"/>
      <c r="G1051" s="7"/>
      <c r="H1051" s="7"/>
      <c r="J1051" s="3"/>
      <c r="K1051" s="3"/>
    </row>
    <row r="1052" spans="3:11" ht="15.75" customHeight="1" x14ac:dyDescent="0.2">
      <c r="C1052" s="199"/>
      <c r="D1052" s="19"/>
      <c r="E1052" s="24"/>
      <c r="F1052" s="24"/>
      <c r="G1052" s="7"/>
      <c r="H1052" s="7"/>
      <c r="J1052" s="3"/>
      <c r="K1052" s="3"/>
    </row>
    <row r="1053" spans="3:11" ht="15.75" customHeight="1" x14ac:dyDescent="0.2">
      <c r="C1053" s="199"/>
      <c r="D1053" s="19"/>
      <c r="E1053" s="24"/>
      <c r="F1053" s="24"/>
      <c r="G1053" s="7"/>
      <c r="H1053" s="7"/>
      <c r="J1053" s="3"/>
      <c r="K1053" s="3"/>
    </row>
    <row r="1054" spans="3:11" ht="15.75" customHeight="1" x14ac:dyDescent="0.2">
      <c r="C1054" s="199"/>
      <c r="D1054" s="19"/>
      <c r="E1054" s="24"/>
      <c r="F1054" s="24"/>
      <c r="G1054" s="7"/>
      <c r="H1054" s="7"/>
      <c r="J1054" s="3"/>
      <c r="K1054" s="3"/>
    </row>
    <row r="1055" spans="3:11" ht="15.75" customHeight="1" x14ac:dyDescent="0.2">
      <c r="C1055" s="199"/>
      <c r="D1055" s="19"/>
      <c r="E1055" s="24"/>
      <c r="F1055" s="24"/>
      <c r="G1055" s="7"/>
      <c r="H1055" s="7"/>
      <c r="J1055" s="3"/>
      <c r="K1055" s="3"/>
    </row>
    <row r="1056" spans="3:11" ht="15.75" customHeight="1" x14ac:dyDescent="0.2">
      <c r="C1056" s="199"/>
      <c r="D1056" s="19"/>
      <c r="E1056" s="24"/>
      <c r="F1056" s="24"/>
      <c r="G1056" s="7"/>
      <c r="H1056" s="7"/>
      <c r="J1056" s="3"/>
      <c r="K1056" s="3"/>
    </row>
    <row r="1057" spans="3:11" ht="15.75" customHeight="1" x14ac:dyDescent="0.2">
      <c r="C1057" s="199"/>
      <c r="D1057" s="19"/>
      <c r="E1057" s="24"/>
      <c r="F1057" s="24"/>
      <c r="G1057" s="7"/>
      <c r="H1057" s="7"/>
      <c r="J1057" s="3"/>
      <c r="K1057" s="3"/>
    </row>
    <row r="1058" spans="3:11" ht="15.75" customHeight="1" x14ac:dyDescent="0.2">
      <c r="C1058" s="199"/>
      <c r="D1058" s="19"/>
      <c r="E1058" s="24"/>
      <c r="F1058" s="24"/>
      <c r="G1058" s="7"/>
      <c r="H1058" s="7"/>
      <c r="J1058" s="3"/>
      <c r="K1058" s="3"/>
    </row>
    <row r="1059" spans="3:11" ht="15.75" customHeight="1" x14ac:dyDescent="0.2">
      <c r="C1059" s="199"/>
      <c r="D1059" s="19"/>
      <c r="E1059" s="24"/>
      <c r="F1059" s="24"/>
      <c r="G1059" s="7"/>
      <c r="H1059" s="7"/>
      <c r="J1059" s="3"/>
      <c r="K1059" s="3"/>
    </row>
    <row r="1060" spans="3:11" ht="15.75" customHeight="1" x14ac:dyDescent="0.2">
      <c r="C1060" s="199"/>
      <c r="D1060" s="19"/>
      <c r="E1060" s="24"/>
      <c r="F1060" s="24"/>
      <c r="G1060" s="7"/>
      <c r="H1060" s="7"/>
      <c r="J1060" s="3"/>
      <c r="K1060" s="3"/>
    </row>
    <row r="1061" spans="3:11" ht="15.75" customHeight="1" x14ac:dyDescent="0.2">
      <c r="C1061" s="199"/>
      <c r="D1061" s="19"/>
      <c r="E1061" s="24"/>
      <c r="F1061" s="24"/>
      <c r="G1061" s="7"/>
      <c r="H1061" s="7"/>
      <c r="J1061" s="3"/>
      <c r="K1061" s="3"/>
    </row>
    <row r="1062" spans="3:11" ht="15.75" customHeight="1" x14ac:dyDescent="0.2">
      <c r="C1062" s="199"/>
      <c r="D1062" s="19"/>
      <c r="E1062" s="24"/>
      <c r="F1062" s="24"/>
      <c r="G1062" s="7"/>
      <c r="H1062" s="7"/>
      <c r="J1062" s="3"/>
      <c r="K1062" s="3"/>
    </row>
    <row r="1063" spans="3:11" ht="15.75" customHeight="1" x14ac:dyDescent="0.2">
      <c r="C1063" s="199"/>
      <c r="D1063" s="19"/>
      <c r="E1063" s="24"/>
      <c r="F1063" s="24"/>
      <c r="G1063" s="7"/>
      <c r="H1063" s="7"/>
      <c r="J1063" s="3"/>
      <c r="K1063" s="3"/>
    </row>
    <row r="1064" spans="3:11" ht="15.75" customHeight="1" x14ac:dyDescent="0.2">
      <c r="C1064" s="199"/>
      <c r="D1064" s="19"/>
      <c r="E1064" s="24"/>
      <c r="F1064" s="24"/>
      <c r="G1064" s="7"/>
      <c r="H1064" s="7"/>
      <c r="J1064" s="3"/>
      <c r="K1064" s="3"/>
    </row>
    <row r="1065" spans="3:11" ht="15.75" customHeight="1" x14ac:dyDescent="0.2">
      <c r="C1065" s="199"/>
      <c r="D1065" s="19"/>
      <c r="E1065" s="24"/>
      <c r="F1065" s="24"/>
      <c r="G1065" s="7"/>
      <c r="H1065" s="7"/>
      <c r="J1065" s="3"/>
      <c r="K1065" s="3"/>
    </row>
    <row r="1066" spans="3:11" ht="15.75" customHeight="1" x14ac:dyDescent="0.2">
      <c r="C1066" s="199"/>
      <c r="D1066" s="19"/>
      <c r="E1066" s="24"/>
      <c r="F1066" s="24"/>
      <c r="G1066" s="7"/>
      <c r="H1066" s="7"/>
      <c r="J1066" s="3"/>
      <c r="K1066" s="3"/>
    </row>
    <row r="1067" spans="3:11" ht="15.75" customHeight="1" x14ac:dyDescent="0.2">
      <c r="C1067" s="199"/>
      <c r="D1067" s="19"/>
      <c r="E1067" s="24"/>
      <c r="F1067" s="24"/>
      <c r="G1067" s="7"/>
      <c r="H1067" s="7"/>
      <c r="J1067" s="3"/>
      <c r="K1067" s="3"/>
    </row>
    <row r="1068" spans="3:11" ht="15.75" customHeight="1" x14ac:dyDescent="0.2">
      <c r="C1068" s="199"/>
      <c r="D1068" s="19"/>
      <c r="E1068" s="24"/>
      <c r="F1068" s="24"/>
      <c r="G1068" s="7"/>
      <c r="H1068" s="7"/>
      <c r="J1068" s="3"/>
      <c r="K1068" s="3"/>
    </row>
    <row r="1069" spans="3:11" ht="15.75" customHeight="1" x14ac:dyDescent="0.2">
      <c r="C1069" s="199"/>
      <c r="D1069" s="19"/>
      <c r="E1069" s="24"/>
      <c r="F1069" s="24"/>
      <c r="G1069" s="7"/>
      <c r="H1069" s="7"/>
      <c r="J1069" s="3"/>
      <c r="K1069" s="3"/>
    </row>
    <row r="1070" spans="3:11" ht="15.75" customHeight="1" x14ac:dyDescent="0.2">
      <c r="C1070" s="199"/>
      <c r="D1070" s="19"/>
      <c r="E1070" s="24"/>
      <c r="F1070" s="24"/>
      <c r="G1070" s="7"/>
      <c r="H1070" s="7"/>
      <c r="J1070" s="3"/>
      <c r="K1070" s="3"/>
    </row>
    <row r="1071" spans="3:11" ht="15.75" customHeight="1" x14ac:dyDescent="0.2">
      <c r="C1071" s="199"/>
      <c r="D1071" s="19"/>
      <c r="E1071" s="24"/>
      <c r="F1071" s="24"/>
      <c r="G1071" s="7"/>
      <c r="H1071" s="7"/>
      <c r="J1071" s="3"/>
      <c r="K1071" s="3"/>
    </row>
    <row r="1072" spans="3:11" ht="15.75" customHeight="1" x14ac:dyDescent="0.2">
      <c r="C1072" s="199"/>
      <c r="D1072" s="19"/>
      <c r="E1072" s="24"/>
      <c r="F1072" s="24"/>
      <c r="G1072" s="7"/>
      <c r="H1072" s="7"/>
      <c r="J1072" s="3"/>
      <c r="K1072" s="3"/>
    </row>
    <row r="1073" spans="3:11" ht="15.75" customHeight="1" x14ac:dyDescent="0.2">
      <c r="C1073" s="199"/>
      <c r="D1073" s="19"/>
      <c r="E1073" s="24"/>
      <c r="F1073" s="24"/>
      <c r="G1073" s="7"/>
      <c r="H1073" s="7"/>
      <c r="J1073" s="3"/>
      <c r="K1073" s="3"/>
    </row>
    <row r="1074" spans="3:11" ht="15.75" customHeight="1" x14ac:dyDescent="0.2">
      <c r="C1074" s="199"/>
      <c r="D1074" s="19"/>
      <c r="E1074" s="24"/>
      <c r="F1074" s="24"/>
      <c r="G1074" s="7"/>
      <c r="H1074" s="7"/>
      <c r="J1074" s="3"/>
      <c r="K1074" s="3"/>
    </row>
    <row r="1075" spans="3:11" ht="15.75" customHeight="1" x14ac:dyDescent="0.2">
      <c r="C1075" s="199"/>
      <c r="D1075" s="19"/>
      <c r="E1075" s="24"/>
      <c r="F1075" s="24"/>
      <c r="G1075" s="7"/>
      <c r="H1075" s="7"/>
      <c r="J1075" s="3"/>
      <c r="K1075" s="3"/>
    </row>
    <row r="1076" spans="3:11" ht="15.75" customHeight="1" x14ac:dyDescent="0.2">
      <c r="C1076" s="199"/>
      <c r="D1076" s="19"/>
      <c r="E1076" s="24"/>
      <c r="F1076" s="24"/>
      <c r="G1076" s="7"/>
      <c r="H1076" s="7"/>
      <c r="J1076" s="3"/>
      <c r="K1076" s="3"/>
    </row>
    <row r="1077" spans="3:11" ht="15.75" customHeight="1" x14ac:dyDescent="0.2">
      <c r="C1077" s="199"/>
      <c r="D1077" s="19"/>
      <c r="E1077" s="24"/>
      <c r="F1077" s="24"/>
      <c r="G1077" s="7"/>
      <c r="H1077" s="7"/>
      <c r="J1077" s="3"/>
      <c r="K1077" s="3"/>
    </row>
    <row r="1078" spans="3:11" ht="15.75" customHeight="1" x14ac:dyDescent="0.2">
      <c r="C1078" s="199"/>
      <c r="D1078" s="19"/>
      <c r="E1078" s="24"/>
      <c r="F1078" s="24"/>
      <c r="G1078" s="7"/>
      <c r="H1078" s="7"/>
      <c r="J1078" s="3"/>
      <c r="K1078" s="3"/>
    </row>
    <row r="1079" spans="3:11" ht="15.75" customHeight="1" x14ac:dyDescent="0.2">
      <c r="C1079" s="199"/>
      <c r="D1079" s="19"/>
      <c r="E1079" s="24"/>
      <c r="F1079" s="24"/>
      <c r="G1079" s="7"/>
      <c r="H1079" s="7"/>
      <c r="J1079" s="3"/>
      <c r="K1079" s="3"/>
    </row>
  </sheetData>
  <dataValidations count="1">
    <dataValidation type="list" allowBlank="1" showInputMessage="1" showErrorMessage="1" sqref="B574:B576" xr:uid="{06393B5C-B1E2-7049-AA97-3C22EED04DF4}">
      <formula1>DvListSource1</formula1>
    </dataValidation>
  </dataValidation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003"/>
  <sheetViews>
    <sheetView workbookViewId="0">
      <pane ySplit="1" topLeftCell="A23" activePane="bottomLeft" state="frozen"/>
      <selection pane="bottomLeft" activeCell="H58" sqref="H58"/>
    </sheetView>
  </sheetViews>
  <sheetFormatPr baseColWidth="10" defaultColWidth="11.1640625" defaultRowHeight="15" customHeight="1" x14ac:dyDescent="0.2"/>
  <cols>
    <col min="1" max="1" width="10.5" customWidth="1"/>
    <col min="2" max="2" width="10.83203125" customWidth="1"/>
    <col min="3" max="24" width="10.5" customWidth="1"/>
  </cols>
  <sheetData>
    <row r="1" spans="1:24" ht="33.75" customHeight="1" x14ac:dyDescent="0.2">
      <c r="A1" s="3"/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58</v>
      </c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</row>
    <row r="2" spans="1:24" ht="15.75" customHeight="1" x14ac:dyDescent="0.2">
      <c r="B2" s="3" t="s">
        <v>31</v>
      </c>
    </row>
    <row r="3" spans="1:24" ht="15.75" customHeight="1" x14ac:dyDescent="0.2">
      <c r="A3" s="4"/>
      <c r="B3" s="25" t="s">
        <v>59</v>
      </c>
    </row>
    <row r="4" spans="1:24" ht="15.75" customHeight="1" x14ac:dyDescent="0.2">
      <c r="A4" s="4" t="s">
        <v>60</v>
      </c>
      <c r="B4" s="25" t="s">
        <v>100</v>
      </c>
    </row>
    <row r="5" spans="1:24" ht="15.75" customHeight="1" x14ac:dyDescent="0.2">
      <c r="A5" s="4"/>
      <c r="B5" s="26" t="s">
        <v>62</v>
      </c>
    </row>
    <row r="6" spans="1:24" ht="15.75" customHeight="1" x14ac:dyDescent="0.2">
      <c r="B6" s="3"/>
    </row>
    <row r="7" spans="1:24" ht="15.75" customHeight="1" x14ac:dyDescent="0.2">
      <c r="B7" s="3"/>
    </row>
    <row r="8" spans="1:24" ht="15.75" customHeight="1" x14ac:dyDescent="0.2">
      <c r="B8" s="3"/>
    </row>
    <row r="9" spans="1:24" ht="15.75" customHeight="1" x14ac:dyDescent="0.2">
      <c r="B9" s="3"/>
      <c r="C9" s="15">
        <v>45097</v>
      </c>
      <c r="D9" s="19">
        <v>0.46527777777777773</v>
      </c>
      <c r="E9" s="3"/>
      <c r="J9" s="2">
        <v>2</v>
      </c>
      <c r="K9" s="2">
        <v>2</v>
      </c>
    </row>
    <row r="10" spans="1:24" ht="15.75" customHeight="1" x14ac:dyDescent="0.2">
      <c r="B10" s="3"/>
      <c r="C10" s="15">
        <v>45097</v>
      </c>
      <c r="D10" s="19">
        <v>0.46875</v>
      </c>
      <c r="E10" s="1">
        <v>0.1</v>
      </c>
      <c r="F10" s="1">
        <v>10.85</v>
      </c>
      <c r="G10" s="1">
        <v>108.2</v>
      </c>
      <c r="H10" s="1">
        <v>15.3</v>
      </c>
      <c r="J10" s="2"/>
      <c r="K10" s="2"/>
    </row>
    <row r="11" spans="1:24" ht="15.75" customHeight="1" x14ac:dyDescent="0.2">
      <c r="B11" s="3"/>
      <c r="C11" s="15">
        <v>45097</v>
      </c>
      <c r="D11" s="19">
        <v>0.46875</v>
      </c>
      <c r="E11" s="1">
        <v>1</v>
      </c>
      <c r="F11" s="1">
        <v>10.83</v>
      </c>
      <c r="G11" s="1">
        <v>108.3</v>
      </c>
      <c r="H11" s="1">
        <v>15.4</v>
      </c>
      <c r="J11" s="2"/>
      <c r="K11" s="2"/>
    </row>
    <row r="12" spans="1:24" ht="15.75" customHeight="1" x14ac:dyDescent="0.2">
      <c r="B12" s="3"/>
      <c r="C12" s="15">
        <v>45097</v>
      </c>
      <c r="D12" s="19">
        <v>0.46875</v>
      </c>
      <c r="E12" s="1">
        <v>2</v>
      </c>
      <c r="F12" s="1">
        <v>10.83</v>
      </c>
      <c r="G12" s="1">
        <v>108.3</v>
      </c>
      <c r="H12" s="1">
        <v>15.4</v>
      </c>
      <c r="J12" s="2"/>
      <c r="K12" s="2"/>
    </row>
    <row r="13" spans="1:24" ht="15.75" customHeight="1" x14ac:dyDescent="0.2">
      <c r="B13" s="3"/>
      <c r="C13" s="3"/>
      <c r="D13" s="3"/>
      <c r="J13" s="2"/>
      <c r="K13" s="2"/>
    </row>
    <row r="14" spans="1:24" ht="15.75" customHeight="1" x14ac:dyDescent="0.2">
      <c r="B14" s="3"/>
      <c r="C14" s="15">
        <v>45134</v>
      </c>
      <c r="D14" s="19">
        <v>0.40138888888888885</v>
      </c>
      <c r="J14" s="2">
        <v>2</v>
      </c>
      <c r="K14" s="2">
        <v>2</v>
      </c>
    </row>
    <row r="15" spans="1:24" ht="15.75" customHeight="1" x14ac:dyDescent="0.2">
      <c r="B15" s="3"/>
      <c r="C15" s="15">
        <v>45134</v>
      </c>
      <c r="D15" s="19">
        <v>0.40138888888888885</v>
      </c>
      <c r="E15">
        <v>0.1</v>
      </c>
      <c r="F15">
        <v>9.2100000000000009</v>
      </c>
      <c r="G15">
        <v>101.5</v>
      </c>
      <c r="H15">
        <v>20.100000000000001</v>
      </c>
      <c r="J15" s="2"/>
      <c r="K15" s="2"/>
    </row>
    <row r="16" spans="1:24" ht="15.75" customHeight="1" x14ac:dyDescent="0.2">
      <c r="B16" s="3"/>
      <c r="C16" s="15">
        <v>45134</v>
      </c>
      <c r="D16" s="19">
        <v>0.40138888888888885</v>
      </c>
      <c r="E16">
        <v>1</v>
      </c>
      <c r="F16">
        <v>9.17</v>
      </c>
      <c r="G16">
        <v>101.3</v>
      </c>
      <c r="H16">
        <v>20.100000000000001</v>
      </c>
      <c r="J16" s="2"/>
      <c r="K16" s="2"/>
    </row>
    <row r="17" spans="2:11" ht="15.75" customHeight="1" x14ac:dyDescent="0.2">
      <c r="B17" s="3"/>
      <c r="C17" s="15">
        <v>45134</v>
      </c>
      <c r="D17" s="19">
        <v>0.40138888888888885</v>
      </c>
      <c r="E17">
        <v>1.75</v>
      </c>
      <c r="F17">
        <v>9.19</v>
      </c>
      <c r="G17">
        <v>101.3</v>
      </c>
      <c r="H17">
        <v>20.100000000000001</v>
      </c>
      <c r="J17" s="2"/>
      <c r="K17" s="2"/>
    </row>
    <row r="18" spans="2:11" ht="15.75" customHeight="1" x14ac:dyDescent="0.2">
      <c r="B18" s="3"/>
      <c r="C18" s="3"/>
      <c r="D18" s="3"/>
      <c r="J18" s="2"/>
      <c r="K18" s="2"/>
    </row>
    <row r="19" spans="2:11" ht="15.75" customHeight="1" x14ac:dyDescent="0.2">
      <c r="B19" s="3"/>
      <c r="C19" s="205">
        <v>45161</v>
      </c>
      <c r="D19" s="185">
        <v>0.4236111111111111</v>
      </c>
      <c r="J19">
        <v>2</v>
      </c>
    </row>
    <row r="20" spans="2:11" ht="15.75" customHeight="1" x14ac:dyDescent="0.2">
      <c r="B20" s="3"/>
      <c r="C20" s="205">
        <v>45161</v>
      </c>
      <c r="D20" s="185">
        <v>0.4236111111111111</v>
      </c>
      <c r="E20">
        <v>0.1</v>
      </c>
      <c r="F20">
        <v>9.27</v>
      </c>
      <c r="G20">
        <v>102.2</v>
      </c>
      <c r="H20">
        <v>20.2</v>
      </c>
    </row>
    <row r="21" spans="2:11" ht="15.75" customHeight="1" x14ac:dyDescent="0.2">
      <c r="B21" s="3"/>
      <c r="C21" s="205">
        <v>45161</v>
      </c>
      <c r="D21" s="185">
        <v>0.4236111111111111</v>
      </c>
      <c r="E21">
        <v>1</v>
      </c>
      <c r="F21">
        <v>9.17</v>
      </c>
      <c r="G21">
        <v>101.6</v>
      </c>
      <c r="H21">
        <v>20.399999999999999</v>
      </c>
    </row>
    <row r="22" spans="2:11" ht="15.75" customHeight="1" x14ac:dyDescent="0.2">
      <c r="B22" s="3"/>
      <c r="C22" s="205">
        <v>45161</v>
      </c>
      <c r="D22" s="185">
        <v>0.4236111111111111</v>
      </c>
      <c r="E22">
        <v>1.5</v>
      </c>
      <c r="F22">
        <v>9.17</v>
      </c>
      <c r="G22">
        <v>101.7</v>
      </c>
      <c r="H22">
        <v>20.399999999999999</v>
      </c>
    </row>
    <row r="23" spans="2:11" ht="15.75" customHeight="1" x14ac:dyDescent="0.2">
      <c r="B23" s="3"/>
    </row>
    <row r="24" spans="2:11" ht="15.75" customHeight="1" x14ac:dyDescent="0.2">
      <c r="B24" s="3"/>
      <c r="C24" s="205">
        <v>45188</v>
      </c>
      <c r="D24" s="185">
        <v>0.3923611111111111</v>
      </c>
      <c r="J24">
        <v>2</v>
      </c>
    </row>
    <row r="25" spans="2:11" ht="15.75" customHeight="1" x14ac:dyDescent="0.2">
      <c r="B25" s="3"/>
      <c r="C25" s="205">
        <v>45188</v>
      </c>
      <c r="D25" s="185">
        <v>0.39583333333333331</v>
      </c>
      <c r="E25">
        <v>0.1</v>
      </c>
      <c r="F25">
        <v>9.6300000000000008</v>
      </c>
      <c r="G25">
        <v>101.5</v>
      </c>
      <c r="H25">
        <v>17.899999999999999</v>
      </c>
    </row>
    <row r="26" spans="2:11" ht="15.75" customHeight="1" x14ac:dyDescent="0.2">
      <c r="B26" s="3"/>
      <c r="C26" s="205">
        <v>45188</v>
      </c>
      <c r="D26" s="185">
        <v>0.39583333333333331</v>
      </c>
      <c r="E26">
        <v>1</v>
      </c>
      <c r="F26">
        <v>9.59</v>
      </c>
      <c r="G26">
        <v>101.3</v>
      </c>
      <c r="H26">
        <v>18</v>
      </c>
    </row>
    <row r="27" spans="2:11" ht="15.75" customHeight="1" x14ac:dyDescent="0.2">
      <c r="B27" s="3"/>
      <c r="C27" s="205">
        <v>45188</v>
      </c>
      <c r="D27" s="185">
        <v>0.39583333333333331</v>
      </c>
      <c r="E27">
        <v>1.5</v>
      </c>
      <c r="F27">
        <v>9.59</v>
      </c>
      <c r="G27">
        <v>101.3</v>
      </c>
      <c r="H27">
        <v>18</v>
      </c>
    </row>
    <row r="28" spans="2:11" ht="15.75" customHeight="1" x14ac:dyDescent="0.2">
      <c r="B28" s="3"/>
    </row>
    <row r="29" spans="2:11" ht="15.75" customHeight="1" x14ac:dyDescent="0.2">
      <c r="B29" s="3"/>
      <c r="C29" s="205">
        <v>44739</v>
      </c>
      <c r="D29" s="185">
        <v>0.38611111111111113</v>
      </c>
      <c r="J29">
        <v>2</v>
      </c>
      <c r="K29">
        <v>2</v>
      </c>
    </row>
    <row r="30" spans="2:11" ht="15.75" customHeight="1" x14ac:dyDescent="0.2">
      <c r="B30" s="3"/>
      <c r="C30" s="205">
        <v>44739</v>
      </c>
      <c r="D30" s="185">
        <v>0.38541666666666669</v>
      </c>
      <c r="E30">
        <v>0.1</v>
      </c>
      <c r="F30">
        <v>7.45</v>
      </c>
      <c r="G30">
        <v>86.8</v>
      </c>
      <c r="H30">
        <v>23.1</v>
      </c>
    </row>
    <row r="31" spans="2:11" ht="15.75" customHeight="1" x14ac:dyDescent="0.2">
      <c r="B31" s="3"/>
      <c r="C31" s="205">
        <v>44739</v>
      </c>
      <c r="D31" s="185">
        <v>0.38541666666666669</v>
      </c>
      <c r="E31">
        <v>1</v>
      </c>
      <c r="F31">
        <v>7.47</v>
      </c>
      <c r="G31">
        <v>86.9</v>
      </c>
      <c r="H31">
        <v>22.9</v>
      </c>
    </row>
    <row r="32" spans="2:11" ht="15.75" customHeight="1" x14ac:dyDescent="0.2">
      <c r="B32" s="3"/>
      <c r="C32" s="205">
        <v>44739</v>
      </c>
      <c r="D32" s="185">
        <v>0.38541666666666669</v>
      </c>
      <c r="E32">
        <v>2</v>
      </c>
      <c r="F32">
        <v>7.46</v>
      </c>
      <c r="G32">
        <v>86.8</v>
      </c>
      <c r="H32">
        <v>22.9</v>
      </c>
    </row>
    <row r="33" spans="2:11" ht="15.75" customHeight="1" x14ac:dyDescent="0.2">
      <c r="B33" s="3"/>
    </row>
    <row r="34" spans="2:11" ht="15.75" customHeight="1" x14ac:dyDescent="0.2">
      <c r="B34" s="3"/>
      <c r="C34" s="205">
        <v>44796</v>
      </c>
      <c r="D34" s="185">
        <v>0.3611111111111111</v>
      </c>
      <c r="J34">
        <v>1.75</v>
      </c>
      <c r="K34">
        <v>1.75</v>
      </c>
    </row>
    <row r="35" spans="2:11" ht="15.75" customHeight="1" x14ac:dyDescent="0.2">
      <c r="B35" s="3"/>
      <c r="C35" s="205">
        <v>44796</v>
      </c>
      <c r="D35" s="185">
        <v>0.36736111111111108</v>
      </c>
      <c r="E35">
        <v>0.1</v>
      </c>
      <c r="F35">
        <v>7.26</v>
      </c>
      <c r="G35">
        <v>82.8</v>
      </c>
      <c r="H35">
        <v>21.9</v>
      </c>
    </row>
    <row r="36" spans="2:11" ht="15.75" customHeight="1" x14ac:dyDescent="0.2">
      <c r="B36" s="3"/>
      <c r="C36" s="205">
        <v>44796</v>
      </c>
      <c r="D36" s="185">
        <v>0.36736111111111108</v>
      </c>
      <c r="E36">
        <v>1</v>
      </c>
      <c r="F36">
        <v>7.18</v>
      </c>
      <c r="G36">
        <v>82.1</v>
      </c>
      <c r="H36">
        <v>22</v>
      </c>
    </row>
    <row r="37" spans="2:11" ht="15.75" customHeight="1" x14ac:dyDescent="0.2">
      <c r="B37" s="3"/>
    </row>
    <row r="38" spans="2:11" ht="15.75" customHeight="1" x14ac:dyDescent="0.2">
      <c r="B38" s="3"/>
      <c r="C38" s="205">
        <v>44823</v>
      </c>
      <c r="D38" s="185">
        <v>0.55208333333333337</v>
      </c>
      <c r="J38">
        <v>2.75</v>
      </c>
      <c r="K38">
        <v>2.75</v>
      </c>
    </row>
    <row r="39" spans="2:11" ht="15.75" customHeight="1" x14ac:dyDescent="0.2">
      <c r="B39" s="3"/>
      <c r="C39" s="205">
        <v>44823</v>
      </c>
      <c r="D39" s="185">
        <v>0.55902777777777779</v>
      </c>
      <c r="E39">
        <v>0.1</v>
      </c>
      <c r="F39">
        <v>7.88</v>
      </c>
      <c r="G39">
        <v>85.8</v>
      </c>
      <c r="H39">
        <v>19.5</v>
      </c>
    </row>
    <row r="40" spans="2:11" ht="15.75" customHeight="1" x14ac:dyDescent="0.2">
      <c r="B40" s="3"/>
      <c r="C40" s="205">
        <v>44823</v>
      </c>
      <c r="D40" s="185">
        <v>0.55902777777777779</v>
      </c>
      <c r="E40">
        <v>1</v>
      </c>
      <c r="F40">
        <v>7.9</v>
      </c>
      <c r="G40">
        <v>85.5</v>
      </c>
      <c r="H40">
        <v>19.3</v>
      </c>
    </row>
    <row r="41" spans="2:11" ht="15.75" customHeight="1" x14ac:dyDescent="0.2">
      <c r="B41" s="3"/>
      <c r="C41" s="205">
        <v>44823</v>
      </c>
      <c r="D41" s="185">
        <v>0.55902777777777779</v>
      </c>
      <c r="E41">
        <v>2</v>
      </c>
      <c r="F41">
        <v>7.91</v>
      </c>
      <c r="G41">
        <v>85.1</v>
      </c>
      <c r="H41">
        <v>19</v>
      </c>
    </row>
    <row r="42" spans="2:11" ht="15.75" customHeight="1" x14ac:dyDescent="0.2">
      <c r="B42" s="3"/>
    </row>
    <row r="43" spans="2:11" ht="15.75" customHeight="1" x14ac:dyDescent="0.2">
      <c r="B43" s="3"/>
    </row>
    <row r="44" spans="2:11" ht="15.75" customHeight="1" x14ac:dyDescent="0.2">
      <c r="B44" s="3"/>
    </row>
    <row r="45" spans="2:11" ht="15.75" customHeight="1" x14ac:dyDescent="0.2">
      <c r="B45" s="3"/>
    </row>
    <row r="46" spans="2:11" ht="15.75" customHeight="1" x14ac:dyDescent="0.2">
      <c r="B46" s="3">
        <v>2</v>
      </c>
      <c r="C46" s="205">
        <v>34507</v>
      </c>
      <c r="D46" s="185">
        <v>0.5</v>
      </c>
      <c r="E46">
        <v>1.7</v>
      </c>
      <c r="F46">
        <v>10.1</v>
      </c>
      <c r="H46">
        <v>17.100000000000001</v>
      </c>
    </row>
    <row r="47" spans="2:11" ht="15.75" customHeight="1" x14ac:dyDescent="0.2">
      <c r="B47" s="3"/>
    </row>
    <row r="48" spans="2:11" ht="15.75" customHeight="1" x14ac:dyDescent="0.2">
      <c r="B48" s="3"/>
    </row>
    <row r="49" spans="2:2" ht="15.75" customHeight="1" x14ac:dyDescent="0.2">
      <c r="B49" s="3"/>
    </row>
    <row r="50" spans="2:2" ht="15.75" customHeight="1" x14ac:dyDescent="0.2">
      <c r="B50" s="3"/>
    </row>
    <row r="51" spans="2:2" ht="15.75" customHeight="1" x14ac:dyDescent="0.2">
      <c r="B51" s="3"/>
    </row>
    <row r="52" spans="2:2" ht="15.75" customHeight="1" x14ac:dyDescent="0.2">
      <c r="B52" s="3"/>
    </row>
    <row r="53" spans="2:2" ht="15.75" customHeight="1" x14ac:dyDescent="0.2">
      <c r="B53" s="3"/>
    </row>
    <row r="54" spans="2:2" ht="15.75" customHeight="1" x14ac:dyDescent="0.2">
      <c r="B54" s="3"/>
    </row>
    <row r="55" spans="2:2" ht="15.75" customHeight="1" x14ac:dyDescent="0.2">
      <c r="B55" s="3"/>
    </row>
    <row r="56" spans="2:2" ht="15.75" customHeight="1" x14ac:dyDescent="0.2">
      <c r="B56" s="3"/>
    </row>
    <row r="57" spans="2:2" ht="15.75" customHeight="1" x14ac:dyDescent="0.2">
      <c r="B57" s="3"/>
    </row>
    <row r="58" spans="2:2" ht="15.75" customHeight="1" x14ac:dyDescent="0.2">
      <c r="B58" s="3"/>
    </row>
    <row r="59" spans="2:2" ht="15.75" customHeight="1" x14ac:dyDescent="0.2">
      <c r="B59" s="3"/>
    </row>
    <row r="60" spans="2:2" ht="15.75" customHeight="1" x14ac:dyDescent="0.2">
      <c r="B60" s="3"/>
    </row>
    <row r="61" spans="2:2" ht="15.75" customHeight="1" x14ac:dyDescent="0.2">
      <c r="B61" s="3"/>
    </row>
    <row r="62" spans="2:2" ht="15.75" customHeight="1" x14ac:dyDescent="0.2">
      <c r="B62" s="3"/>
    </row>
    <row r="63" spans="2:2" ht="15.75" customHeight="1" x14ac:dyDescent="0.2">
      <c r="B63" s="3"/>
    </row>
    <row r="64" spans="2:2" ht="15.75" customHeight="1" x14ac:dyDescent="0.2">
      <c r="B64" s="3"/>
    </row>
    <row r="65" spans="2:2" ht="15.75" customHeight="1" x14ac:dyDescent="0.2">
      <c r="B65" s="3"/>
    </row>
    <row r="66" spans="2:2" ht="15.75" customHeight="1" x14ac:dyDescent="0.2">
      <c r="B66" s="3"/>
    </row>
    <row r="67" spans="2:2" ht="15.75" customHeight="1" x14ac:dyDescent="0.2">
      <c r="B67" s="3"/>
    </row>
    <row r="68" spans="2:2" ht="15.75" customHeight="1" x14ac:dyDescent="0.2">
      <c r="B68" s="3"/>
    </row>
    <row r="69" spans="2:2" ht="15.75" customHeight="1" x14ac:dyDescent="0.2">
      <c r="B69" s="3"/>
    </row>
    <row r="70" spans="2:2" ht="15.75" customHeight="1" x14ac:dyDescent="0.2">
      <c r="B70" s="3"/>
    </row>
    <row r="71" spans="2:2" ht="15.75" customHeight="1" x14ac:dyDescent="0.2">
      <c r="B71" s="3"/>
    </row>
    <row r="72" spans="2:2" ht="15.75" customHeight="1" x14ac:dyDescent="0.2">
      <c r="B72" s="3"/>
    </row>
    <row r="73" spans="2:2" ht="15.75" customHeight="1" x14ac:dyDescent="0.2">
      <c r="B73" s="3"/>
    </row>
    <row r="74" spans="2:2" ht="15.75" customHeight="1" x14ac:dyDescent="0.2">
      <c r="B74" s="3"/>
    </row>
    <row r="75" spans="2:2" ht="15.75" customHeight="1" x14ac:dyDescent="0.2">
      <c r="B75" s="3"/>
    </row>
    <row r="76" spans="2:2" ht="15.75" customHeight="1" x14ac:dyDescent="0.2">
      <c r="B76" s="3"/>
    </row>
    <row r="77" spans="2:2" ht="15.75" customHeight="1" x14ac:dyDescent="0.2">
      <c r="B77" s="3"/>
    </row>
    <row r="78" spans="2:2" ht="15.75" customHeight="1" x14ac:dyDescent="0.2">
      <c r="B78" s="3"/>
    </row>
    <row r="79" spans="2:2" ht="15.75" customHeight="1" x14ac:dyDescent="0.2">
      <c r="B79" s="3"/>
    </row>
    <row r="80" spans="2:2" ht="15.75" customHeight="1" x14ac:dyDescent="0.2">
      <c r="B80" s="3"/>
    </row>
    <row r="81" spans="2:2" ht="15.75" customHeight="1" x14ac:dyDescent="0.2">
      <c r="B81" s="3"/>
    </row>
    <row r="82" spans="2:2" ht="15.75" customHeight="1" x14ac:dyDescent="0.2">
      <c r="B82" s="3"/>
    </row>
    <row r="83" spans="2:2" ht="15.75" customHeight="1" x14ac:dyDescent="0.2">
      <c r="B83" s="3"/>
    </row>
    <row r="84" spans="2:2" ht="15.75" customHeight="1" x14ac:dyDescent="0.2">
      <c r="B84" s="3"/>
    </row>
    <row r="85" spans="2:2" ht="15.75" customHeight="1" x14ac:dyDescent="0.2">
      <c r="B85" s="3"/>
    </row>
    <row r="86" spans="2:2" ht="15.75" customHeight="1" x14ac:dyDescent="0.2">
      <c r="B86" s="3"/>
    </row>
    <row r="87" spans="2:2" ht="15.75" customHeight="1" x14ac:dyDescent="0.2">
      <c r="B87" s="3"/>
    </row>
    <row r="88" spans="2:2" ht="15.75" customHeight="1" x14ac:dyDescent="0.2">
      <c r="B88" s="3"/>
    </row>
    <row r="89" spans="2:2" ht="15.75" customHeight="1" x14ac:dyDescent="0.2">
      <c r="B89" s="3"/>
    </row>
    <row r="90" spans="2:2" ht="15.75" customHeight="1" x14ac:dyDescent="0.2">
      <c r="B90" s="3"/>
    </row>
    <row r="91" spans="2:2" ht="15.75" customHeight="1" x14ac:dyDescent="0.2">
      <c r="B91" s="3"/>
    </row>
    <row r="92" spans="2:2" ht="15.75" customHeight="1" x14ac:dyDescent="0.2">
      <c r="B92" s="3"/>
    </row>
    <row r="93" spans="2:2" ht="15.75" customHeight="1" x14ac:dyDescent="0.2">
      <c r="B93" s="3"/>
    </row>
    <row r="94" spans="2:2" ht="15.75" customHeight="1" x14ac:dyDescent="0.2">
      <c r="B94" s="3"/>
    </row>
    <row r="95" spans="2:2" ht="15.75" customHeight="1" x14ac:dyDescent="0.2">
      <c r="B95" s="3"/>
    </row>
    <row r="96" spans="2:2" ht="15.75" customHeight="1" x14ac:dyDescent="0.2">
      <c r="B96" s="3"/>
    </row>
    <row r="97" spans="2:2" ht="15.75" customHeight="1" x14ac:dyDescent="0.2">
      <c r="B97" s="3"/>
    </row>
    <row r="98" spans="2:2" ht="15.75" customHeight="1" x14ac:dyDescent="0.2">
      <c r="B98" s="3"/>
    </row>
    <row r="99" spans="2:2" ht="15.75" customHeight="1" x14ac:dyDescent="0.2">
      <c r="B99" s="3"/>
    </row>
    <row r="100" spans="2:2" ht="15.75" customHeight="1" x14ac:dyDescent="0.2">
      <c r="B100" s="3"/>
    </row>
    <row r="101" spans="2:2" ht="15.75" customHeight="1" x14ac:dyDescent="0.2">
      <c r="B101" s="3"/>
    </row>
    <row r="102" spans="2:2" ht="15.75" customHeight="1" x14ac:dyDescent="0.2">
      <c r="B102" s="3"/>
    </row>
    <row r="103" spans="2:2" ht="15.75" customHeight="1" x14ac:dyDescent="0.2">
      <c r="B103" s="3"/>
    </row>
    <row r="104" spans="2:2" ht="15.75" customHeight="1" x14ac:dyDescent="0.2">
      <c r="B104" s="3"/>
    </row>
    <row r="105" spans="2:2" ht="15.75" customHeight="1" x14ac:dyDescent="0.2">
      <c r="B105" s="3"/>
    </row>
    <row r="106" spans="2:2" ht="15.75" customHeight="1" x14ac:dyDescent="0.2">
      <c r="B106" s="3"/>
    </row>
    <row r="107" spans="2:2" ht="15.75" customHeight="1" x14ac:dyDescent="0.2">
      <c r="B107" s="3"/>
    </row>
    <row r="108" spans="2:2" ht="15.75" customHeight="1" x14ac:dyDescent="0.2">
      <c r="B108" s="3"/>
    </row>
    <row r="109" spans="2:2" ht="15.75" customHeight="1" x14ac:dyDescent="0.2">
      <c r="B109" s="3"/>
    </row>
    <row r="110" spans="2:2" ht="15.75" customHeight="1" x14ac:dyDescent="0.2">
      <c r="B110" s="3"/>
    </row>
    <row r="111" spans="2:2" ht="15.75" customHeight="1" x14ac:dyDescent="0.2">
      <c r="B111" s="3"/>
    </row>
    <row r="112" spans="2:2" ht="15.75" customHeight="1" x14ac:dyDescent="0.2">
      <c r="B112" s="3"/>
    </row>
    <row r="113" spans="2:2" ht="15.75" customHeight="1" x14ac:dyDescent="0.2">
      <c r="B113" s="3"/>
    </row>
    <row r="114" spans="2:2" ht="15.75" customHeight="1" x14ac:dyDescent="0.2">
      <c r="B114" s="3"/>
    </row>
    <row r="115" spans="2:2" ht="15.75" customHeight="1" x14ac:dyDescent="0.2">
      <c r="B115" s="3"/>
    </row>
    <row r="116" spans="2:2" ht="15.75" customHeight="1" x14ac:dyDescent="0.2">
      <c r="B116" s="3"/>
    </row>
    <row r="117" spans="2:2" ht="15.75" customHeight="1" x14ac:dyDescent="0.2">
      <c r="B117" s="3"/>
    </row>
    <row r="118" spans="2:2" ht="15.75" customHeight="1" x14ac:dyDescent="0.2">
      <c r="B118" s="3"/>
    </row>
    <row r="119" spans="2:2" ht="15.75" customHeight="1" x14ac:dyDescent="0.2">
      <c r="B119" s="3"/>
    </row>
    <row r="120" spans="2:2" ht="15.75" customHeight="1" x14ac:dyDescent="0.2">
      <c r="B120" s="3"/>
    </row>
    <row r="121" spans="2:2" ht="15.75" customHeight="1" x14ac:dyDescent="0.2">
      <c r="B121" s="3"/>
    </row>
    <row r="122" spans="2:2" ht="15.75" customHeight="1" x14ac:dyDescent="0.2">
      <c r="B122" s="3"/>
    </row>
    <row r="123" spans="2:2" ht="15.75" customHeight="1" x14ac:dyDescent="0.2">
      <c r="B123" s="3"/>
    </row>
    <row r="124" spans="2:2" ht="15.75" customHeight="1" x14ac:dyDescent="0.2">
      <c r="B124" s="3"/>
    </row>
    <row r="125" spans="2:2" ht="15.75" customHeight="1" x14ac:dyDescent="0.2">
      <c r="B125" s="3"/>
    </row>
    <row r="126" spans="2:2" ht="15.75" customHeight="1" x14ac:dyDescent="0.2">
      <c r="B126" s="3"/>
    </row>
    <row r="127" spans="2:2" ht="15.75" customHeight="1" x14ac:dyDescent="0.2">
      <c r="B127" s="3"/>
    </row>
    <row r="128" spans="2:2" ht="15.75" customHeight="1" x14ac:dyDescent="0.2">
      <c r="B128" s="3"/>
    </row>
    <row r="129" spans="2:2" ht="15.75" customHeight="1" x14ac:dyDescent="0.2">
      <c r="B129" s="3"/>
    </row>
    <row r="130" spans="2:2" ht="15.75" customHeight="1" x14ac:dyDescent="0.2">
      <c r="B130" s="3"/>
    </row>
    <row r="131" spans="2:2" ht="15.75" customHeight="1" x14ac:dyDescent="0.2">
      <c r="B131" s="3"/>
    </row>
    <row r="132" spans="2:2" ht="15.75" customHeight="1" x14ac:dyDescent="0.2">
      <c r="B132" s="3"/>
    </row>
    <row r="133" spans="2:2" ht="15.75" customHeight="1" x14ac:dyDescent="0.2">
      <c r="B133" s="3"/>
    </row>
    <row r="134" spans="2:2" ht="15.75" customHeight="1" x14ac:dyDescent="0.2">
      <c r="B134" s="3"/>
    </row>
    <row r="135" spans="2:2" ht="15.75" customHeight="1" x14ac:dyDescent="0.2">
      <c r="B135" s="3"/>
    </row>
    <row r="136" spans="2:2" ht="15.75" customHeight="1" x14ac:dyDescent="0.2">
      <c r="B136" s="3"/>
    </row>
    <row r="137" spans="2:2" ht="15.75" customHeight="1" x14ac:dyDescent="0.2">
      <c r="B137" s="3"/>
    </row>
    <row r="138" spans="2:2" ht="15.75" customHeight="1" x14ac:dyDescent="0.2">
      <c r="B138" s="3"/>
    </row>
    <row r="139" spans="2:2" ht="15.75" customHeight="1" x14ac:dyDescent="0.2">
      <c r="B139" s="3"/>
    </row>
    <row r="140" spans="2:2" ht="15.75" customHeight="1" x14ac:dyDescent="0.2">
      <c r="B140" s="3"/>
    </row>
    <row r="141" spans="2:2" ht="15.75" customHeight="1" x14ac:dyDescent="0.2">
      <c r="B141" s="3"/>
    </row>
    <row r="142" spans="2:2" ht="15.75" customHeight="1" x14ac:dyDescent="0.2">
      <c r="B142" s="3"/>
    </row>
    <row r="143" spans="2:2" ht="15.75" customHeight="1" x14ac:dyDescent="0.2">
      <c r="B143" s="3"/>
    </row>
    <row r="144" spans="2:2" ht="15.75" customHeight="1" x14ac:dyDescent="0.2">
      <c r="B144" s="3"/>
    </row>
    <row r="145" spans="2:2" ht="15.75" customHeight="1" x14ac:dyDescent="0.2">
      <c r="B145" s="3"/>
    </row>
    <row r="146" spans="2:2" ht="15.75" customHeight="1" x14ac:dyDescent="0.2">
      <c r="B146" s="3"/>
    </row>
    <row r="147" spans="2:2" ht="15.75" customHeight="1" x14ac:dyDescent="0.2">
      <c r="B147" s="3"/>
    </row>
    <row r="148" spans="2:2" ht="15.75" customHeight="1" x14ac:dyDescent="0.2">
      <c r="B148" s="3"/>
    </row>
    <row r="149" spans="2:2" ht="15.75" customHeight="1" x14ac:dyDescent="0.2">
      <c r="B149" s="3"/>
    </row>
    <row r="150" spans="2:2" ht="15.75" customHeight="1" x14ac:dyDescent="0.2">
      <c r="B150" s="3"/>
    </row>
    <row r="151" spans="2:2" ht="15.75" customHeight="1" x14ac:dyDescent="0.2">
      <c r="B151" s="3"/>
    </row>
    <row r="152" spans="2:2" ht="15.75" customHeight="1" x14ac:dyDescent="0.2">
      <c r="B152" s="3"/>
    </row>
    <row r="153" spans="2:2" ht="15.75" customHeight="1" x14ac:dyDescent="0.2">
      <c r="B153" s="3"/>
    </row>
    <row r="154" spans="2:2" ht="15.75" customHeight="1" x14ac:dyDescent="0.2">
      <c r="B154" s="3"/>
    </row>
    <row r="155" spans="2:2" ht="15.75" customHeight="1" x14ac:dyDescent="0.2">
      <c r="B155" s="3"/>
    </row>
    <row r="156" spans="2:2" ht="15.75" customHeight="1" x14ac:dyDescent="0.2">
      <c r="B156" s="3"/>
    </row>
    <row r="157" spans="2:2" ht="15.75" customHeight="1" x14ac:dyDescent="0.2">
      <c r="B157" s="3"/>
    </row>
    <row r="158" spans="2:2" ht="15.75" customHeight="1" x14ac:dyDescent="0.2">
      <c r="B158" s="3"/>
    </row>
    <row r="159" spans="2:2" ht="15.75" customHeight="1" x14ac:dyDescent="0.2">
      <c r="B159" s="3"/>
    </row>
    <row r="160" spans="2:2" ht="15.75" customHeight="1" x14ac:dyDescent="0.2">
      <c r="B160" s="3"/>
    </row>
    <row r="161" spans="2:2" ht="15.75" customHeight="1" x14ac:dyDescent="0.2">
      <c r="B161" s="3"/>
    </row>
    <row r="162" spans="2:2" ht="15.75" customHeight="1" x14ac:dyDescent="0.2">
      <c r="B162" s="3"/>
    </row>
    <row r="163" spans="2:2" ht="15.75" customHeight="1" x14ac:dyDescent="0.2">
      <c r="B163" s="3"/>
    </row>
    <row r="164" spans="2:2" ht="15.75" customHeight="1" x14ac:dyDescent="0.2">
      <c r="B164" s="3"/>
    </row>
    <row r="165" spans="2:2" ht="15.75" customHeight="1" x14ac:dyDescent="0.2">
      <c r="B165" s="3"/>
    </row>
    <row r="166" spans="2:2" ht="15.75" customHeight="1" x14ac:dyDescent="0.2">
      <c r="B166" s="3"/>
    </row>
    <row r="167" spans="2:2" ht="15.75" customHeight="1" x14ac:dyDescent="0.2">
      <c r="B167" s="3"/>
    </row>
    <row r="168" spans="2:2" ht="15.75" customHeight="1" x14ac:dyDescent="0.2">
      <c r="B168" s="3"/>
    </row>
    <row r="169" spans="2:2" ht="15.75" customHeight="1" x14ac:dyDescent="0.2">
      <c r="B169" s="3"/>
    </row>
    <row r="170" spans="2:2" ht="15.75" customHeight="1" x14ac:dyDescent="0.2">
      <c r="B170" s="3"/>
    </row>
    <row r="171" spans="2:2" ht="15.75" customHeight="1" x14ac:dyDescent="0.2">
      <c r="B171" s="3"/>
    </row>
    <row r="172" spans="2:2" ht="15.75" customHeight="1" x14ac:dyDescent="0.2">
      <c r="B172" s="3"/>
    </row>
    <row r="173" spans="2:2" ht="15.75" customHeight="1" x14ac:dyDescent="0.2">
      <c r="B173" s="3"/>
    </row>
    <row r="174" spans="2:2" ht="15.75" customHeight="1" x14ac:dyDescent="0.2">
      <c r="B174" s="3"/>
    </row>
    <row r="175" spans="2:2" ht="15.75" customHeight="1" x14ac:dyDescent="0.2">
      <c r="B175" s="3"/>
    </row>
    <row r="176" spans="2:2" ht="15.75" customHeight="1" x14ac:dyDescent="0.2">
      <c r="B176" s="3"/>
    </row>
    <row r="177" spans="2:2" ht="15.75" customHeight="1" x14ac:dyDescent="0.2">
      <c r="B177" s="3"/>
    </row>
    <row r="178" spans="2:2" ht="15.75" customHeight="1" x14ac:dyDescent="0.2">
      <c r="B178" s="3"/>
    </row>
    <row r="179" spans="2:2" ht="15.75" customHeight="1" x14ac:dyDescent="0.2">
      <c r="B179" s="3"/>
    </row>
    <row r="180" spans="2:2" ht="15.75" customHeight="1" x14ac:dyDescent="0.2">
      <c r="B180" s="3"/>
    </row>
    <row r="181" spans="2:2" ht="15.75" customHeight="1" x14ac:dyDescent="0.2">
      <c r="B181" s="3"/>
    </row>
    <row r="182" spans="2:2" ht="15.75" customHeight="1" x14ac:dyDescent="0.2">
      <c r="B182" s="3"/>
    </row>
    <row r="183" spans="2:2" ht="15.75" customHeight="1" x14ac:dyDescent="0.2">
      <c r="B183" s="3"/>
    </row>
    <row r="184" spans="2:2" ht="15.75" customHeight="1" x14ac:dyDescent="0.2">
      <c r="B184" s="3"/>
    </row>
    <row r="185" spans="2:2" ht="15.75" customHeight="1" x14ac:dyDescent="0.2">
      <c r="B185" s="3"/>
    </row>
    <row r="186" spans="2:2" ht="15.75" customHeight="1" x14ac:dyDescent="0.2">
      <c r="B186" s="3"/>
    </row>
    <row r="187" spans="2:2" ht="15.75" customHeight="1" x14ac:dyDescent="0.2">
      <c r="B187" s="3"/>
    </row>
    <row r="188" spans="2:2" ht="15.75" customHeight="1" x14ac:dyDescent="0.2">
      <c r="B188" s="3"/>
    </row>
    <row r="189" spans="2:2" ht="15.75" customHeight="1" x14ac:dyDescent="0.2">
      <c r="B189" s="3"/>
    </row>
    <row r="190" spans="2:2" ht="15.75" customHeight="1" x14ac:dyDescent="0.2">
      <c r="B190" s="3"/>
    </row>
    <row r="191" spans="2:2" ht="15.75" customHeight="1" x14ac:dyDescent="0.2">
      <c r="B191" s="3"/>
    </row>
    <row r="192" spans="2:2" ht="15.75" customHeight="1" x14ac:dyDescent="0.2">
      <c r="B192" s="3"/>
    </row>
    <row r="193" spans="2:2" ht="15.75" customHeight="1" x14ac:dyDescent="0.2">
      <c r="B193" s="3"/>
    </row>
    <row r="194" spans="2:2" ht="15.75" customHeight="1" x14ac:dyDescent="0.2">
      <c r="B194" s="3"/>
    </row>
    <row r="195" spans="2:2" ht="15.75" customHeight="1" x14ac:dyDescent="0.2">
      <c r="B195" s="3"/>
    </row>
    <row r="196" spans="2:2" ht="15.75" customHeight="1" x14ac:dyDescent="0.2">
      <c r="B196" s="3"/>
    </row>
    <row r="197" spans="2:2" ht="15.75" customHeight="1" x14ac:dyDescent="0.2">
      <c r="B197" s="3"/>
    </row>
    <row r="198" spans="2:2" ht="15.75" customHeight="1" x14ac:dyDescent="0.2">
      <c r="B198" s="3"/>
    </row>
    <row r="199" spans="2:2" ht="15.75" customHeight="1" x14ac:dyDescent="0.2">
      <c r="B199" s="3"/>
    </row>
    <row r="200" spans="2:2" ht="15.75" customHeight="1" x14ac:dyDescent="0.2">
      <c r="B200" s="3"/>
    </row>
    <row r="201" spans="2:2" ht="15.75" customHeight="1" x14ac:dyDescent="0.2">
      <c r="B201" s="3"/>
    </row>
    <row r="202" spans="2:2" ht="15.75" customHeight="1" x14ac:dyDescent="0.2">
      <c r="B202" s="3"/>
    </row>
    <row r="203" spans="2:2" ht="15.75" customHeight="1" x14ac:dyDescent="0.2">
      <c r="B203" s="3"/>
    </row>
    <row r="204" spans="2:2" ht="15.75" customHeight="1" x14ac:dyDescent="0.2">
      <c r="B204" s="3"/>
    </row>
    <row r="205" spans="2:2" ht="15.75" customHeight="1" x14ac:dyDescent="0.2">
      <c r="B205" s="3"/>
    </row>
    <row r="206" spans="2:2" ht="15.75" customHeight="1" x14ac:dyDescent="0.2">
      <c r="B206" s="3"/>
    </row>
    <row r="207" spans="2:2" ht="15.75" customHeight="1" x14ac:dyDescent="0.2">
      <c r="B207" s="3"/>
    </row>
    <row r="208" spans="2:2" ht="15.75" customHeight="1" x14ac:dyDescent="0.2">
      <c r="B208" s="3"/>
    </row>
    <row r="209" spans="2:2" ht="15.75" customHeight="1" x14ac:dyDescent="0.2">
      <c r="B209" s="3"/>
    </row>
    <row r="210" spans="2:2" ht="15.75" customHeight="1" x14ac:dyDescent="0.2">
      <c r="B210" s="3"/>
    </row>
    <row r="211" spans="2:2" ht="15.75" customHeight="1" x14ac:dyDescent="0.2">
      <c r="B211" s="3"/>
    </row>
    <row r="212" spans="2:2" ht="15.75" customHeight="1" x14ac:dyDescent="0.2">
      <c r="B212" s="3"/>
    </row>
    <row r="213" spans="2:2" ht="15.75" customHeight="1" x14ac:dyDescent="0.2">
      <c r="B213" s="3"/>
    </row>
    <row r="214" spans="2:2" ht="15.75" customHeight="1" x14ac:dyDescent="0.2">
      <c r="B214" s="3"/>
    </row>
    <row r="215" spans="2:2" ht="15.75" customHeight="1" x14ac:dyDescent="0.2">
      <c r="B215" s="3"/>
    </row>
    <row r="216" spans="2:2" ht="15.75" customHeight="1" x14ac:dyDescent="0.2">
      <c r="B216" s="3"/>
    </row>
    <row r="217" spans="2:2" ht="15.75" customHeight="1" x14ac:dyDescent="0.2">
      <c r="B217" s="3"/>
    </row>
    <row r="218" spans="2:2" ht="15.75" customHeight="1" x14ac:dyDescent="0.2">
      <c r="B218" s="3"/>
    </row>
    <row r="219" spans="2:2" ht="15.75" customHeight="1" x14ac:dyDescent="0.2">
      <c r="B219" s="3"/>
    </row>
    <row r="220" spans="2:2" ht="15.75" customHeight="1" x14ac:dyDescent="0.2">
      <c r="B220" s="3"/>
    </row>
    <row r="221" spans="2:2" ht="15.75" customHeight="1" x14ac:dyDescent="0.2">
      <c r="B221" s="3"/>
    </row>
    <row r="222" spans="2:2" ht="15.75" customHeight="1" x14ac:dyDescent="0.2">
      <c r="B222" s="3"/>
    </row>
    <row r="223" spans="2:2" ht="15.75" customHeight="1" x14ac:dyDescent="0.2">
      <c r="B223" s="3"/>
    </row>
    <row r="224" spans="2:2" ht="15.75" customHeight="1" x14ac:dyDescent="0.2">
      <c r="B224" s="3"/>
    </row>
    <row r="225" spans="2:2" ht="15.75" customHeight="1" x14ac:dyDescent="0.2">
      <c r="B225" s="3"/>
    </row>
    <row r="226" spans="2:2" ht="15.75" customHeight="1" x14ac:dyDescent="0.2">
      <c r="B226" s="3"/>
    </row>
    <row r="227" spans="2:2" ht="15.75" customHeight="1" x14ac:dyDescent="0.2">
      <c r="B227" s="3"/>
    </row>
    <row r="228" spans="2:2" ht="15.75" customHeight="1" x14ac:dyDescent="0.2">
      <c r="B228" s="3"/>
    </row>
    <row r="229" spans="2:2" ht="15.75" customHeight="1" x14ac:dyDescent="0.2">
      <c r="B229" s="3"/>
    </row>
    <row r="230" spans="2:2" ht="15.75" customHeight="1" x14ac:dyDescent="0.2">
      <c r="B230" s="3"/>
    </row>
    <row r="231" spans="2:2" ht="15.75" customHeight="1" x14ac:dyDescent="0.2">
      <c r="B231" s="3"/>
    </row>
    <row r="232" spans="2:2" ht="15.75" customHeight="1" x14ac:dyDescent="0.2">
      <c r="B232" s="3"/>
    </row>
    <row r="233" spans="2:2" ht="15.75" customHeight="1" x14ac:dyDescent="0.2">
      <c r="B233" s="3"/>
    </row>
    <row r="234" spans="2:2" ht="15.75" customHeight="1" x14ac:dyDescent="0.2">
      <c r="B234" s="3"/>
    </row>
    <row r="235" spans="2:2" ht="15.75" customHeight="1" x14ac:dyDescent="0.2">
      <c r="B235" s="3"/>
    </row>
    <row r="236" spans="2:2" ht="15.75" customHeight="1" x14ac:dyDescent="0.2">
      <c r="B236" s="3"/>
    </row>
    <row r="237" spans="2:2" ht="15.75" customHeight="1" x14ac:dyDescent="0.2">
      <c r="B237" s="3"/>
    </row>
    <row r="238" spans="2:2" ht="15.75" customHeight="1" x14ac:dyDescent="0.2">
      <c r="B238" s="3"/>
    </row>
    <row r="239" spans="2:2" ht="15.75" customHeight="1" x14ac:dyDescent="0.2">
      <c r="B239" s="3"/>
    </row>
    <row r="240" spans="2:2" ht="15.75" customHeight="1" x14ac:dyDescent="0.2">
      <c r="B240" s="3"/>
    </row>
    <row r="241" spans="2:2" ht="15.75" customHeight="1" x14ac:dyDescent="0.2">
      <c r="B241" s="3"/>
    </row>
    <row r="242" spans="2:2" ht="15.75" customHeight="1" x14ac:dyDescent="0.2">
      <c r="B242" s="3"/>
    </row>
    <row r="243" spans="2:2" ht="15.75" customHeight="1" x14ac:dyDescent="0.2">
      <c r="B243" s="3"/>
    </row>
    <row r="244" spans="2:2" ht="15.75" customHeight="1" x14ac:dyDescent="0.2">
      <c r="B244" s="3"/>
    </row>
    <row r="245" spans="2:2" ht="15.75" customHeight="1" x14ac:dyDescent="0.2">
      <c r="B245" s="3"/>
    </row>
    <row r="246" spans="2:2" ht="15.75" customHeight="1" x14ac:dyDescent="0.2">
      <c r="B246" s="3"/>
    </row>
    <row r="247" spans="2:2" ht="15.75" customHeight="1" x14ac:dyDescent="0.2">
      <c r="B247" s="3"/>
    </row>
    <row r="248" spans="2:2" ht="15.75" customHeight="1" x14ac:dyDescent="0.2">
      <c r="B248" s="3"/>
    </row>
    <row r="249" spans="2:2" ht="15.75" customHeight="1" x14ac:dyDescent="0.2">
      <c r="B249" s="3"/>
    </row>
    <row r="250" spans="2:2" ht="15.75" customHeight="1" x14ac:dyDescent="0.2">
      <c r="B250" s="3"/>
    </row>
    <row r="251" spans="2:2" ht="15.75" customHeight="1" x14ac:dyDescent="0.2">
      <c r="B251" s="3"/>
    </row>
    <row r="252" spans="2:2" ht="15.75" customHeight="1" x14ac:dyDescent="0.2">
      <c r="B252" s="3"/>
    </row>
    <row r="253" spans="2:2" ht="15.75" customHeight="1" x14ac:dyDescent="0.2">
      <c r="B253" s="3"/>
    </row>
    <row r="254" spans="2:2" ht="15.75" customHeight="1" x14ac:dyDescent="0.2">
      <c r="B254" s="3"/>
    </row>
    <row r="255" spans="2:2" ht="15.75" customHeight="1" x14ac:dyDescent="0.2">
      <c r="B255" s="3"/>
    </row>
    <row r="256" spans="2:2" ht="15.75" customHeight="1" x14ac:dyDescent="0.2">
      <c r="B256" s="3"/>
    </row>
    <row r="257" spans="2:2" ht="15.75" customHeight="1" x14ac:dyDescent="0.2">
      <c r="B257" s="3"/>
    </row>
    <row r="258" spans="2:2" ht="15.75" customHeight="1" x14ac:dyDescent="0.2">
      <c r="B258" s="3"/>
    </row>
    <row r="259" spans="2:2" ht="15.75" customHeight="1" x14ac:dyDescent="0.2">
      <c r="B259" s="3"/>
    </row>
    <row r="260" spans="2:2" ht="15.75" customHeight="1" x14ac:dyDescent="0.2">
      <c r="B260" s="3"/>
    </row>
    <row r="261" spans="2:2" ht="15.75" customHeight="1" x14ac:dyDescent="0.2">
      <c r="B261" s="3"/>
    </row>
    <row r="262" spans="2:2" ht="15.75" customHeight="1" x14ac:dyDescent="0.2">
      <c r="B262" s="3"/>
    </row>
    <row r="263" spans="2:2" ht="15.75" customHeight="1" x14ac:dyDescent="0.2">
      <c r="B263" s="3"/>
    </row>
    <row r="264" spans="2:2" ht="15.75" customHeight="1" x14ac:dyDescent="0.2">
      <c r="B264" s="3"/>
    </row>
    <row r="265" spans="2:2" ht="15.75" customHeight="1" x14ac:dyDescent="0.2">
      <c r="B265" s="3"/>
    </row>
    <row r="266" spans="2:2" ht="15.75" customHeight="1" x14ac:dyDescent="0.2">
      <c r="B266" s="3"/>
    </row>
    <row r="267" spans="2:2" ht="15.75" customHeight="1" x14ac:dyDescent="0.2">
      <c r="B267" s="3"/>
    </row>
    <row r="268" spans="2:2" ht="15.75" customHeight="1" x14ac:dyDescent="0.2">
      <c r="B268" s="3"/>
    </row>
    <row r="269" spans="2:2" ht="15.75" customHeight="1" x14ac:dyDescent="0.2">
      <c r="B269" s="3"/>
    </row>
    <row r="270" spans="2:2" ht="15.75" customHeight="1" x14ac:dyDescent="0.2">
      <c r="B270" s="3"/>
    </row>
    <row r="271" spans="2:2" ht="15.75" customHeight="1" x14ac:dyDescent="0.2">
      <c r="B271" s="3"/>
    </row>
    <row r="272" spans="2:2" ht="15.75" customHeight="1" x14ac:dyDescent="0.2">
      <c r="B272" s="3"/>
    </row>
    <row r="273" spans="2:2" ht="15.75" customHeight="1" x14ac:dyDescent="0.2">
      <c r="B273" s="3"/>
    </row>
    <row r="274" spans="2:2" ht="15.75" customHeight="1" x14ac:dyDescent="0.2">
      <c r="B274" s="3"/>
    </row>
    <row r="275" spans="2:2" ht="15.75" customHeight="1" x14ac:dyDescent="0.2">
      <c r="B275" s="3"/>
    </row>
    <row r="276" spans="2:2" ht="15.75" customHeight="1" x14ac:dyDescent="0.2">
      <c r="B276" s="3"/>
    </row>
    <row r="277" spans="2:2" ht="15.75" customHeight="1" x14ac:dyDescent="0.2">
      <c r="B277" s="3"/>
    </row>
    <row r="278" spans="2:2" ht="15.75" customHeight="1" x14ac:dyDescent="0.2">
      <c r="B278" s="3"/>
    </row>
    <row r="279" spans="2:2" ht="15.75" customHeight="1" x14ac:dyDescent="0.2">
      <c r="B279" s="3"/>
    </row>
    <row r="280" spans="2:2" ht="15.75" customHeight="1" x14ac:dyDescent="0.2">
      <c r="B280" s="3"/>
    </row>
    <row r="281" spans="2:2" ht="15.75" customHeight="1" x14ac:dyDescent="0.2">
      <c r="B281" s="3"/>
    </row>
    <row r="282" spans="2:2" ht="15.75" customHeight="1" x14ac:dyDescent="0.2">
      <c r="B282" s="3"/>
    </row>
    <row r="283" spans="2:2" ht="15.75" customHeight="1" x14ac:dyDescent="0.2">
      <c r="B283" s="3"/>
    </row>
    <row r="284" spans="2:2" ht="15.75" customHeight="1" x14ac:dyDescent="0.2">
      <c r="B284" s="3"/>
    </row>
    <row r="285" spans="2:2" ht="15.75" customHeight="1" x14ac:dyDescent="0.2">
      <c r="B285" s="3"/>
    </row>
    <row r="286" spans="2:2" ht="15.75" customHeight="1" x14ac:dyDescent="0.2">
      <c r="B286" s="3"/>
    </row>
    <row r="287" spans="2:2" ht="15.75" customHeight="1" x14ac:dyDescent="0.2">
      <c r="B287" s="3"/>
    </row>
    <row r="288" spans="2:2" ht="15.75" customHeight="1" x14ac:dyDescent="0.2">
      <c r="B288" s="3"/>
    </row>
    <row r="289" spans="2:2" ht="15.75" customHeight="1" x14ac:dyDescent="0.2">
      <c r="B289" s="3"/>
    </row>
    <row r="290" spans="2:2" ht="15.75" customHeight="1" x14ac:dyDescent="0.2">
      <c r="B290" s="3"/>
    </row>
    <row r="291" spans="2:2" ht="15.75" customHeight="1" x14ac:dyDescent="0.2">
      <c r="B291" s="3"/>
    </row>
    <row r="292" spans="2:2" ht="15.75" customHeight="1" x14ac:dyDescent="0.2">
      <c r="B292" s="3"/>
    </row>
    <row r="293" spans="2:2" ht="15.75" customHeight="1" x14ac:dyDescent="0.2">
      <c r="B293" s="3"/>
    </row>
    <row r="294" spans="2:2" ht="15.75" customHeight="1" x14ac:dyDescent="0.2">
      <c r="B294" s="3"/>
    </row>
    <row r="295" spans="2:2" ht="15.75" customHeight="1" x14ac:dyDescent="0.2">
      <c r="B295" s="3"/>
    </row>
    <row r="296" spans="2:2" ht="15.75" customHeight="1" x14ac:dyDescent="0.2">
      <c r="B296" s="3"/>
    </row>
    <row r="297" spans="2:2" ht="15.75" customHeight="1" x14ac:dyDescent="0.2">
      <c r="B297" s="3"/>
    </row>
    <row r="298" spans="2:2" ht="15.75" customHeight="1" x14ac:dyDescent="0.2">
      <c r="B298" s="3"/>
    </row>
    <row r="299" spans="2:2" ht="15.75" customHeight="1" x14ac:dyDescent="0.2">
      <c r="B299" s="3"/>
    </row>
    <row r="300" spans="2:2" ht="15.75" customHeight="1" x14ac:dyDescent="0.2">
      <c r="B300" s="3"/>
    </row>
    <row r="301" spans="2:2" ht="15.75" customHeight="1" x14ac:dyDescent="0.2">
      <c r="B301" s="3"/>
    </row>
    <row r="302" spans="2:2" ht="15.75" customHeight="1" x14ac:dyDescent="0.2">
      <c r="B302" s="3"/>
    </row>
    <row r="303" spans="2:2" ht="15.75" customHeight="1" x14ac:dyDescent="0.2">
      <c r="B303" s="3"/>
    </row>
    <row r="304" spans="2:2" ht="15.75" customHeight="1" x14ac:dyDescent="0.2">
      <c r="B304" s="3"/>
    </row>
    <row r="305" spans="2:2" ht="15.75" customHeight="1" x14ac:dyDescent="0.2">
      <c r="B305" s="3"/>
    </row>
    <row r="306" spans="2:2" ht="15.75" customHeight="1" x14ac:dyDescent="0.2">
      <c r="B306" s="3"/>
    </row>
    <row r="307" spans="2:2" ht="15.75" customHeight="1" x14ac:dyDescent="0.2">
      <c r="B307" s="3"/>
    </row>
    <row r="308" spans="2:2" ht="15.75" customHeight="1" x14ac:dyDescent="0.2">
      <c r="B308" s="3"/>
    </row>
    <row r="309" spans="2:2" ht="15.75" customHeight="1" x14ac:dyDescent="0.2">
      <c r="B309" s="3"/>
    </row>
    <row r="310" spans="2:2" ht="15.75" customHeight="1" x14ac:dyDescent="0.2">
      <c r="B310" s="3"/>
    </row>
    <row r="311" spans="2:2" ht="15.75" customHeight="1" x14ac:dyDescent="0.2">
      <c r="B311" s="3"/>
    </row>
    <row r="312" spans="2:2" ht="15.75" customHeight="1" x14ac:dyDescent="0.2">
      <c r="B312" s="3"/>
    </row>
    <row r="313" spans="2:2" ht="15.75" customHeight="1" x14ac:dyDescent="0.2">
      <c r="B313" s="3"/>
    </row>
    <row r="314" spans="2:2" ht="15.75" customHeight="1" x14ac:dyDescent="0.2">
      <c r="B314" s="3"/>
    </row>
    <row r="315" spans="2:2" ht="15.75" customHeight="1" x14ac:dyDescent="0.2">
      <c r="B315" s="3"/>
    </row>
    <row r="316" spans="2:2" ht="15.75" customHeight="1" x14ac:dyDescent="0.2">
      <c r="B316" s="3"/>
    </row>
    <row r="317" spans="2:2" ht="15.75" customHeight="1" x14ac:dyDescent="0.2">
      <c r="B317" s="3"/>
    </row>
    <row r="318" spans="2:2" ht="15.75" customHeight="1" x14ac:dyDescent="0.2">
      <c r="B318" s="3"/>
    </row>
    <row r="319" spans="2:2" ht="15.75" customHeight="1" x14ac:dyDescent="0.2">
      <c r="B319" s="3"/>
    </row>
    <row r="320" spans="2:2" ht="15.75" customHeight="1" x14ac:dyDescent="0.2">
      <c r="B320" s="3"/>
    </row>
    <row r="321" spans="2:2" ht="15.75" customHeight="1" x14ac:dyDescent="0.2">
      <c r="B321" s="3"/>
    </row>
    <row r="322" spans="2:2" ht="15.75" customHeight="1" x14ac:dyDescent="0.2">
      <c r="B322" s="3"/>
    </row>
    <row r="323" spans="2:2" ht="15.75" customHeight="1" x14ac:dyDescent="0.2">
      <c r="B323" s="3"/>
    </row>
    <row r="324" spans="2:2" ht="15.75" customHeight="1" x14ac:dyDescent="0.2">
      <c r="B324" s="3"/>
    </row>
    <row r="325" spans="2:2" ht="15.75" customHeight="1" x14ac:dyDescent="0.2">
      <c r="B325" s="3"/>
    </row>
    <row r="326" spans="2:2" ht="15.75" customHeight="1" x14ac:dyDescent="0.2">
      <c r="B326" s="3"/>
    </row>
    <row r="327" spans="2:2" ht="15.75" customHeight="1" x14ac:dyDescent="0.2">
      <c r="B327" s="3"/>
    </row>
    <row r="328" spans="2:2" ht="15.75" customHeight="1" x14ac:dyDescent="0.2">
      <c r="B328" s="3"/>
    </row>
    <row r="329" spans="2:2" ht="15.75" customHeight="1" x14ac:dyDescent="0.2">
      <c r="B329" s="3"/>
    </row>
    <row r="330" spans="2:2" ht="15.75" customHeight="1" x14ac:dyDescent="0.2">
      <c r="B330" s="3"/>
    </row>
    <row r="331" spans="2:2" ht="15.75" customHeight="1" x14ac:dyDescent="0.2">
      <c r="B331" s="3"/>
    </row>
    <row r="332" spans="2:2" ht="15.75" customHeight="1" x14ac:dyDescent="0.2">
      <c r="B332" s="3"/>
    </row>
    <row r="333" spans="2:2" ht="15.75" customHeight="1" x14ac:dyDescent="0.2">
      <c r="B333" s="3"/>
    </row>
    <row r="334" spans="2:2" ht="15.75" customHeight="1" x14ac:dyDescent="0.2">
      <c r="B334" s="3"/>
    </row>
    <row r="335" spans="2:2" ht="15.75" customHeight="1" x14ac:dyDescent="0.2">
      <c r="B335" s="3"/>
    </row>
    <row r="336" spans="2:2" ht="15.75" customHeight="1" x14ac:dyDescent="0.2">
      <c r="B336" s="3"/>
    </row>
    <row r="337" spans="2:2" ht="15.75" customHeight="1" x14ac:dyDescent="0.2">
      <c r="B337" s="3"/>
    </row>
    <row r="338" spans="2:2" ht="15.75" customHeight="1" x14ac:dyDescent="0.2">
      <c r="B338" s="3"/>
    </row>
    <row r="339" spans="2:2" ht="15.75" customHeight="1" x14ac:dyDescent="0.2">
      <c r="B339" s="3"/>
    </row>
    <row r="340" spans="2:2" ht="15.75" customHeight="1" x14ac:dyDescent="0.2">
      <c r="B340" s="3"/>
    </row>
    <row r="341" spans="2:2" ht="15.75" customHeight="1" x14ac:dyDescent="0.2">
      <c r="B341" s="3"/>
    </row>
    <row r="342" spans="2:2" ht="15.75" customHeight="1" x14ac:dyDescent="0.2">
      <c r="B342" s="3"/>
    </row>
    <row r="343" spans="2:2" ht="15.75" customHeight="1" x14ac:dyDescent="0.2">
      <c r="B343" s="3"/>
    </row>
    <row r="344" spans="2:2" ht="15.75" customHeight="1" x14ac:dyDescent="0.2">
      <c r="B344" s="3"/>
    </row>
    <row r="345" spans="2:2" ht="15.75" customHeight="1" x14ac:dyDescent="0.2">
      <c r="B345" s="3"/>
    </row>
    <row r="346" spans="2:2" ht="15.75" customHeight="1" x14ac:dyDescent="0.2">
      <c r="B346" s="3"/>
    </row>
    <row r="347" spans="2:2" ht="15.75" customHeight="1" x14ac:dyDescent="0.2">
      <c r="B347" s="3"/>
    </row>
    <row r="348" spans="2:2" ht="15.75" customHeight="1" x14ac:dyDescent="0.2">
      <c r="B348" s="3"/>
    </row>
    <row r="349" spans="2:2" ht="15.75" customHeight="1" x14ac:dyDescent="0.2">
      <c r="B349" s="3"/>
    </row>
    <row r="350" spans="2:2" ht="15.75" customHeight="1" x14ac:dyDescent="0.2">
      <c r="B350" s="3"/>
    </row>
    <row r="351" spans="2:2" ht="15.75" customHeight="1" x14ac:dyDescent="0.2">
      <c r="B351" s="3"/>
    </row>
    <row r="352" spans="2:2" ht="15.75" customHeight="1" x14ac:dyDescent="0.2">
      <c r="B352" s="3"/>
    </row>
    <row r="353" spans="2:2" ht="15.75" customHeight="1" x14ac:dyDescent="0.2">
      <c r="B353" s="3"/>
    </row>
    <row r="354" spans="2:2" ht="15.75" customHeight="1" x14ac:dyDescent="0.2">
      <c r="B354" s="3"/>
    </row>
    <row r="355" spans="2:2" ht="15.75" customHeight="1" x14ac:dyDescent="0.2">
      <c r="B355" s="3"/>
    </row>
    <row r="356" spans="2:2" ht="15.75" customHeight="1" x14ac:dyDescent="0.2">
      <c r="B356" s="3"/>
    </row>
    <row r="357" spans="2:2" ht="15.75" customHeight="1" x14ac:dyDescent="0.2">
      <c r="B357" s="3"/>
    </row>
    <row r="358" spans="2:2" ht="15.75" customHeight="1" x14ac:dyDescent="0.2">
      <c r="B358" s="3"/>
    </row>
    <row r="359" spans="2:2" ht="15.75" customHeight="1" x14ac:dyDescent="0.2">
      <c r="B359" s="3"/>
    </row>
    <row r="360" spans="2:2" ht="15.75" customHeight="1" x14ac:dyDescent="0.2">
      <c r="B360" s="3"/>
    </row>
    <row r="361" spans="2:2" ht="15.75" customHeight="1" x14ac:dyDescent="0.2">
      <c r="B361" s="3"/>
    </row>
    <row r="362" spans="2:2" ht="15.75" customHeight="1" x14ac:dyDescent="0.2">
      <c r="B362" s="3"/>
    </row>
    <row r="363" spans="2:2" ht="15.75" customHeight="1" x14ac:dyDescent="0.2">
      <c r="B363" s="3"/>
    </row>
    <row r="364" spans="2:2" ht="15.75" customHeight="1" x14ac:dyDescent="0.2">
      <c r="B364" s="3"/>
    </row>
    <row r="365" spans="2:2" ht="15.75" customHeight="1" x14ac:dyDescent="0.2">
      <c r="B365" s="3"/>
    </row>
    <row r="366" spans="2:2" ht="15.75" customHeight="1" x14ac:dyDescent="0.2">
      <c r="B366" s="3"/>
    </row>
    <row r="367" spans="2:2" ht="15.75" customHeight="1" x14ac:dyDescent="0.2">
      <c r="B367" s="3"/>
    </row>
    <row r="368" spans="2:2" ht="15.75" customHeight="1" x14ac:dyDescent="0.2">
      <c r="B368" s="3"/>
    </row>
    <row r="369" spans="2:2" ht="15.75" customHeight="1" x14ac:dyDescent="0.2">
      <c r="B369" s="3"/>
    </row>
    <row r="370" spans="2:2" ht="15.75" customHeight="1" x14ac:dyDescent="0.2">
      <c r="B370" s="3"/>
    </row>
    <row r="371" spans="2:2" ht="15.75" customHeight="1" x14ac:dyDescent="0.2">
      <c r="B371" s="3"/>
    </row>
    <row r="372" spans="2:2" ht="15.75" customHeight="1" x14ac:dyDescent="0.2">
      <c r="B372" s="3"/>
    </row>
    <row r="373" spans="2:2" ht="15.75" customHeight="1" x14ac:dyDescent="0.2">
      <c r="B373" s="3"/>
    </row>
    <row r="374" spans="2:2" ht="15.75" customHeight="1" x14ac:dyDescent="0.2">
      <c r="B374" s="3"/>
    </row>
    <row r="375" spans="2:2" ht="15.75" customHeight="1" x14ac:dyDescent="0.2">
      <c r="B375" s="3"/>
    </row>
    <row r="376" spans="2:2" ht="15.75" customHeight="1" x14ac:dyDescent="0.2">
      <c r="B376" s="3"/>
    </row>
    <row r="377" spans="2:2" ht="15.75" customHeight="1" x14ac:dyDescent="0.2">
      <c r="B377" s="3"/>
    </row>
    <row r="378" spans="2:2" ht="15.75" customHeight="1" x14ac:dyDescent="0.2">
      <c r="B378" s="3"/>
    </row>
    <row r="379" spans="2:2" ht="15.75" customHeight="1" x14ac:dyDescent="0.2">
      <c r="B379" s="3"/>
    </row>
    <row r="380" spans="2:2" ht="15.75" customHeight="1" x14ac:dyDescent="0.2">
      <c r="B380" s="3"/>
    </row>
    <row r="381" spans="2:2" ht="15.75" customHeight="1" x14ac:dyDescent="0.2">
      <c r="B381" s="3"/>
    </row>
    <row r="382" spans="2:2" ht="15.75" customHeight="1" x14ac:dyDescent="0.2">
      <c r="B382" s="3"/>
    </row>
    <row r="383" spans="2:2" ht="15.75" customHeight="1" x14ac:dyDescent="0.2">
      <c r="B383" s="3"/>
    </row>
    <row r="384" spans="2:2" ht="15.75" customHeight="1" x14ac:dyDescent="0.2">
      <c r="B384" s="3"/>
    </row>
    <row r="385" spans="2:2" ht="15.75" customHeight="1" x14ac:dyDescent="0.2">
      <c r="B385" s="3"/>
    </row>
    <row r="386" spans="2:2" ht="15.75" customHeight="1" x14ac:dyDescent="0.2">
      <c r="B386" s="3"/>
    </row>
    <row r="387" spans="2:2" ht="15.75" customHeight="1" x14ac:dyDescent="0.2">
      <c r="B387" s="3"/>
    </row>
    <row r="388" spans="2:2" ht="15.75" customHeight="1" x14ac:dyDescent="0.2">
      <c r="B388" s="3"/>
    </row>
    <row r="389" spans="2:2" ht="15.75" customHeight="1" x14ac:dyDescent="0.2">
      <c r="B389" s="3"/>
    </row>
    <row r="390" spans="2:2" ht="15.75" customHeight="1" x14ac:dyDescent="0.2">
      <c r="B390" s="3"/>
    </row>
    <row r="391" spans="2:2" ht="15.75" customHeight="1" x14ac:dyDescent="0.2">
      <c r="B391" s="3"/>
    </row>
    <row r="392" spans="2:2" ht="15.75" customHeight="1" x14ac:dyDescent="0.2">
      <c r="B392" s="3"/>
    </row>
    <row r="393" spans="2:2" ht="15.75" customHeight="1" x14ac:dyDescent="0.2">
      <c r="B393" s="3"/>
    </row>
    <row r="394" spans="2:2" ht="15.75" customHeight="1" x14ac:dyDescent="0.2">
      <c r="B394" s="3"/>
    </row>
    <row r="395" spans="2:2" ht="15.75" customHeight="1" x14ac:dyDescent="0.2">
      <c r="B395" s="3"/>
    </row>
    <row r="396" spans="2:2" ht="15.75" customHeight="1" x14ac:dyDescent="0.2">
      <c r="B396" s="3"/>
    </row>
    <row r="397" spans="2:2" ht="15.75" customHeight="1" x14ac:dyDescent="0.2">
      <c r="B397" s="3"/>
    </row>
    <row r="398" spans="2:2" ht="15.75" customHeight="1" x14ac:dyDescent="0.2">
      <c r="B398" s="3"/>
    </row>
    <row r="399" spans="2:2" ht="15.75" customHeight="1" x14ac:dyDescent="0.2">
      <c r="B399" s="3"/>
    </row>
    <row r="400" spans="2:2" ht="15.75" customHeight="1" x14ac:dyDescent="0.2">
      <c r="B400" s="3"/>
    </row>
    <row r="401" spans="2:2" ht="15.75" customHeight="1" x14ac:dyDescent="0.2">
      <c r="B401" s="3"/>
    </row>
    <row r="402" spans="2:2" ht="15.75" customHeight="1" x14ac:dyDescent="0.2">
      <c r="B402" s="3"/>
    </row>
    <row r="403" spans="2:2" ht="15.75" customHeight="1" x14ac:dyDescent="0.2">
      <c r="B403" s="3"/>
    </row>
    <row r="404" spans="2:2" ht="15.75" customHeight="1" x14ac:dyDescent="0.2">
      <c r="B404" s="3"/>
    </row>
    <row r="405" spans="2:2" ht="15.75" customHeight="1" x14ac:dyDescent="0.2">
      <c r="B405" s="3"/>
    </row>
    <row r="406" spans="2:2" ht="15.75" customHeight="1" x14ac:dyDescent="0.2">
      <c r="B406" s="3"/>
    </row>
    <row r="407" spans="2:2" ht="15.75" customHeight="1" x14ac:dyDescent="0.2">
      <c r="B407" s="3"/>
    </row>
    <row r="408" spans="2:2" ht="15.75" customHeight="1" x14ac:dyDescent="0.2">
      <c r="B408" s="3"/>
    </row>
    <row r="409" spans="2:2" ht="15.75" customHeight="1" x14ac:dyDescent="0.2">
      <c r="B409" s="3"/>
    </row>
    <row r="410" spans="2:2" ht="15.75" customHeight="1" x14ac:dyDescent="0.2">
      <c r="B410" s="3"/>
    </row>
    <row r="411" spans="2:2" ht="15.75" customHeight="1" x14ac:dyDescent="0.2">
      <c r="B411" s="3"/>
    </row>
    <row r="412" spans="2:2" ht="15.75" customHeight="1" x14ac:dyDescent="0.2">
      <c r="B412" s="3"/>
    </row>
    <row r="413" spans="2:2" ht="15.75" customHeight="1" x14ac:dyDescent="0.2">
      <c r="B413" s="3"/>
    </row>
    <row r="414" spans="2:2" ht="15.75" customHeight="1" x14ac:dyDescent="0.2">
      <c r="B414" s="3"/>
    </row>
    <row r="415" spans="2:2" ht="15.75" customHeight="1" x14ac:dyDescent="0.2">
      <c r="B415" s="3"/>
    </row>
    <row r="416" spans="2:2" ht="15.75" customHeight="1" x14ac:dyDescent="0.2">
      <c r="B416" s="3"/>
    </row>
    <row r="417" spans="2:2" ht="15.75" customHeight="1" x14ac:dyDescent="0.2">
      <c r="B417" s="3"/>
    </row>
    <row r="418" spans="2:2" ht="15.75" customHeight="1" x14ac:dyDescent="0.2">
      <c r="B418" s="3"/>
    </row>
    <row r="419" spans="2:2" ht="15.75" customHeight="1" x14ac:dyDescent="0.2">
      <c r="B419" s="3"/>
    </row>
    <row r="420" spans="2:2" ht="15.75" customHeight="1" x14ac:dyDescent="0.2">
      <c r="B420" s="3"/>
    </row>
    <row r="421" spans="2:2" ht="15.75" customHeight="1" x14ac:dyDescent="0.2">
      <c r="B421" s="3"/>
    </row>
    <row r="422" spans="2:2" ht="15.75" customHeight="1" x14ac:dyDescent="0.2">
      <c r="B422" s="3"/>
    </row>
    <row r="423" spans="2:2" ht="15.75" customHeight="1" x14ac:dyDescent="0.2">
      <c r="B423" s="3"/>
    </row>
    <row r="424" spans="2:2" ht="15.75" customHeight="1" x14ac:dyDescent="0.2">
      <c r="B424" s="3"/>
    </row>
    <row r="425" spans="2:2" ht="15.75" customHeight="1" x14ac:dyDescent="0.2">
      <c r="B425" s="3"/>
    </row>
    <row r="426" spans="2:2" ht="15.75" customHeight="1" x14ac:dyDescent="0.2">
      <c r="B426" s="3"/>
    </row>
    <row r="427" spans="2:2" ht="15.75" customHeight="1" x14ac:dyDescent="0.2">
      <c r="B427" s="3"/>
    </row>
    <row r="428" spans="2:2" ht="15.75" customHeight="1" x14ac:dyDescent="0.2">
      <c r="B428" s="3"/>
    </row>
    <row r="429" spans="2:2" ht="15.75" customHeight="1" x14ac:dyDescent="0.2">
      <c r="B429" s="3"/>
    </row>
    <row r="430" spans="2:2" ht="15.75" customHeight="1" x14ac:dyDescent="0.2">
      <c r="B430" s="3"/>
    </row>
    <row r="431" spans="2:2" ht="15.75" customHeight="1" x14ac:dyDescent="0.2">
      <c r="B431" s="3"/>
    </row>
    <row r="432" spans="2:2" ht="15.75" customHeight="1" x14ac:dyDescent="0.2">
      <c r="B432" s="3"/>
    </row>
    <row r="433" spans="2:2" ht="15.75" customHeight="1" x14ac:dyDescent="0.2">
      <c r="B433" s="3"/>
    </row>
    <row r="434" spans="2:2" ht="15.75" customHeight="1" x14ac:dyDescent="0.2">
      <c r="B434" s="3"/>
    </row>
    <row r="435" spans="2:2" ht="15.75" customHeight="1" x14ac:dyDescent="0.2">
      <c r="B435" s="3"/>
    </row>
    <row r="436" spans="2:2" ht="15.75" customHeight="1" x14ac:dyDescent="0.2">
      <c r="B436" s="3"/>
    </row>
    <row r="437" spans="2:2" ht="15.75" customHeight="1" x14ac:dyDescent="0.2">
      <c r="B437" s="3"/>
    </row>
    <row r="438" spans="2:2" ht="15.75" customHeight="1" x14ac:dyDescent="0.2">
      <c r="B438" s="3"/>
    </row>
    <row r="439" spans="2:2" ht="15.75" customHeight="1" x14ac:dyDescent="0.2">
      <c r="B439" s="3"/>
    </row>
    <row r="440" spans="2:2" ht="15.75" customHeight="1" x14ac:dyDescent="0.2">
      <c r="B440" s="3"/>
    </row>
    <row r="441" spans="2:2" ht="15.75" customHeight="1" x14ac:dyDescent="0.2">
      <c r="B441" s="3"/>
    </row>
    <row r="442" spans="2:2" ht="15.75" customHeight="1" x14ac:dyDescent="0.2">
      <c r="B442" s="3"/>
    </row>
    <row r="443" spans="2:2" ht="15.75" customHeight="1" x14ac:dyDescent="0.2">
      <c r="B443" s="3"/>
    </row>
    <row r="444" spans="2:2" ht="15.75" customHeight="1" x14ac:dyDescent="0.2">
      <c r="B444" s="3"/>
    </row>
    <row r="445" spans="2:2" ht="15.75" customHeight="1" x14ac:dyDescent="0.2">
      <c r="B445" s="3"/>
    </row>
    <row r="446" spans="2:2" ht="15.75" customHeight="1" x14ac:dyDescent="0.2">
      <c r="B446" s="3"/>
    </row>
    <row r="447" spans="2:2" ht="15.75" customHeight="1" x14ac:dyDescent="0.2">
      <c r="B447" s="3"/>
    </row>
    <row r="448" spans="2:2" ht="15.75" customHeight="1" x14ac:dyDescent="0.2">
      <c r="B448" s="3"/>
    </row>
    <row r="449" spans="2:2" ht="15.75" customHeight="1" x14ac:dyDescent="0.2">
      <c r="B449" s="3"/>
    </row>
    <row r="450" spans="2:2" ht="15.75" customHeight="1" x14ac:dyDescent="0.2">
      <c r="B450" s="3"/>
    </row>
    <row r="451" spans="2:2" ht="15.75" customHeight="1" x14ac:dyDescent="0.2">
      <c r="B451" s="3"/>
    </row>
    <row r="452" spans="2:2" ht="15.75" customHeight="1" x14ac:dyDescent="0.2">
      <c r="B452" s="3"/>
    </row>
    <row r="453" spans="2:2" ht="15.75" customHeight="1" x14ac:dyDescent="0.2">
      <c r="B453" s="3"/>
    </row>
    <row r="454" spans="2:2" ht="15.75" customHeight="1" x14ac:dyDescent="0.2">
      <c r="B454" s="3"/>
    </row>
    <row r="455" spans="2:2" ht="15.75" customHeight="1" x14ac:dyDescent="0.2">
      <c r="B455" s="3"/>
    </row>
    <row r="456" spans="2:2" ht="15.75" customHeight="1" x14ac:dyDescent="0.2">
      <c r="B456" s="3"/>
    </row>
    <row r="457" spans="2:2" ht="15.75" customHeight="1" x14ac:dyDescent="0.2">
      <c r="B457" s="3"/>
    </row>
    <row r="458" spans="2:2" ht="15.75" customHeight="1" x14ac:dyDescent="0.2">
      <c r="B458" s="3"/>
    </row>
    <row r="459" spans="2:2" ht="15.75" customHeight="1" x14ac:dyDescent="0.2">
      <c r="B459" s="3"/>
    </row>
    <row r="460" spans="2:2" ht="15.75" customHeight="1" x14ac:dyDescent="0.2">
      <c r="B460" s="3"/>
    </row>
    <row r="461" spans="2:2" ht="15.75" customHeight="1" x14ac:dyDescent="0.2">
      <c r="B461" s="3"/>
    </row>
    <row r="462" spans="2:2" ht="15.75" customHeight="1" x14ac:dyDescent="0.2">
      <c r="B462" s="3"/>
    </row>
    <row r="463" spans="2:2" ht="15.75" customHeight="1" x14ac:dyDescent="0.2">
      <c r="B463" s="3"/>
    </row>
    <row r="464" spans="2:2" ht="15.75" customHeight="1" x14ac:dyDescent="0.2">
      <c r="B464" s="3"/>
    </row>
    <row r="465" spans="2:2" ht="15.75" customHeight="1" x14ac:dyDescent="0.2">
      <c r="B465" s="3"/>
    </row>
    <row r="466" spans="2:2" ht="15.75" customHeight="1" x14ac:dyDescent="0.2">
      <c r="B466" s="3"/>
    </row>
    <row r="467" spans="2:2" ht="15.75" customHeight="1" x14ac:dyDescent="0.2">
      <c r="B467" s="3"/>
    </row>
    <row r="468" spans="2:2" ht="15.75" customHeight="1" x14ac:dyDescent="0.2">
      <c r="B468" s="3"/>
    </row>
    <row r="469" spans="2:2" ht="15.75" customHeight="1" x14ac:dyDescent="0.2">
      <c r="B469" s="3"/>
    </row>
    <row r="470" spans="2:2" ht="15.75" customHeight="1" x14ac:dyDescent="0.2">
      <c r="B470" s="3"/>
    </row>
    <row r="471" spans="2:2" ht="15.75" customHeight="1" x14ac:dyDescent="0.2">
      <c r="B471" s="3"/>
    </row>
    <row r="472" spans="2:2" ht="15.75" customHeight="1" x14ac:dyDescent="0.2">
      <c r="B472" s="3"/>
    </row>
    <row r="473" spans="2:2" ht="15.75" customHeight="1" x14ac:dyDescent="0.2">
      <c r="B473" s="3"/>
    </row>
    <row r="474" spans="2:2" ht="15.75" customHeight="1" x14ac:dyDescent="0.2">
      <c r="B474" s="3"/>
    </row>
    <row r="475" spans="2:2" ht="15.75" customHeight="1" x14ac:dyDescent="0.2">
      <c r="B475" s="3"/>
    </row>
    <row r="476" spans="2:2" ht="15.75" customHeight="1" x14ac:dyDescent="0.2">
      <c r="B476" s="3"/>
    </row>
    <row r="477" spans="2:2" ht="15.75" customHeight="1" x14ac:dyDescent="0.2">
      <c r="B477" s="3"/>
    </row>
    <row r="478" spans="2:2" ht="15.75" customHeight="1" x14ac:dyDescent="0.2">
      <c r="B478" s="3"/>
    </row>
    <row r="479" spans="2:2" ht="15.75" customHeight="1" x14ac:dyDescent="0.2">
      <c r="B479" s="3"/>
    </row>
    <row r="480" spans="2:2" ht="15.75" customHeight="1" x14ac:dyDescent="0.2">
      <c r="B480" s="3"/>
    </row>
    <row r="481" spans="2:2" ht="15.75" customHeight="1" x14ac:dyDescent="0.2">
      <c r="B481" s="3"/>
    </row>
    <row r="482" spans="2:2" ht="15.75" customHeight="1" x14ac:dyDescent="0.2">
      <c r="B482" s="3"/>
    </row>
    <row r="483" spans="2:2" ht="15.75" customHeight="1" x14ac:dyDescent="0.2">
      <c r="B483" s="3"/>
    </row>
    <row r="484" spans="2:2" ht="15.75" customHeight="1" x14ac:dyDescent="0.2">
      <c r="B484" s="3"/>
    </row>
    <row r="485" spans="2:2" ht="15.75" customHeight="1" x14ac:dyDescent="0.2">
      <c r="B485" s="3"/>
    </row>
    <row r="486" spans="2:2" ht="15.75" customHeight="1" x14ac:dyDescent="0.2">
      <c r="B486" s="3"/>
    </row>
    <row r="487" spans="2:2" ht="15.75" customHeight="1" x14ac:dyDescent="0.2">
      <c r="B487" s="3"/>
    </row>
    <row r="488" spans="2:2" ht="15.75" customHeight="1" x14ac:dyDescent="0.2">
      <c r="B488" s="3"/>
    </row>
    <row r="489" spans="2:2" ht="15.75" customHeight="1" x14ac:dyDescent="0.2">
      <c r="B489" s="3"/>
    </row>
    <row r="490" spans="2:2" ht="15.75" customHeight="1" x14ac:dyDescent="0.2">
      <c r="B490" s="3"/>
    </row>
    <row r="491" spans="2:2" ht="15.75" customHeight="1" x14ac:dyDescent="0.2">
      <c r="B491" s="3"/>
    </row>
    <row r="492" spans="2:2" ht="15.75" customHeight="1" x14ac:dyDescent="0.2">
      <c r="B492" s="3"/>
    </row>
    <row r="493" spans="2:2" ht="15.75" customHeight="1" x14ac:dyDescent="0.2">
      <c r="B493" s="3"/>
    </row>
    <row r="494" spans="2:2" ht="15.75" customHeight="1" x14ac:dyDescent="0.2">
      <c r="B494" s="3"/>
    </row>
    <row r="495" spans="2:2" ht="15.75" customHeight="1" x14ac:dyDescent="0.2">
      <c r="B495" s="3"/>
    </row>
    <row r="496" spans="2:2" ht="15.75" customHeight="1" x14ac:dyDescent="0.2">
      <c r="B496" s="3"/>
    </row>
    <row r="497" spans="2:2" ht="15.75" customHeight="1" x14ac:dyDescent="0.2">
      <c r="B497" s="3"/>
    </row>
    <row r="498" spans="2:2" ht="15.75" customHeight="1" x14ac:dyDescent="0.2">
      <c r="B498" s="3"/>
    </row>
    <row r="499" spans="2:2" ht="15.75" customHeight="1" x14ac:dyDescent="0.2">
      <c r="B499" s="3"/>
    </row>
    <row r="500" spans="2:2" ht="15.75" customHeight="1" x14ac:dyDescent="0.2">
      <c r="B500" s="3"/>
    </row>
    <row r="501" spans="2:2" ht="15.75" customHeight="1" x14ac:dyDescent="0.2">
      <c r="B501" s="3"/>
    </row>
    <row r="502" spans="2:2" ht="15.75" customHeight="1" x14ac:dyDescent="0.2">
      <c r="B502" s="3"/>
    </row>
    <row r="503" spans="2:2" ht="15.75" customHeight="1" x14ac:dyDescent="0.2">
      <c r="B503" s="3"/>
    </row>
    <row r="504" spans="2:2" ht="15.75" customHeight="1" x14ac:dyDescent="0.2">
      <c r="B504" s="3"/>
    </row>
    <row r="505" spans="2:2" ht="15.75" customHeight="1" x14ac:dyDescent="0.2">
      <c r="B505" s="3"/>
    </row>
    <row r="506" spans="2:2" ht="15.75" customHeight="1" x14ac:dyDescent="0.2">
      <c r="B506" s="3"/>
    </row>
    <row r="507" spans="2:2" ht="15.75" customHeight="1" x14ac:dyDescent="0.2">
      <c r="B507" s="3"/>
    </row>
    <row r="508" spans="2:2" ht="15.75" customHeight="1" x14ac:dyDescent="0.2">
      <c r="B508" s="3"/>
    </row>
    <row r="509" spans="2:2" ht="15.75" customHeight="1" x14ac:dyDescent="0.2">
      <c r="B509" s="3"/>
    </row>
    <row r="510" spans="2:2" ht="15.75" customHeight="1" x14ac:dyDescent="0.2">
      <c r="B510" s="3"/>
    </row>
    <row r="511" spans="2:2" ht="15.75" customHeight="1" x14ac:dyDescent="0.2">
      <c r="B511" s="3"/>
    </row>
    <row r="512" spans="2:2" ht="15.75" customHeight="1" x14ac:dyDescent="0.2">
      <c r="B512" s="3"/>
    </row>
    <row r="513" spans="2:2" ht="15.75" customHeight="1" x14ac:dyDescent="0.2">
      <c r="B513" s="3"/>
    </row>
    <row r="514" spans="2:2" ht="15.75" customHeight="1" x14ac:dyDescent="0.2">
      <c r="B514" s="3"/>
    </row>
    <row r="515" spans="2:2" ht="15.75" customHeight="1" x14ac:dyDescent="0.2">
      <c r="B515" s="3"/>
    </row>
    <row r="516" spans="2:2" ht="15.75" customHeight="1" x14ac:dyDescent="0.2">
      <c r="B516" s="3"/>
    </row>
    <row r="517" spans="2:2" ht="15.75" customHeight="1" x14ac:dyDescent="0.2">
      <c r="B517" s="3"/>
    </row>
    <row r="518" spans="2:2" ht="15.75" customHeight="1" x14ac:dyDescent="0.2">
      <c r="B518" s="3"/>
    </row>
    <row r="519" spans="2:2" ht="15.75" customHeight="1" x14ac:dyDescent="0.2">
      <c r="B519" s="3"/>
    </row>
    <row r="520" spans="2:2" ht="15.75" customHeight="1" x14ac:dyDescent="0.2">
      <c r="B520" s="3"/>
    </row>
    <row r="521" spans="2:2" ht="15.75" customHeight="1" x14ac:dyDescent="0.2">
      <c r="B521" s="3"/>
    </row>
    <row r="522" spans="2:2" ht="15.75" customHeight="1" x14ac:dyDescent="0.2">
      <c r="B522" s="3"/>
    </row>
    <row r="523" spans="2:2" ht="15.75" customHeight="1" x14ac:dyDescent="0.2">
      <c r="B523" s="3"/>
    </row>
    <row r="524" spans="2:2" ht="15.75" customHeight="1" x14ac:dyDescent="0.2">
      <c r="B524" s="3"/>
    </row>
    <row r="525" spans="2:2" ht="15.75" customHeight="1" x14ac:dyDescent="0.2">
      <c r="B525" s="3"/>
    </row>
    <row r="526" spans="2:2" ht="15.75" customHeight="1" x14ac:dyDescent="0.2">
      <c r="B526" s="3"/>
    </row>
    <row r="527" spans="2:2" ht="15.75" customHeight="1" x14ac:dyDescent="0.2">
      <c r="B527" s="3"/>
    </row>
    <row r="528" spans="2:2" ht="15.75" customHeight="1" x14ac:dyDescent="0.2">
      <c r="B528" s="3"/>
    </row>
    <row r="529" spans="2:2" ht="15.75" customHeight="1" x14ac:dyDescent="0.2">
      <c r="B529" s="3"/>
    </row>
    <row r="530" spans="2:2" ht="15.75" customHeight="1" x14ac:dyDescent="0.2">
      <c r="B530" s="3"/>
    </row>
    <row r="531" spans="2:2" ht="15.75" customHeight="1" x14ac:dyDescent="0.2">
      <c r="B531" s="3"/>
    </row>
    <row r="532" spans="2:2" ht="15.75" customHeight="1" x14ac:dyDescent="0.2">
      <c r="B532" s="3"/>
    </row>
    <row r="533" spans="2:2" ht="15.75" customHeight="1" x14ac:dyDescent="0.2">
      <c r="B533" s="3"/>
    </row>
    <row r="534" spans="2:2" ht="15.75" customHeight="1" x14ac:dyDescent="0.2">
      <c r="B534" s="3"/>
    </row>
    <row r="535" spans="2:2" ht="15.75" customHeight="1" x14ac:dyDescent="0.2">
      <c r="B535" s="3"/>
    </row>
    <row r="536" spans="2:2" ht="15.75" customHeight="1" x14ac:dyDescent="0.2">
      <c r="B536" s="3"/>
    </row>
    <row r="537" spans="2:2" ht="15.75" customHeight="1" x14ac:dyDescent="0.2">
      <c r="B537" s="3"/>
    </row>
    <row r="538" spans="2:2" ht="15.75" customHeight="1" x14ac:dyDescent="0.2">
      <c r="B538" s="3"/>
    </row>
    <row r="539" spans="2:2" ht="15.75" customHeight="1" x14ac:dyDescent="0.2">
      <c r="B539" s="3"/>
    </row>
    <row r="540" spans="2:2" ht="15.75" customHeight="1" x14ac:dyDescent="0.2">
      <c r="B540" s="3"/>
    </row>
    <row r="541" spans="2:2" ht="15.75" customHeight="1" x14ac:dyDescent="0.2">
      <c r="B541" s="3"/>
    </row>
    <row r="542" spans="2:2" ht="15.75" customHeight="1" x14ac:dyDescent="0.2">
      <c r="B542" s="3"/>
    </row>
    <row r="543" spans="2:2" ht="15.75" customHeight="1" x14ac:dyDescent="0.2">
      <c r="B543" s="3"/>
    </row>
    <row r="544" spans="2:2" ht="15.75" customHeight="1" x14ac:dyDescent="0.2">
      <c r="B544" s="3"/>
    </row>
    <row r="545" spans="2:2" ht="15.75" customHeight="1" x14ac:dyDescent="0.2">
      <c r="B545" s="3"/>
    </row>
    <row r="546" spans="2:2" ht="15.75" customHeight="1" x14ac:dyDescent="0.2">
      <c r="B546" s="3"/>
    </row>
    <row r="547" spans="2:2" ht="15.75" customHeight="1" x14ac:dyDescent="0.2">
      <c r="B547" s="3"/>
    </row>
    <row r="548" spans="2:2" ht="15.75" customHeight="1" x14ac:dyDescent="0.2">
      <c r="B548" s="3"/>
    </row>
    <row r="549" spans="2:2" ht="15.75" customHeight="1" x14ac:dyDescent="0.2">
      <c r="B549" s="3"/>
    </row>
    <row r="550" spans="2:2" ht="15.75" customHeight="1" x14ac:dyDescent="0.2">
      <c r="B550" s="3"/>
    </row>
    <row r="551" spans="2:2" ht="15.75" customHeight="1" x14ac:dyDescent="0.2">
      <c r="B551" s="3"/>
    </row>
    <row r="552" spans="2:2" ht="15.75" customHeight="1" x14ac:dyDescent="0.2">
      <c r="B552" s="3"/>
    </row>
    <row r="553" spans="2:2" ht="15.75" customHeight="1" x14ac:dyDescent="0.2">
      <c r="B553" s="3"/>
    </row>
    <row r="554" spans="2:2" ht="15.75" customHeight="1" x14ac:dyDescent="0.2">
      <c r="B554" s="3"/>
    </row>
    <row r="555" spans="2:2" ht="15.75" customHeight="1" x14ac:dyDescent="0.2">
      <c r="B555" s="3"/>
    </row>
    <row r="556" spans="2:2" ht="15.75" customHeight="1" x14ac:dyDescent="0.2">
      <c r="B556" s="3"/>
    </row>
    <row r="557" spans="2:2" ht="15.75" customHeight="1" x14ac:dyDescent="0.2">
      <c r="B557" s="3"/>
    </row>
    <row r="558" spans="2:2" ht="15.75" customHeight="1" x14ac:dyDescent="0.2">
      <c r="B558" s="3"/>
    </row>
    <row r="559" spans="2:2" ht="15.75" customHeight="1" x14ac:dyDescent="0.2">
      <c r="B559" s="3"/>
    </row>
    <row r="560" spans="2:2" ht="15.75" customHeight="1" x14ac:dyDescent="0.2">
      <c r="B560" s="3"/>
    </row>
    <row r="561" spans="2:2" ht="15.75" customHeight="1" x14ac:dyDescent="0.2">
      <c r="B561" s="3"/>
    </row>
    <row r="562" spans="2:2" ht="15.75" customHeight="1" x14ac:dyDescent="0.2">
      <c r="B562" s="3"/>
    </row>
    <row r="563" spans="2:2" ht="15.75" customHeight="1" x14ac:dyDescent="0.2">
      <c r="B563" s="3"/>
    </row>
    <row r="564" spans="2:2" ht="15.75" customHeight="1" x14ac:dyDescent="0.2">
      <c r="B564" s="3"/>
    </row>
    <row r="565" spans="2:2" ht="15.75" customHeight="1" x14ac:dyDescent="0.2">
      <c r="B565" s="3"/>
    </row>
    <row r="566" spans="2:2" ht="15.75" customHeight="1" x14ac:dyDescent="0.2">
      <c r="B566" s="3"/>
    </row>
    <row r="567" spans="2:2" ht="15.75" customHeight="1" x14ac:dyDescent="0.2">
      <c r="B567" s="3"/>
    </row>
    <row r="568" spans="2:2" ht="15.75" customHeight="1" x14ac:dyDescent="0.2">
      <c r="B568" s="3"/>
    </row>
    <row r="569" spans="2:2" ht="15.75" customHeight="1" x14ac:dyDescent="0.2">
      <c r="B569" s="3"/>
    </row>
    <row r="570" spans="2:2" ht="15.75" customHeight="1" x14ac:dyDescent="0.2">
      <c r="B570" s="3"/>
    </row>
    <row r="571" spans="2:2" ht="15.75" customHeight="1" x14ac:dyDescent="0.2">
      <c r="B571" s="3"/>
    </row>
    <row r="572" spans="2:2" ht="15.75" customHeight="1" x14ac:dyDescent="0.2">
      <c r="B572" s="3"/>
    </row>
    <row r="573" spans="2:2" ht="15.75" customHeight="1" x14ac:dyDescent="0.2">
      <c r="B573" s="3"/>
    </row>
    <row r="574" spans="2:2" ht="15.75" customHeight="1" x14ac:dyDescent="0.2">
      <c r="B574" s="3"/>
    </row>
    <row r="575" spans="2:2" ht="15.75" customHeight="1" x14ac:dyDescent="0.2">
      <c r="B575" s="3"/>
    </row>
    <row r="576" spans="2:2" ht="15.75" customHeight="1" x14ac:dyDescent="0.2">
      <c r="B576" s="3"/>
    </row>
    <row r="577" spans="2:2" ht="15.75" customHeight="1" x14ac:dyDescent="0.2">
      <c r="B577" s="3"/>
    </row>
    <row r="578" spans="2:2" ht="15.75" customHeight="1" x14ac:dyDescent="0.2">
      <c r="B578" s="3"/>
    </row>
    <row r="579" spans="2:2" ht="15.75" customHeight="1" x14ac:dyDescent="0.2">
      <c r="B579" s="3"/>
    </row>
    <row r="580" spans="2:2" ht="15.75" customHeight="1" x14ac:dyDescent="0.2">
      <c r="B580" s="3"/>
    </row>
    <row r="581" spans="2:2" ht="15.75" customHeight="1" x14ac:dyDescent="0.2">
      <c r="B581" s="3"/>
    </row>
    <row r="582" spans="2:2" ht="15.75" customHeight="1" x14ac:dyDescent="0.2">
      <c r="B582" s="3"/>
    </row>
    <row r="583" spans="2:2" ht="15.75" customHeight="1" x14ac:dyDescent="0.2">
      <c r="B583" s="3"/>
    </row>
    <row r="584" spans="2:2" ht="15.75" customHeight="1" x14ac:dyDescent="0.2">
      <c r="B584" s="3"/>
    </row>
    <row r="585" spans="2:2" ht="15.75" customHeight="1" x14ac:dyDescent="0.2">
      <c r="B585" s="3"/>
    </row>
    <row r="586" spans="2:2" ht="15.75" customHeight="1" x14ac:dyDescent="0.2">
      <c r="B586" s="3"/>
    </row>
    <row r="587" spans="2:2" ht="15.75" customHeight="1" x14ac:dyDescent="0.2">
      <c r="B587" s="3"/>
    </row>
    <row r="588" spans="2:2" ht="15.75" customHeight="1" x14ac:dyDescent="0.2">
      <c r="B588" s="3"/>
    </row>
    <row r="589" spans="2:2" ht="15.75" customHeight="1" x14ac:dyDescent="0.2">
      <c r="B589" s="3"/>
    </row>
    <row r="590" spans="2:2" ht="15.75" customHeight="1" x14ac:dyDescent="0.2">
      <c r="B590" s="3"/>
    </row>
    <row r="591" spans="2:2" ht="15.75" customHeight="1" x14ac:dyDescent="0.2">
      <c r="B591" s="3"/>
    </row>
    <row r="592" spans="2:2" ht="15.75" customHeight="1" x14ac:dyDescent="0.2">
      <c r="B592" s="3"/>
    </row>
    <row r="593" spans="2:2" ht="15.75" customHeight="1" x14ac:dyDescent="0.2">
      <c r="B593" s="3"/>
    </row>
    <row r="594" spans="2:2" ht="15.75" customHeight="1" x14ac:dyDescent="0.2">
      <c r="B594" s="3"/>
    </row>
    <row r="595" spans="2:2" ht="15.75" customHeight="1" x14ac:dyDescent="0.2">
      <c r="B595" s="3"/>
    </row>
    <row r="596" spans="2:2" ht="15.75" customHeight="1" x14ac:dyDescent="0.2">
      <c r="B596" s="3"/>
    </row>
    <row r="597" spans="2:2" ht="15.75" customHeight="1" x14ac:dyDescent="0.2">
      <c r="B597" s="3"/>
    </row>
    <row r="598" spans="2:2" ht="15.75" customHeight="1" x14ac:dyDescent="0.2">
      <c r="B598" s="3"/>
    </row>
    <row r="599" spans="2:2" ht="15.75" customHeight="1" x14ac:dyDescent="0.2">
      <c r="B599" s="3"/>
    </row>
    <row r="600" spans="2:2" ht="15.75" customHeight="1" x14ac:dyDescent="0.2">
      <c r="B600" s="3"/>
    </row>
    <row r="601" spans="2:2" ht="15.75" customHeight="1" x14ac:dyDescent="0.2">
      <c r="B601" s="3"/>
    </row>
    <row r="602" spans="2:2" ht="15.75" customHeight="1" x14ac:dyDescent="0.2">
      <c r="B602" s="3"/>
    </row>
    <row r="603" spans="2:2" ht="15.75" customHeight="1" x14ac:dyDescent="0.2">
      <c r="B603" s="3"/>
    </row>
    <row r="604" spans="2:2" ht="15.75" customHeight="1" x14ac:dyDescent="0.2">
      <c r="B604" s="3"/>
    </row>
    <row r="605" spans="2:2" ht="15.75" customHeight="1" x14ac:dyDescent="0.2">
      <c r="B605" s="3"/>
    </row>
    <row r="606" spans="2:2" ht="15.75" customHeight="1" x14ac:dyDescent="0.2">
      <c r="B606" s="3"/>
    </row>
    <row r="607" spans="2:2" ht="15.75" customHeight="1" x14ac:dyDescent="0.2">
      <c r="B607" s="3"/>
    </row>
    <row r="608" spans="2:2" ht="15.75" customHeight="1" x14ac:dyDescent="0.2">
      <c r="B608" s="3"/>
    </row>
    <row r="609" spans="2:2" ht="15.75" customHeight="1" x14ac:dyDescent="0.2">
      <c r="B609" s="3"/>
    </row>
    <row r="610" spans="2:2" ht="15.75" customHeight="1" x14ac:dyDescent="0.2">
      <c r="B610" s="3"/>
    </row>
    <row r="611" spans="2:2" ht="15.75" customHeight="1" x14ac:dyDescent="0.2">
      <c r="B611" s="3"/>
    </row>
    <row r="612" spans="2:2" ht="15.75" customHeight="1" x14ac:dyDescent="0.2">
      <c r="B612" s="3"/>
    </row>
    <row r="613" spans="2:2" ht="15.75" customHeight="1" x14ac:dyDescent="0.2">
      <c r="B613" s="3"/>
    </row>
    <row r="614" spans="2:2" ht="15.75" customHeight="1" x14ac:dyDescent="0.2">
      <c r="B614" s="3"/>
    </row>
    <row r="615" spans="2:2" ht="15.75" customHeight="1" x14ac:dyDescent="0.2">
      <c r="B615" s="3"/>
    </row>
    <row r="616" spans="2:2" ht="15.75" customHeight="1" x14ac:dyDescent="0.2">
      <c r="B616" s="3"/>
    </row>
    <row r="617" spans="2:2" ht="15.75" customHeight="1" x14ac:dyDescent="0.2">
      <c r="B617" s="3"/>
    </row>
    <row r="618" spans="2:2" ht="15.75" customHeight="1" x14ac:dyDescent="0.2">
      <c r="B618" s="3"/>
    </row>
    <row r="619" spans="2:2" ht="15.75" customHeight="1" x14ac:dyDescent="0.2">
      <c r="B619" s="3"/>
    </row>
    <row r="620" spans="2:2" ht="15.75" customHeight="1" x14ac:dyDescent="0.2">
      <c r="B620" s="3"/>
    </row>
    <row r="621" spans="2:2" ht="15.75" customHeight="1" x14ac:dyDescent="0.2">
      <c r="B621" s="3"/>
    </row>
    <row r="622" spans="2:2" ht="15.75" customHeight="1" x14ac:dyDescent="0.2">
      <c r="B622" s="3"/>
    </row>
    <row r="623" spans="2:2" ht="15.75" customHeight="1" x14ac:dyDescent="0.2">
      <c r="B623" s="3"/>
    </row>
    <row r="624" spans="2:2" ht="15.75" customHeight="1" x14ac:dyDescent="0.2">
      <c r="B624" s="3"/>
    </row>
    <row r="625" spans="2:2" ht="15.75" customHeight="1" x14ac:dyDescent="0.2">
      <c r="B625" s="3"/>
    </row>
    <row r="626" spans="2:2" ht="15.75" customHeight="1" x14ac:dyDescent="0.2">
      <c r="B626" s="3"/>
    </row>
    <row r="627" spans="2:2" ht="15.75" customHeight="1" x14ac:dyDescent="0.2">
      <c r="B627" s="3"/>
    </row>
    <row r="628" spans="2:2" ht="15.75" customHeight="1" x14ac:dyDescent="0.2">
      <c r="B628" s="3"/>
    </row>
    <row r="629" spans="2:2" ht="15.75" customHeight="1" x14ac:dyDescent="0.2">
      <c r="B629" s="3"/>
    </row>
    <row r="630" spans="2:2" ht="15.75" customHeight="1" x14ac:dyDescent="0.2">
      <c r="B630" s="3"/>
    </row>
    <row r="631" spans="2:2" ht="15.75" customHeight="1" x14ac:dyDescent="0.2">
      <c r="B631" s="3"/>
    </row>
    <row r="632" spans="2:2" ht="15.75" customHeight="1" x14ac:dyDescent="0.2">
      <c r="B632" s="3"/>
    </row>
    <row r="633" spans="2:2" ht="15.75" customHeight="1" x14ac:dyDescent="0.2">
      <c r="B633" s="3"/>
    </row>
    <row r="634" spans="2:2" ht="15.75" customHeight="1" x14ac:dyDescent="0.2">
      <c r="B634" s="3"/>
    </row>
    <row r="635" spans="2:2" ht="15.75" customHeight="1" x14ac:dyDescent="0.2">
      <c r="B635" s="3"/>
    </row>
    <row r="636" spans="2:2" ht="15.75" customHeight="1" x14ac:dyDescent="0.2">
      <c r="B636" s="3"/>
    </row>
    <row r="637" spans="2:2" ht="15.75" customHeight="1" x14ac:dyDescent="0.2">
      <c r="B637" s="3"/>
    </row>
    <row r="638" spans="2:2" ht="15.75" customHeight="1" x14ac:dyDescent="0.2">
      <c r="B638" s="3"/>
    </row>
    <row r="639" spans="2:2" ht="15.75" customHeight="1" x14ac:dyDescent="0.2">
      <c r="B639" s="3"/>
    </row>
    <row r="640" spans="2:2" ht="15.75" customHeight="1" x14ac:dyDescent="0.2">
      <c r="B640" s="3"/>
    </row>
    <row r="641" spans="2:2" ht="15.75" customHeight="1" x14ac:dyDescent="0.2">
      <c r="B641" s="3"/>
    </row>
    <row r="642" spans="2:2" ht="15.75" customHeight="1" x14ac:dyDescent="0.2">
      <c r="B642" s="3"/>
    </row>
    <row r="643" spans="2:2" ht="15.75" customHeight="1" x14ac:dyDescent="0.2">
      <c r="B643" s="3"/>
    </row>
    <row r="644" spans="2:2" ht="15.75" customHeight="1" x14ac:dyDescent="0.2">
      <c r="B644" s="3"/>
    </row>
    <row r="645" spans="2:2" ht="15.75" customHeight="1" x14ac:dyDescent="0.2">
      <c r="B645" s="3"/>
    </row>
    <row r="646" spans="2:2" ht="15.75" customHeight="1" x14ac:dyDescent="0.2">
      <c r="B646" s="3"/>
    </row>
    <row r="647" spans="2:2" ht="15.75" customHeight="1" x14ac:dyDescent="0.2">
      <c r="B647" s="3"/>
    </row>
    <row r="648" spans="2:2" ht="15.75" customHeight="1" x14ac:dyDescent="0.2">
      <c r="B648" s="3"/>
    </row>
    <row r="649" spans="2:2" ht="15.75" customHeight="1" x14ac:dyDescent="0.2">
      <c r="B649" s="3"/>
    </row>
    <row r="650" spans="2:2" ht="15.75" customHeight="1" x14ac:dyDescent="0.2">
      <c r="B650" s="3"/>
    </row>
    <row r="651" spans="2:2" ht="15.75" customHeight="1" x14ac:dyDescent="0.2">
      <c r="B651" s="3"/>
    </row>
    <row r="652" spans="2:2" ht="15.75" customHeight="1" x14ac:dyDescent="0.2">
      <c r="B652" s="3"/>
    </row>
    <row r="653" spans="2:2" ht="15.75" customHeight="1" x14ac:dyDescent="0.2">
      <c r="B653" s="3"/>
    </row>
    <row r="654" spans="2:2" ht="15.75" customHeight="1" x14ac:dyDescent="0.2">
      <c r="B654" s="3"/>
    </row>
    <row r="655" spans="2:2" ht="15.75" customHeight="1" x14ac:dyDescent="0.2">
      <c r="B655" s="3"/>
    </row>
    <row r="656" spans="2:2" ht="15.75" customHeight="1" x14ac:dyDescent="0.2">
      <c r="B656" s="3"/>
    </row>
    <row r="657" spans="2:2" ht="15.75" customHeight="1" x14ac:dyDescent="0.2">
      <c r="B657" s="3"/>
    </row>
    <row r="658" spans="2:2" ht="15.75" customHeight="1" x14ac:dyDescent="0.2">
      <c r="B658" s="3"/>
    </row>
    <row r="659" spans="2:2" ht="15.75" customHeight="1" x14ac:dyDescent="0.2">
      <c r="B659" s="3"/>
    </row>
    <row r="660" spans="2:2" ht="15.75" customHeight="1" x14ac:dyDescent="0.2">
      <c r="B660" s="3"/>
    </row>
    <row r="661" spans="2:2" ht="15.75" customHeight="1" x14ac:dyDescent="0.2">
      <c r="B661" s="3"/>
    </row>
    <row r="662" spans="2:2" ht="15.75" customHeight="1" x14ac:dyDescent="0.2">
      <c r="B662" s="3"/>
    </row>
    <row r="663" spans="2:2" ht="15.75" customHeight="1" x14ac:dyDescent="0.2">
      <c r="B663" s="3"/>
    </row>
    <row r="664" spans="2:2" ht="15.75" customHeight="1" x14ac:dyDescent="0.2">
      <c r="B664" s="3"/>
    </row>
    <row r="665" spans="2:2" ht="15.75" customHeight="1" x14ac:dyDescent="0.2">
      <c r="B665" s="3"/>
    </row>
    <row r="666" spans="2:2" ht="15.75" customHeight="1" x14ac:dyDescent="0.2">
      <c r="B666" s="3"/>
    </row>
    <row r="667" spans="2:2" ht="15.75" customHeight="1" x14ac:dyDescent="0.2">
      <c r="B667" s="3"/>
    </row>
    <row r="668" spans="2:2" ht="15.75" customHeight="1" x14ac:dyDescent="0.2">
      <c r="B668" s="3"/>
    </row>
    <row r="669" spans="2:2" ht="15.75" customHeight="1" x14ac:dyDescent="0.2">
      <c r="B669" s="3"/>
    </row>
    <row r="670" spans="2:2" ht="15.75" customHeight="1" x14ac:dyDescent="0.2">
      <c r="B670" s="3"/>
    </row>
    <row r="671" spans="2:2" ht="15.75" customHeight="1" x14ac:dyDescent="0.2">
      <c r="B671" s="3"/>
    </row>
    <row r="672" spans="2:2" ht="15.75" customHeight="1" x14ac:dyDescent="0.2">
      <c r="B672" s="3"/>
    </row>
    <row r="673" spans="2:2" ht="15.75" customHeight="1" x14ac:dyDescent="0.2">
      <c r="B673" s="3"/>
    </row>
    <row r="674" spans="2:2" ht="15.75" customHeight="1" x14ac:dyDescent="0.2">
      <c r="B674" s="3"/>
    </row>
    <row r="675" spans="2:2" ht="15.75" customHeight="1" x14ac:dyDescent="0.2">
      <c r="B675" s="3"/>
    </row>
    <row r="676" spans="2:2" ht="15.75" customHeight="1" x14ac:dyDescent="0.2">
      <c r="B676" s="3"/>
    </row>
    <row r="677" spans="2:2" ht="15.75" customHeight="1" x14ac:dyDescent="0.2">
      <c r="B677" s="3"/>
    </row>
    <row r="678" spans="2:2" ht="15.75" customHeight="1" x14ac:dyDescent="0.2">
      <c r="B678" s="3"/>
    </row>
    <row r="679" spans="2:2" ht="15.75" customHeight="1" x14ac:dyDescent="0.2">
      <c r="B679" s="3"/>
    </row>
    <row r="680" spans="2:2" ht="15.75" customHeight="1" x14ac:dyDescent="0.2">
      <c r="B680" s="3"/>
    </row>
    <row r="681" spans="2:2" ht="15.75" customHeight="1" x14ac:dyDescent="0.2">
      <c r="B681" s="3"/>
    </row>
    <row r="682" spans="2:2" ht="15.75" customHeight="1" x14ac:dyDescent="0.2">
      <c r="B682" s="3"/>
    </row>
    <row r="683" spans="2:2" ht="15.75" customHeight="1" x14ac:dyDescent="0.2">
      <c r="B683" s="3"/>
    </row>
    <row r="684" spans="2:2" ht="15.75" customHeight="1" x14ac:dyDescent="0.2">
      <c r="B684" s="3"/>
    </row>
    <row r="685" spans="2:2" ht="15.75" customHeight="1" x14ac:dyDescent="0.2">
      <c r="B685" s="3"/>
    </row>
    <row r="686" spans="2:2" ht="15.75" customHeight="1" x14ac:dyDescent="0.2">
      <c r="B686" s="3"/>
    </row>
    <row r="687" spans="2:2" ht="15.75" customHeight="1" x14ac:dyDescent="0.2">
      <c r="B687" s="3"/>
    </row>
    <row r="688" spans="2:2" ht="15.75" customHeight="1" x14ac:dyDescent="0.2">
      <c r="B688" s="3"/>
    </row>
    <row r="689" spans="2:2" ht="15.75" customHeight="1" x14ac:dyDescent="0.2">
      <c r="B689" s="3"/>
    </row>
    <row r="690" spans="2:2" ht="15.75" customHeight="1" x14ac:dyDescent="0.2">
      <c r="B690" s="3"/>
    </row>
    <row r="691" spans="2:2" ht="15.75" customHeight="1" x14ac:dyDescent="0.2">
      <c r="B691" s="3"/>
    </row>
    <row r="692" spans="2:2" ht="15.75" customHeight="1" x14ac:dyDescent="0.2">
      <c r="B692" s="3"/>
    </row>
    <row r="693" spans="2:2" ht="15.75" customHeight="1" x14ac:dyDescent="0.2">
      <c r="B693" s="3"/>
    </row>
    <row r="694" spans="2:2" ht="15.75" customHeight="1" x14ac:dyDescent="0.2">
      <c r="B694" s="3"/>
    </row>
    <row r="695" spans="2:2" ht="15.75" customHeight="1" x14ac:dyDescent="0.2">
      <c r="B695" s="3"/>
    </row>
    <row r="696" spans="2:2" ht="15.75" customHeight="1" x14ac:dyDescent="0.2">
      <c r="B696" s="3"/>
    </row>
    <row r="697" spans="2:2" ht="15.75" customHeight="1" x14ac:dyDescent="0.2">
      <c r="B697" s="3"/>
    </row>
    <row r="698" spans="2:2" ht="15.75" customHeight="1" x14ac:dyDescent="0.2">
      <c r="B698" s="3"/>
    </row>
    <row r="699" spans="2:2" ht="15.75" customHeight="1" x14ac:dyDescent="0.2">
      <c r="B699" s="3"/>
    </row>
    <row r="700" spans="2:2" ht="15.75" customHeight="1" x14ac:dyDescent="0.2">
      <c r="B700" s="3"/>
    </row>
    <row r="701" spans="2:2" ht="15.75" customHeight="1" x14ac:dyDescent="0.2">
      <c r="B701" s="3"/>
    </row>
    <row r="702" spans="2:2" ht="15.75" customHeight="1" x14ac:dyDescent="0.2">
      <c r="B702" s="3"/>
    </row>
    <row r="703" spans="2:2" ht="15.75" customHeight="1" x14ac:dyDescent="0.2">
      <c r="B703" s="3"/>
    </row>
    <row r="704" spans="2:2" ht="15.75" customHeight="1" x14ac:dyDescent="0.2">
      <c r="B704" s="3"/>
    </row>
    <row r="705" spans="2:2" ht="15.75" customHeight="1" x14ac:dyDescent="0.2">
      <c r="B705" s="3"/>
    </row>
    <row r="706" spans="2:2" ht="15.75" customHeight="1" x14ac:dyDescent="0.2">
      <c r="B706" s="3"/>
    </row>
    <row r="707" spans="2:2" ht="15.75" customHeight="1" x14ac:dyDescent="0.2">
      <c r="B707" s="3"/>
    </row>
    <row r="708" spans="2:2" ht="15.75" customHeight="1" x14ac:dyDescent="0.2">
      <c r="B708" s="3"/>
    </row>
    <row r="709" spans="2:2" ht="15.75" customHeight="1" x14ac:dyDescent="0.2">
      <c r="B709" s="3"/>
    </row>
    <row r="710" spans="2:2" ht="15.75" customHeight="1" x14ac:dyDescent="0.2">
      <c r="B710" s="3"/>
    </row>
    <row r="711" spans="2:2" ht="15.75" customHeight="1" x14ac:dyDescent="0.2">
      <c r="B711" s="3"/>
    </row>
    <row r="712" spans="2:2" ht="15.75" customHeight="1" x14ac:dyDescent="0.2">
      <c r="B712" s="3"/>
    </row>
    <row r="713" spans="2:2" ht="15.75" customHeight="1" x14ac:dyDescent="0.2">
      <c r="B713" s="3"/>
    </row>
    <row r="714" spans="2:2" ht="15.75" customHeight="1" x14ac:dyDescent="0.2">
      <c r="B714" s="3"/>
    </row>
    <row r="715" spans="2:2" ht="15.75" customHeight="1" x14ac:dyDescent="0.2">
      <c r="B715" s="3"/>
    </row>
    <row r="716" spans="2:2" ht="15.75" customHeight="1" x14ac:dyDescent="0.2">
      <c r="B716" s="3"/>
    </row>
    <row r="717" spans="2:2" ht="15.75" customHeight="1" x14ac:dyDescent="0.2">
      <c r="B717" s="3"/>
    </row>
    <row r="718" spans="2:2" ht="15.75" customHeight="1" x14ac:dyDescent="0.2">
      <c r="B718" s="3"/>
    </row>
    <row r="719" spans="2:2" ht="15.75" customHeight="1" x14ac:dyDescent="0.2">
      <c r="B719" s="3"/>
    </row>
    <row r="720" spans="2:2" ht="15.75" customHeight="1" x14ac:dyDescent="0.2">
      <c r="B720" s="3"/>
    </row>
    <row r="721" spans="2:2" ht="15.75" customHeight="1" x14ac:dyDescent="0.2">
      <c r="B721" s="3"/>
    </row>
    <row r="722" spans="2:2" ht="15.75" customHeight="1" x14ac:dyDescent="0.2">
      <c r="B722" s="3"/>
    </row>
    <row r="723" spans="2:2" ht="15.75" customHeight="1" x14ac:dyDescent="0.2">
      <c r="B723" s="3"/>
    </row>
    <row r="724" spans="2:2" ht="15.75" customHeight="1" x14ac:dyDescent="0.2">
      <c r="B724" s="3"/>
    </row>
    <row r="725" spans="2:2" ht="15.75" customHeight="1" x14ac:dyDescent="0.2">
      <c r="B725" s="3"/>
    </row>
    <row r="726" spans="2:2" ht="15.75" customHeight="1" x14ac:dyDescent="0.2">
      <c r="B726" s="3"/>
    </row>
    <row r="727" spans="2:2" ht="15.75" customHeight="1" x14ac:dyDescent="0.2">
      <c r="B727" s="3"/>
    </row>
    <row r="728" spans="2:2" ht="15.75" customHeight="1" x14ac:dyDescent="0.2">
      <c r="B728" s="3"/>
    </row>
    <row r="729" spans="2:2" ht="15.75" customHeight="1" x14ac:dyDescent="0.2">
      <c r="B729" s="3"/>
    </row>
    <row r="730" spans="2:2" ht="15.75" customHeight="1" x14ac:dyDescent="0.2">
      <c r="B730" s="3"/>
    </row>
    <row r="731" spans="2:2" ht="15.75" customHeight="1" x14ac:dyDescent="0.2">
      <c r="B731" s="3"/>
    </row>
    <row r="732" spans="2:2" ht="15.75" customHeight="1" x14ac:dyDescent="0.2">
      <c r="B732" s="3"/>
    </row>
    <row r="733" spans="2:2" ht="15.75" customHeight="1" x14ac:dyDescent="0.2">
      <c r="B733" s="3"/>
    </row>
    <row r="734" spans="2:2" ht="15.75" customHeight="1" x14ac:dyDescent="0.2">
      <c r="B734" s="3"/>
    </row>
    <row r="735" spans="2:2" ht="15.75" customHeight="1" x14ac:dyDescent="0.2">
      <c r="B735" s="3"/>
    </row>
    <row r="736" spans="2:2" ht="15.75" customHeight="1" x14ac:dyDescent="0.2">
      <c r="B736" s="3"/>
    </row>
    <row r="737" spans="2:2" ht="15.75" customHeight="1" x14ac:dyDescent="0.2">
      <c r="B737" s="3"/>
    </row>
    <row r="738" spans="2:2" ht="15.75" customHeight="1" x14ac:dyDescent="0.2">
      <c r="B738" s="3"/>
    </row>
    <row r="739" spans="2:2" ht="15.75" customHeight="1" x14ac:dyDescent="0.2">
      <c r="B739" s="3"/>
    </row>
    <row r="740" spans="2:2" ht="15.75" customHeight="1" x14ac:dyDescent="0.2">
      <c r="B740" s="3"/>
    </row>
    <row r="741" spans="2:2" ht="15.75" customHeight="1" x14ac:dyDescent="0.2">
      <c r="B741" s="3"/>
    </row>
    <row r="742" spans="2:2" ht="15.75" customHeight="1" x14ac:dyDescent="0.2">
      <c r="B742" s="3"/>
    </row>
    <row r="743" spans="2:2" ht="15.75" customHeight="1" x14ac:dyDescent="0.2">
      <c r="B743" s="3"/>
    </row>
    <row r="744" spans="2:2" ht="15.75" customHeight="1" x14ac:dyDescent="0.2">
      <c r="B744" s="3"/>
    </row>
    <row r="745" spans="2:2" ht="15.75" customHeight="1" x14ac:dyDescent="0.2">
      <c r="B745" s="3"/>
    </row>
    <row r="746" spans="2:2" ht="15.75" customHeight="1" x14ac:dyDescent="0.2">
      <c r="B746" s="3"/>
    </row>
    <row r="747" spans="2:2" ht="15.75" customHeight="1" x14ac:dyDescent="0.2">
      <c r="B747" s="3"/>
    </row>
    <row r="748" spans="2:2" ht="15.75" customHeight="1" x14ac:dyDescent="0.2">
      <c r="B748" s="3"/>
    </row>
    <row r="749" spans="2:2" ht="15.75" customHeight="1" x14ac:dyDescent="0.2">
      <c r="B749" s="3"/>
    </row>
    <row r="750" spans="2:2" ht="15.75" customHeight="1" x14ac:dyDescent="0.2">
      <c r="B750" s="3"/>
    </row>
    <row r="751" spans="2:2" ht="15.75" customHeight="1" x14ac:dyDescent="0.2">
      <c r="B751" s="3"/>
    </row>
    <row r="752" spans="2:2" ht="15.75" customHeight="1" x14ac:dyDescent="0.2">
      <c r="B752" s="3"/>
    </row>
    <row r="753" spans="2:2" ht="15.75" customHeight="1" x14ac:dyDescent="0.2">
      <c r="B753" s="3"/>
    </row>
    <row r="754" spans="2:2" ht="15.75" customHeight="1" x14ac:dyDescent="0.2">
      <c r="B754" s="3"/>
    </row>
    <row r="755" spans="2:2" ht="15.75" customHeight="1" x14ac:dyDescent="0.2">
      <c r="B755" s="3"/>
    </row>
    <row r="756" spans="2:2" ht="15.75" customHeight="1" x14ac:dyDescent="0.2">
      <c r="B756" s="3"/>
    </row>
    <row r="757" spans="2:2" ht="15.75" customHeight="1" x14ac:dyDescent="0.2">
      <c r="B757" s="3"/>
    </row>
    <row r="758" spans="2:2" ht="15.75" customHeight="1" x14ac:dyDescent="0.2">
      <c r="B758" s="3"/>
    </row>
    <row r="759" spans="2:2" ht="15.75" customHeight="1" x14ac:dyDescent="0.2">
      <c r="B759" s="3"/>
    </row>
    <row r="760" spans="2:2" ht="15.75" customHeight="1" x14ac:dyDescent="0.2">
      <c r="B760" s="3"/>
    </row>
    <row r="761" spans="2:2" ht="15.75" customHeight="1" x14ac:dyDescent="0.2">
      <c r="B761" s="3"/>
    </row>
    <row r="762" spans="2:2" ht="15.75" customHeight="1" x14ac:dyDescent="0.2">
      <c r="B762" s="3"/>
    </row>
    <row r="763" spans="2:2" ht="15.75" customHeight="1" x14ac:dyDescent="0.2">
      <c r="B763" s="3"/>
    </row>
    <row r="764" spans="2:2" ht="15.75" customHeight="1" x14ac:dyDescent="0.2">
      <c r="B764" s="3"/>
    </row>
    <row r="765" spans="2:2" ht="15.75" customHeight="1" x14ac:dyDescent="0.2">
      <c r="B765" s="3"/>
    </row>
    <row r="766" spans="2:2" ht="15.75" customHeight="1" x14ac:dyDescent="0.2">
      <c r="B766" s="3"/>
    </row>
    <row r="767" spans="2:2" ht="15.75" customHeight="1" x14ac:dyDescent="0.2">
      <c r="B767" s="3"/>
    </row>
    <row r="768" spans="2:2" ht="15.75" customHeight="1" x14ac:dyDescent="0.2">
      <c r="B768" s="3"/>
    </row>
    <row r="769" spans="2:2" ht="15.75" customHeight="1" x14ac:dyDescent="0.2">
      <c r="B769" s="3"/>
    </row>
    <row r="770" spans="2:2" ht="15.75" customHeight="1" x14ac:dyDescent="0.2">
      <c r="B770" s="3"/>
    </row>
    <row r="771" spans="2:2" ht="15.75" customHeight="1" x14ac:dyDescent="0.2">
      <c r="B771" s="3"/>
    </row>
    <row r="772" spans="2:2" ht="15.75" customHeight="1" x14ac:dyDescent="0.2">
      <c r="B772" s="3"/>
    </row>
    <row r="773" spans="2:2" ht="15.75" customHeight="1" x14ac:dyDescent="0.2">
      <c r="B773" s="3"/>
    </row>
    <row r="774" spans="2:2" ht="15.75" customHeight="1" x14ac:dyDescent="0.2">
      <c r="B774" s="3"/>
    </row>
    <row r="775" spans="2:2" ht="15.75" customHeight="1" x14ac:dyDescent="0.2">
      <c r="B775" s="3"/>
    </row>
    <row r="776" spans="2:2" ht="15.75" customHeight="1" x14ac:dyDescent="0.2">
      <c r="B776" s="3"/>
    </row>
    <row r="777" spans="2:2" ht="15.75" customHeight="1" x14ac:dyDescent="0.2">
      <c r="B777" s="3"/>
    </row>
    <row r="778" spans="2:2" ht="15.75" customHeight="1" x14ac:dyDescent="0.2">
      <c r="B778" s="3"/>
    </row>
    <row r="779" spans="2:2" ht="15.75" customHeight="1" x14ac:dyDescent="0.2">
      <c r="B779" s="3"/>
    </row>
    <row r="780" spans="2:2" ht="15.75" customHeight="1" x14ac:dyDescent="0.2">
      <c r="B780" s="3"/>
    </row>
    <row r="781" spans="2:2" ht="15.75" customHeight="1" x14ac:dyDescent="0.2">
      <c r="B781" s="3"/>
    </row>
    <row r="782" spans="2:2" ht="15.75" customHeight="1" x14ac:dyDescent="0.2">
      <c r="B782" s="3"/>
    </row>
    <row r="783" spans="2:2" ht="15.75" customHeight="1" x14ac:dyDescent="0.2">
      <c r="B783" s="3"/>
    </row>
    <row r="784" spans="2:2" ht="15.75" customHeight="1" x14ac:dyDescent="0.2">
      <c r="B784" s="3"/>
    </row>
    <row r="785" spans="2:2" ht="15.75" customHeight="1" x14ac:dyDescent="0.2">
      <c r="B785" s="3"/>
    </row>
    <row r="786" spans="2:2" ht="15.75" customHeight="1" x14ac:dyDescent="0.2">
      <c r="B786" s="3"/>
    </row>
    <row r="787" spans="2:2" ht="15.75" customHeight="1" x14ac:dyDescent="0.2">
      <c r="B787" s="3"/>
    </row>
    <row r="788" spans="2:2" ht="15.75" customHeight="1" x14ac:dyDescent="0.2">
      <c r="B788" s="3"/>
    </row>
    <row r="789" spans="2:2" ht="15.75" customHeight="1" x14ac:dyDescent="0.2">
      <c r="B789" s="3"/>
    </row>
    <row r="790" spans="2:2" ht="15.75" customHeight="1" x14ac:dyDescent="0.2">
      <c r="B790" s="3"/>
    </row>
    <row r="791" spans="2:2" ht="15.75" customHeight="1" x14ac:dyDescent="0.2">
      <c r="B791" s="3"/>
    </row>
    <row r="792" spans="2:2" ht="15.75" customHeight="1" x14ac:dyDescent="0.2">
      <c r="B792" s="3"/>
    </row>
    <row r="793" spans="2:2" ht="15.75" customHeight="1" x14ac:dyDescent="0.2">
      <c r="B793" s="3"/>
    </row>
    <row r="794" spans="2:2" ht="15.75" customHeight="1" x14ac:dyDescent="0.2">
      <c r="B794" s="3"/>
    </row>
    <row r="795" spans="2:2" ht="15.75" customHeight="1" x14ac:dyDescent="0.2">
      <c r="B795" s="3"/>
    </row>
    <row r="796" spans="2:2" ht="15.75" customHeight="1" x14ac:dyDescent="0.2">
      <c r="B796" s="3"/>
    </row>
    <row r="797" spans="2:2" ht="15.75" customHeight="1" x14ac:dyDescent="0.2">
      <c r="B797" s="3"/>
    </row>
    <row r="798" spans="2:2" ht="15.75" customHeight="1" x14ac:dyDescent="0.2">
      <c r="B798" s="3"/>
    </row>
    <row r="799" spans="2:2" ht="15.75" customHeight="1" x14ac:dyDescent="0.2">
      <c r="B799" s="3"/>
    </row>
    <row r="800" spans="2:2" ht="15.75" customHeight="1" x14ac:dyDescent="0.2">
      <c r="B800" s="3"/>
    </row>
    <row r="801" spans="2:2" ht="15.75" customHeight="1" x14ac:dyDescent="0.2">
      <c r="B801" s="3"/>
    </row>
    <row r="802" spans="2:2" ht="15.75" customHeight="1" x14ac:dyDescent="0.2">
      <c r="B802" s="3"/>
    </row>
    <row r="803" spans="2:2" ht="15.75" customHeight="1" x14ac:dyDescent="0.2">
      <c r="B803" s="3"/>
    </row>
    <row r="804" spans="2:2" ht="15.75" customHeight="1" x14ac:dyDescent="0.2">
      <c r="B804" s="3"/>
    </row>
    <row r="805" spans="2:2" ht="15.75" customHeight="1" x14ac:dyDescent="0.2">
      <c r="B805" s="3"/>
    </row>
    <row r="806" spans="2:2" ht="15.75" customHeight="1" x14ac:dyDescent="0.2">
      <c r="B806" s="3"/>
    </row>
    <row r="807" spans="2:2" ht="15.75" customHeight="1" x14ac:dyDescent="0.2">
      <c r="B807" s="3"/>
    </row>
    <row r="808" spans="2:2" ht="15.75" customHeight="1" x14ac:dyDescent="0.2">
      <c r="B808" s="3"/>
    </row>
    <row r="809" spans="2:2" ht="15.75" customHeight="1" x14ac:dyDescent="0.2">
      <c r="B809" s="3"/>
    </row>
    <row r="810" spans="2:2" ht="15.75" customHeight="1" x14ac:dyDescent="0.2">
      <c r="B810" s="3"/>
    </row>
    <row r="811" spans="2:2" ht="15.75" customHeight="1" x14ac:dyDescent="0.2">
      <c r="B811" s="3"/>
    </row>
    <row r="812" spans="2:2" ht="15.75" customHeight="1" x14ac:dyDescent="0.2">
      <c r="B812" s="3"/>
    </row>
    <row r="813" spans="2:2" ht="15.75" customHeight="1" x14ac:dyDescent="0.2">
      <c r="B813" s="3"/>
    </row>
    <row r="814" spans="2:2" ht="15.75" customHeight="1" x14ac:dyDescent="0.2">
      <c r="B814" s="3"/>
    </row>
    <row r="815" spans="2:2" ht="15.75" customHeight="1" x14ac:dyDescent="0.2">
      <c r="B815" s="3"/>
    </row>
    <row r="816" spans="2:2" ht="15.75" customHeight="1" x14ac:dyDescent="0.2">
      <c r="B816" s="3"/>
    </row>
    <row r="817" spans="2:2" ht="15.75" customHeight="1" x14ac:dyDescent="0.2">
      <c r="B817" s="3"/>
    </row>
    <row r="818" spans="2:2" ht="15.75" customHeight="1" x14ac:dyDescent="0.2">
      <c r="B818" s="3"/>
    </row>
    <row r="819" spans="2:2" ht="15.75" customHeight="1" x14ac:dyDescent="0.2">
      <c r="B819" s="3"/>
    </row>
    <row r="820" spans="2:2" ht="15.75" customHeight="1" x14ac:dyDescent="0.2">
      <c r="B820" s="3"/>
    </row>
    <row r="821" spans="2:2" ht="15.75" customHeight="1" x14ac:dyDescent="0.2">
      <c r="B821" s="3"/>
    </row>
    <row r="822" spans="2:2" ht="15.75" customHeight="1" x14ac:dyDescent="0.2">
      <c r="B822" s="3"/>
    </row>
    <row r="823" spans="2:2" ht="15.75" customHeight="1" x14ac:dyDescent="0.2">
      <c r="B823" s="3"/>
    </row>
    <row r="824" spans="2:2" ht="15.75" customHeight="1" x14ac:dyDescent="0.2">
      <c r="B824" s="3"/>
    </row>
    <row r="825" spans="2:2" ht="15.75" customHeight="1" x14ac:dyDescent="0.2">
      <c r="B825" s="3"/>
    </row>
    <row r="826" spans="2:2" ht="15.75" customHeight="1" x14ac:dyDescent="0.2">
      <c r="B826" s="3"/>
    </row>
    <row r="827" spans="2:2" ht="15.75" customHeight="1" x14ac:dyDescent="0.2">
      <c r="B827" s="3"/>
    </row>
    <row r="828" spans="2:2" ht="15.75" customHeight="1" x14ac:dyDescent="0.2">
      <c r="B828" s="3"/>
    </row>
    <row r="829" spans="2:2" ht="15.75" customHeight="1" x14ac:dyDescent="0.2">
      <c r="B829" s="3"/>
    </row>
    <row r="830" spans="2:2" ht="15.75" customHeight="1" x14ac:dyDescent="0.2">
      <c r="B830" s="3"/>
    </row>
    <row r="831" spans="2:2" ht="15.75" customHeight="1" x14ac:dyDescent="0.2">
      <c r="B831" s="3"/>
    </row>
    <row r="832" spans="2:2" ht="15.75" customHeight="1" x14ac:dyDescent="0.2">
      <c r="B832" s="3"/>
    </row>
    <row r="833" spans="2:2" ht="15.75" customHeight="1" x14ac:dyDescent="0.2">
      <c r="B833" s="3"/>
    </row>
    <row r="834" spans="2:2" ht="15.75" customHeight="1" x14ac:dyDescent="0.2">
      <c r="B834" s="3"/>
    </row>
    <row r="835" spans="2:2" ht="15.75" customHeight="1" x14ac:dyDescent="0.2">
      <c r="B835" s="3"/>
    </row>
    <row r="836" spans="2:2" ht="15.75" customHeight="1" x14ac:dyDescent="0.2">
      <c r="B836" s="3"/>
    </row>
    <row r="837" spans="2:2" ht="15.75" customHeight="1" x14ac:dyDescent="0.2">
      <c r="B837" s="3"/>
    </row>
    <row r="838" spans="2:2" ht="15.75" customHeight="1" x14ac:dyDescent="0.2">
      <c r="B838" s="3"/>
    </row>
    <row r="839" spans="2:2" ht="15.75" customHeight="1" x14ac:dyDescent="0.2">
      <c r="B839" s="3"/>
    </row>
    <row r="840" spans="2:2" ht="15.75" customHeight="1" x14ac:dyDescent="0.2">
      <c r="B840" s="3"/>
    </row>
    <row r="841" spans="2:2" ht="15.75" customHeight="1" x14ac:dyDescent="0.2">
      <c r="B841" s="3"/>
    </row>
    <row r="842" spans="2:2" ht="15.75" customHeight="1" x14ac:dyDescent="0.2">
      <c r="B842" s="3"/>
    </row>
    <row r="843" spans="2:2" ht="15.75" customHeight="1" x14ac:dyDescent="0.2">
      <c r="B843" s="3"/>
    </row>
    <row r="844" spans="2:2" ht="15.75" customHeight="1" x14ac:dyDescent="0.2">
      <c r="B844" s="3"/>
    </row>
    <row r="845" spans="2:2" ht="15.75" customHeight="1" x14ac:dyDescent="0.2">
      <c r="B845" s="3"/>
    </row>
    <row r="846" spans="2:2" ht="15.75" customHeight="1" x14ac:dyDescent="0.2">
      <c r="B846" s="3"/>
    </row>
    <row r="847" spans="2:2" ht="15.75" customHeight="1" x14ac:dyDescent="0.2">
      <c r="B847" s="3"/>
    </row>
    <row r="848" spans="2:2" ht="15.75" customHeight="1" x14ac:dyDescent="0.2">
      <c r="B848" s="3"/>
    </row>
    <row r="849" spans="2:2" ht="15.75" customHeight="1" x14ac:dyDescent="0.2">
      <c r="B849" s="3"/>
    </row>
    <row r="850" spans="2:2" ht="15.75" customHeight="1" x14ac:dyDescent="0.2">
      <c r="B850" s="3"/>
    </row>
    <row r="851" spans="2:2" ht="15.75" customHeight="1" x14ac:dyDescent="0.2">
      <c r="B851" s="3"/>
    </row>
    <row r="852" spans="2:2" ht="15.75" customHeight="1" x14ac:dyDescent="0.2">
      <c r="B852" s="3"/>
    </row>
    <row r="853" spans="2:2" ht="15.75" customHeight="1" x14ac:dyDescent="0.2">
      <c r="B853" s="3"/>
    </row>
    <row r="854" spans="2:2" ht="15.75" customHeight="1" x14ac:dyDescent="0.2">
      <c r="B854" s="3"/>
    </row>
    <row r="855" spans="2:2" ht="15.75" customHeight="1" x14ac:dyDescent="0.2">
      <c r="B855" s="3"/>
    </row>
    <row r="856" spans="2:2" ht="15.75" customHeight="1" x14ac:dyDescent="0.2">
      <c r="B856" s="3"/>
    </row>
    <row r="857" spans="2:2" ht="15.75" customHeight="1" x14ac:dyDescent="0.2">
      <c r="B857" s="3"/>
    </row>
    <row r="858" spans="2:2" ht="15.75" customHeight="1" x14ac:dyDescent="0.2">
      <c r="B858" s="3"/>
    </row>
    <row r="859" spans="2:2" ht="15.75" customHeight="1" x14ac:dyDescent="0.2">
      <c r="B859" s="3"/>
    </row>
    <row r="860" spans="2:2" ht="15.75" customHeight="1" x14ac:dyDescent="0.2">
      <c r="B860" s="3"/>
    </row>
    <row r="861" spans="2:2" ht="15.75" customHeight="1" x14ac:dyDescent="0.2">
      <c r="B861" s="3"/>
    </row>
    <row r="862" spans="2:2" ht="15.75" customHeight="1" x14ac:dyDescent="0.2">
      <c r="B862" s="3"/>
    </row>
    <row r="863" spans="2:2" ht="15.75" customHeight="1" x14ac:dyDescent="0.2">
      <c r="B863" s="3"/>
    </row>
    <row r="864" spans="2:2" ht="15.75" customHeight="1" x14ac:dyDescent="0.2">
      <c r="B864" s="3"/>
    </row>
    <row r="865" spans="2:2" ht="15.75" customHeight="1" x14ac:dyDescent="0.2">
      <c r="B865" s="3"/>
    </row>
    <row r="866" spans="2:2" ht="15.75" customHeight="1" x14ac:dyDescent="0.2">
      <c r="B866" s="3"/>
    </row>
    <row r="867" spans="2:2" ht="15.75" customHeight="1" x14ac:dyDescent="0.2">
      <c r="B867" s="3"/>
    </row>
    <row r="868" spans="2:2" ht="15.75" customHeight="1" x14ac:dyDescent="0.2">
      <c r="B868" s="3"/>
    </row>
    <row r="869" spans="2:2" ht="15.75" customHeight="1" x14ac:dyDescent="0.2">
      <c r="B869" s="3"/>
    </row>
    <row r="870" spans="2:2" ht="15.75" customHeight="1" x14ac:dyDescent="0.2">
      <c r="B870" s="3"/>
    </row>
    <row r="871" spans="2:2" ht="15.75" customHeight="1" x14ac:dyDescent="0.2">
      <c r="B871" s="3"/>
    </row>
    <row r="872" spans="2:2" ht="15.75" customHeight="1" x14ac:dyDescent="0.2">
      <c r="B872" s="3"/>
    </row>
    <row r="873" spans="2:2" ht="15.75" customHeight="1" x14ac:dyDescent="0.2">
      <c r="B873" s="3"/>
    </row>
    <row r="874" spans="2:2" ht="15.75" customHeight="1" x14ac:dyDescent="0.2">
      <c r="B874" s="3"/>
    </row>
    <row r="875" spans="2:2" ht="15.75" customHeight="1" x14ac:dyDescent="0.2">
      <c r="B875" s="3"/>
    </row>
    <row r="876" spans="2:2" ht="15.75" customHeight="1" x14ac:dyDescent="0.2">
      <c r="B876" s="3"/>
    </row>
    <row r="877" spans="2:2" ht="15.75" customHeight="1" x14ac:dyDescent="0.2">
      <c r="B877" s="3"/>
    </row>
    <row r="878" spans="2:2" ht="15.75" customHeight="1" x14ac:dyDescent="0.2">
      <c r="B878" s="3"/>
    </row>
    <row r="879" spans="2:2" ht="15.75" customHeight="1" x14ac:dyDescent="0.2">
      <c r="B879" s="3"/>
    </row>
    <row r="880" spans="2:2" ht="15.75" customHeight="1" x14ac:dyDescent="0.2">
      <c r="B880" s="3"/>
    </row>
    <row r="881" spans="2:2" ht="15.75" customHeight="1" x14ac:dyDescent="0.2">
      <c r="B881" s="3"/>
    </row>
    <row r="882" spans="2:2" ht="15.75" customHeight="1" x14ac:dyDescent="0.2">
      <c r="B882" s="3"/>
    </row>
    <row r="883" spans="2:2" ht="15.75" customHeight="1" x14ac:dyDescent="0.2">
      <c r="B883" s="3"/>
    </row>
    <row r="884" spans="2:2" ht="15.75" customHeight="1" x14ac:dyDescent="0.2">
      <c r="B884" s="3"/>
    </row>
    <row r="885" spans="2:2" ht="15.75" customHeight="1" x14ac:dyDescent="0.2">
      <c r="B885" s="3"/>
    </row>
    <row r="886" spans="2:2" ht="15.75" customHeight="1" x14ac:dyDescent="0.2">
      <c r="B886" s="3"/>
    </row>
    <row r="887" spans="2:2" ht="15.75" customHeight="1" x14ac:dyDescent="0.2">
      <c r="B887" s="3"/>
    </row>
    <row r="888" spans="2:2" ht="15.75" customHeight="1" x14ac:dyDescent="0.2">
      <c r="B888" s="3"/>
    </row>
    <row r="889" spans="2:2" ht="15.75" customHeight="1" x14ac:dyDescent="0.2">
      <c r="B889" s="3"/>
    </row>
    <row r="890" spans="2:2" ht="15.75" customHeight="1" x14ac:dyDescent="0.2">
      <c r="B890" s="3"/>
    </row>
    <row r="891" spans="2:2" ht="15.75" customHeight="1" x14ac:dyDescent="0.2">
      <c r="B891" s="3"/>
    </row>
    <row r="892" spans="2:2" ht="15.75" customHeight="1" x14ac:dyDescent="0.2">
      <c r="B892" s="3"/>
    </row>
    <row r="893" spans="2:2" ht="15.75" customHeight="1" x14ac:dyDescent="0.2">
      <c r="B893" s="3"/>
    </row>
    <row r="894" spans="2:2" ht="15.75" customHeight="1" x14ac:dyDescent="0.2">
      <c r="B894" s="3"/>
    </row>
    <row r="895" spans="2:2" ht="15.75" customHeight="1" x14ac:dyDescent="0.2">
      <c r="B895" s="3"/>
    </row>
    <row r="896" spans="2:2" ht="15.75" customHeight="1" x14ac:dyDescent="0.2">
      <c r="B896" s="3"/>
    </row>
    <row r="897" spans="2:2" ht="15.75" customHeight="1" x14ac:dyDescent="0.2">
      <c r="B897" s="3"/>
    </row>
    <row r="898" spans="2:2" ht="15.75" customHeight="1" x14ac:dyDescent="0.2">
      <c r="B898" s="3"/>
    </row>
    <row r="899" spans="2:2" ht="15.75" customHeight="1" x14ac:dyDescent="0.2">
      <c r="B899" s="3"/>
    </row>
    <row r="900" spans="2:2" ht="15.75" customHeight="1" x14ac:dyDescent="0.2">
      <c r="B900" s="3"/>
    </row>
    <row r="901" spans="2:2" ht="15.75" customHeight="1" x14ac:dyDescent="0.2">
      <c r="B901" s="3"/>
    </row>
    <row r="902" spans="2:2" ht="15.75" customHeight="1" x14ac:dyDescent="0.2">
      <c r="B902" s="3"/>
    </row>
    <row r="903" spans="2:2" ht="15.75" customHeight="1" x14ac:dyDescent="0.2">
      <c r="B903" s="3"/>
    </row>
    <row r="904" spans="2:2" ht="15.75" customHeight="1" x14ac:dyDescent="0.2">
      <c r="B904" s="3"/>
    </row>
    <row r="905" spans="2:2" ht="15.75" customHeight="1" x14ac:dyDescent="0.2">
      <c r="B905" s="3"/>
    </row>
    <row r="906" spans="2:2" ht="15.75" customHeight="1" x14ac:dyDescent="0.2">
      <c r="B906" s="3"/>
    </row>
    <row r="907" spans="2:2" ht="15.75" customHeight="1" x14ac:dyDescent="0.2">
      <c r="B907" s="3"/>
    </row>
    <row r="908" spans="2:2" ht="15.75" customHeight="1" x14ac:dyDescent="0.2">
      <c r="B908" s="3"/>
    </row>
    <row r="909" spans="2:2" ht="15.75" customHeight="1" x14ac:dyDescent="0.2">
      <c r="B909" s="3"/>
    </row>
    <row r="910" spans="2:2" ht="15.75" customHeight="1" x14ac:dyDescent="0.2">
      <c r="B910" s="3"/>
    </row>
    <row r="911" spans="2:2" ht="15.75" customHeight="1" x14ac:dyDescent="0.2">
      <c r="B911" s="3"/>
    </row>
    <row r="912" spans="2:2" ht="15.75" customHeight="1" x14ac:dyDescent="0.2">
      <c r="B912" s="3"/>
    </row>
    <row r="913" spans="2:2" ht="15.75" customHeight="1" x14ac:dyDescent="0.2">
      <c r="B913" s="3"/>
    </row>
    <row r="914" spans="2:2" ht="15.75" customHeight="1" x14ac:dyDescent="0.2">
      <c r="B914" s="3"/>
    </row>
    <row r="915" spans="2:2" ht="15.75" customHeight="1" x14ac:dyDescent="0.2">
      <c r="B915" s="3"/>
    </row>
    <row r="916" spans="2:2" ht="15.75" customHeight="1" x14ac:dyDescent="0.2">
      <c r="B916" s="3"/>
    </row>
    <row r="917" spans="2:2" ht="15.75" customHeight="1" x14ac:dyDescent="0.2">
      <c r="B917" s="3"/>
    </row>
    <row r="918" spans="2:2" ht="15.75" customHeight="1" x14ac:dyDescent="0.2">
      <c r="B918" s="3"/>
    </row>
    <row r="919" spans="2:2" ht="15.75" customHeight="1" x14ac:dyDescent="0.2">
      <c r="B919" s="3"/>
    </row>
    <row r="920" spans="2:2" ht="15.75" customHeight="1" x14ac:dyDescent="0.2">
      <c r="B920" s="3"/>
    </row>
    <row r="921" spans="2:2" ht="15.75" customHeight="1" x14ac:dyDescent="0.2">
      <c r="B921" s="3"/>
    </row>
    <row r="922" spans="2:2" ht="15.75" customHeight="1" x14ac:dyDescent="0.2">
      <c r="B922" s="3"/>
    </row>
    <row r="923" spans="2:2" ht="15.75" customHeight="1" x14ac:dyDescent="0.2">
      <c r="B923" s="3"/>
    </row>
    <row r="924" spans="2:2" ht="15.75" customHeight="1" x14ac:dyDescent="0.2">
      <c r="B924" s="3"/>
    </row>
    <row r="925" spans="2:2" ht="15.75" customHeight="1" x14ac:dyDescent="0.2">
      <c r="B925" s="3"/>
    </row>
    <row r="926" spans="2:2" ht="15.75" customHeight="1" x14ac:dyDescent="0.2">
      <c r="B926" s="3"/>
    </row>
    <row r="927" spans="2:2" ht="15.75" customHeight="1" x14ac:dyDescent="0.2">
      <c r="B927" s="3"/>
    </row>
    <row r="928" spans="2:2" ht="15.75" customHeight="1" x14ac:dyDescent="0.2">
      <c r="B928" s="3"/>
    </row>
    <row r="929" spans="2:2" ht="15.75" customHeight="1" x14ac:dyDescent="0.2">
      <c r="B929" s="3"/>
    </row>
    <row r="930" spans="2:2" ht="15.75" customHeight="1" x14ac:dyDescent="0.2">
      <c r="B930" s="3"/>
    </row>
    <row r="931" spans="2:2" ht="15.75" customHeight="1" x14ac:dyDescent="0.2">
      <c r="B931" s="3"/>
    </row>
    <row r="932" spans="2:2" ht="15.75" customHeight="1" x14ac:dyDescent="0.2">
      <c r="B932" s="3"/>
    </row>
    <row r="933" spans="2:2" ht="15.75" customHeight="1" x14ac:dyDescent="0.2">
      <c r="B933" s="3"/>
    </row>
    <row r="934" spans="2:2" ht="15.75" customHeight="1" x14ac:dyDescent="0.2">
      <c r="B934" s="3"/>
    </row>
    <row r="935" spans="2:2" ht="15.75" customHeight="1" x14ac:dyDescent="0.2">
      <c r="B935" s="3"/>
    </row>
    <row r="936" spans="2:2" ht="15.75" customHeight="1" x14ac:dyDescent="0.2">
      <c r="B936" s="3"/>
    </row>
    <row r="937" spans="2:2" ht="15.75" customHeight="1" x14ac:dyDescent="0.2">
      <c r="B937" s="3"/>
    </row>
    <row r="938" spans="2:2" ht="15.75" customHeight="1" x14ac:dyDescent="0.2">
      <c r="B938" s="3"/>
    </row>
    <row r="939" spans="2:2" ht="15.75" customHeight="1" x14ac:dyDescent="0.2">
      <c r="B939" s="3"/>
    </row>
    <row r="940" spans="2:2" ht="15.75" customHeight="1" x14ac:dyDescent="0.2">
      <c r="B940" s="3"/>
    </row>
    <row r="941" spans="2:2" ht="15.75" customHeight="1" x14ac:dyDescent="0.2">
      <c r="B941" s="3"/>
    </row>
    <row r="942" spans="2:2" ht="15.75" customHeight="1" x14ac:dyDescent="0.2">
      <c r="B942" s="3"/>
    </row>
    <row r="943" spans="2:2" ht="15.75" customHeight="1" x14ac:dyDescent="0.2">
      <c r="B943" s="3"/>
    </row>
    <row r="944" spans="2:2" ht="15.75" customHeight="1" x14ac:dyDescent="0.2">
      <c r="B944" s="3"/>
    </row>
    <row r="945" spans="2:2" ht="15.75" customHeight="1" x14ac:dyDescent="0.2">
      <c r="B945" s="3"/>
    </row>
    <row r="946" spans="2:2" ht="15.75" customHeight="1" x14ac:dyDescent="0.2">
      <c r="B946" s="3"/>
    </row>
    <row r="947" spans="2:2" ht="15.75" customHeight="1" x14ac:dyDescent="0.2">
      <c r="B947" s="3"/>
    </row>
    <row r="948" spans="2:2" ht="15.75" customHeight="1" x14ac:dyDescent="0.2">
      <c r="B948" s="3"/>
    </row>
    <row r="949" spans="2:2" ht="15.75" customHeight="1" x14ac:dyDescent="0.2">
      <c r="B949" s="3"/>
    </row>
    <row r="950" spans="2:2" ht="15.75" customHeight="1" x14ac:dyDescent="0.2">
      <c r="B950" s="3"/>
    </row>
    <row r="951" spans="2:2" ht="15.75" customHeight="1" x14ac:dyDescent="0.2">
      <c r="B951" s="3"/>
    </row>
    <row r="952" spans="2:2" ht="15.75" customHeight="1" x14ac:dyDescent="0.2">
      <c r="B952" s="3"/>
    </row>
    <row r="953" spans="2:2" ht="15.75" customHeight="1" x14ac:dyDescent="0.2">
      <c r="B953" s="3"/>
    </row>
    <row r="954" spans="2:2" ht="15.75" customHeight="1" x14ac:dyDescent="0.2">
      <c r="B954" s="3"/>
    </row>
    <row r="955" spans="2:2" ht="15.75" customHeight="1" x14ac:dyDescent="0.2">
      <c r="B955" s="3"/>
    </row>
    <row r="956" spans="2:2" ht="15.75" customHeight="1" x14ac:dyDescent="0.2">
      <c r="B956" s="3"/>
    </row>
    <row r="957" spans="2:2" ht="15.75" customHeight="1" x14ac:dyDescent="0.2">
      <c r="B957" s="3"/>
    </row>
    <row r="958" spans="2:2" ht="15.75" customHeight="1" x14ac:dyDescent="0.2">
      <c r="B958" s="3"/>
    </row>
    <row r="959" spans="2:2" ht="15.75" customHeight="1" x14ac:dyDescent="0.2">
      <c r="B959" s="3"/>
    </row>
    <row r="960" spans="2:2" ht="15.75" customHeight="1" x14ac:dyDescent="0.2">
      <c r="B960" s="3"/>
    </row>
    <row r="961" spans="2:2" ht="15.75" customHeight="1" x14ac:dyDescent="0.2">
      <c r="B961" s="3"/>
    </row>
    <row r="962" spans="2:2" ht="15.75" customHeight="1" x14ac:dyDescent="0.2">
      <c r="B962" s="3"/>
    </row>
    <row r="963" spans="2:2" ht="15.75" customHeight="1" x14ac:dyDescent="0.2">
      <c r="B963" s="3"/>
    </row>
    <row r="964" spans="2:2" ht="15.75" customHeight="1" x14ac:dyDescent="0.2">
      <c r="B964" s="3"/>
    </row>
    <row r="965" spans="2:2" ht="15.75" customHeight="1" x14ac:dyDescent="0.2">
      <c r="B965" s="3"/>
    </row>
    <row r="966" spans="2:2" ht="15.75" customHeight="1" x14ac:dyDescent="0.2">
      <c r="B966" s="3"/>
    </row>
    <row r="967" spans="2:2" ht="15.75" customHeight="1" x14ac:dyDescent="0.2">
      <c r="B967" s="3"/>
    </row>
    <row r="968" spans="2:2" ht="15.75" customHeight="1" x14ac:dyDescent="0.2">
      <c r="B968" s="3"/>
    </row>
    <row r="969" spans="2:2" ht="15.75" customHeight="1" x14ac:dyDescent="0.2">
      <c r="B969" s="3"/>
    </row>
    <row r="970" spans="2:2" ht="15.75" customHeight="1" x14ac:dyDescent="0.2">
      <c r="B970" s="3"/>
    </row>
    <row r="971" spans="2:2" ht="15.75" customHeight="1" x14ac:dyDescent="0.2">
      <c r="B971" s="3"/>
    </row>
    <row r="972" spans="2:2" ht="15.75" customHeight="1" x14ac:dyDescent="0.2">
      <c r="B972" s="3"/>
    </row>
    <row r="973" spans="2:2" ht="15.75" customHeight="1" x14ac:dyDescent="0.2">
      <c r="B973" s="3"/>
    </row>
    <row r="974" spans="2:2" ht="15.75" customHeight="1" x14ac:dyDescent="0.2">
      <c r="B974" s="3"/>
    </row>
    <row r="975" spans="2:2" ht="15.75" customHeight="1" x14ac:dyDescent="0.2">
      <c r="B975" s="3"/>
    </row>
    <row r="976" spans="2:2" ht="15.75" customHeight="1" x14ac:dyDescent="0.2">
      <c r="B976" s="3"/>
    </row>
    <row r="977" spans="2:2" ht="15.75" customHeight="1" x14ac:dyDescent="0.2">
      <c r="B977" s="3"/>
    </row>
    <row r="978" spans="2:2" ht="15.75" customHeight="1" x14ac:dyDescent="0.2">
      <c r="B978" s="3"/>
    </row>
    <row r="979" spans="2:2" ht="15.75" customHeight="1" x14ac:dyDescent="0.2">
      <c r="B979" s="3"/>
    </row>
    <row r="980" spans="2:2" ht="15.75" customHeight="1" x14ac:dyDescent="0.2">
      <c r="B980" s="3"/>
    </row>
    <row r="981" spans="2:2" ht="15.75" customHeight="1" x14ac:dyDescent="0.2">
      <c r="B981" s="3"/>
    </row>
    <row r="982" spans="2:2" ht="15.75" customHeight="1" x14ac:dyDescent="0.2">
      <c r="B982" s="3"/>
    </row>
    <row r="983" spans="2:2" ht="15.75" customHeight="1" x14ac:dyDescent="0.2">
      <c r="B983" s="3"/>
    </row>
    <row r="984" spans="2:2" ht="15.75" customHeight="1" x14ac:dyDescent="0.2">
      <c r="B984" s="3"/>
    </row>
    <row r="985" spans="2:2" ht="15.75" customHeight="1" x14ac:dyDescent="0.2">
      <c r="B985" s="3"/>
    </row>
    <row r="986" spans="2:2" ht="15.75" customHeight="1" x14ac:dyDescent="0.2">
      <c r="B986" s="3"/>
    </row>
    <row r="987" spans="2:2" ht="15.75" customHeight="1" x14ac:dyDescent="0.2">
      <c r="B987" s="3"/>
    </row>
    <row r="988" spans="2:2" ht="15.75" customHeight="1" x14ac:dyDescent="0.2">
      <c r="B988" s="3"/>
    </row>
    <row r="989" spans="2:2" ht="15.75" customHeight="1" x14ac:dyDescent="0.2">
      <c r="B989" s="3"/>
    </row>
    <row r="990" spans="2:2" ht="15.75" customHeight="1" x14ac:dyDescent="0.2">
      <c r="B990" s="3"/>
    </row>
    <row r="991" spans="2:2" ht="15.75" customHeight="1" x14ac:dyDescent="0.2">
      <c r="B991" s="3"/>
    </row>
    <row r="992" spans="2:2" ht="15.75" customHeight="1" x14ac:dyDescent="0.2">
      <c r="B992" s="3"/>
    </row>
    <row r="993" spans="2:2" ht="15.75" customHeight="1" x14ac:dyDescent="0.2">
      <c r="B993" s="3"/>
    </row>
    <row r="994" spans="2:2" ht="15.75" customHeight="1" x14ac:dyDescent="0.2">
      <c r="B994" s="3"/>
    </row>
    <row r="995" spans="2:2" ht="15.75" customHeight="1" x14ac:dyDescent="0.2">
      <c r="B995" s="3"/>
    </row>
    <row r="996" spans="2:2" ht="15.75" customHeight="1" x14ac:dyDescent="0.2">
      <c r="B996" s="3"/>
    </row>
    <row r="997" spans="2:2" ht="15.75" customHeight="1" x14ac:dyDescent="0.2">
      <c r="B997" s="3"/>
    </row>
    <row r="998" spans="2:2" ht="15.75" customHeight="1" x14ac:dyDescent="0.2">
      <c r="B998" s="3"/>
    </row>
    <row r="999" spans="2:2" ht="15.75" customHeight="1" x14ac:dyDescent="0.2">
      <c r="B999" s="3"/>
    </row>
    <row r="1000" spans="2:2" ht="15.75" customHeight="1" x14ac:dyDescent="0.2">
      <c r="B1000" s="3"/>
    </row>
    <row r="1001" spans="2:2" ht="15.75" customHeight="1" x14ac:dyDescent="0.2">
      <c r="B1001" s="3"/>
    </row>
    <row r="1002" spans="2:2" ht="15.75" customHeight="1" x14ac:dyDescent="0.2">
      <c r="B1002" s="3"/>
    </row>
    <row r="1003" spans="2:2" ht="15.75" customHeight="1" x14ac:dyDescent="0.2">
      <c r="B1003" s="3"/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440"/>
  <sheetViews>
    <sheetView workbookViewId="0">
      <pane ySplit="1" topLeftCell="A222" activePane="bottomLeft" state="frozen"/>
      <selection pane="bottomLeft" activeCell="M257" sqref="M257"/>
    </sheetView>
  </sheetViews>
  <sheetFormatPr baseColWidth="10" defaultColWidth="11.1640625" defaultRowHeight="15" customHeight="1" x14ac:dyDescent="0.2"/>
  <cols>
    <col min="1" max="4" width="10.5" customWidth="1"/>
    <col min="5" max="5" width="10.83203125" customWidth="1"/>
    <col min="6" max="7" width="10.5" customWidth="1"/>
    <col min="8" max="8" width="9.6640625" customWidth="1"/>
    <col min="9" max="9" width="9.83203125" customWidth="1"/>
    <col min="10" max="26" width="10.5" customWidth="1"/>
  </cols>
  <sheetData>
    <row r="1" spans="1:26" ht="33.75" customHeight="1" x14ac:dyDescent="0.2">
      <c r="A1" s="3"/>
      <c r="B1" s="3" t="s">
        <v>49</v>
      </c>
      <c r="C1" s="3" t="s">
        <v>50</v>
      </c>
      <c r="D1" s="3" t="s">
        <v>51</v>
      </c>
      <c r="E1" s="3" t="s">
        <v>52</v>
      </c>
      <c r="F1" s="2" t="s">
        <v>53</v>
      </c>
      <c r="G1" s="3" t="s">
        <v>54</v>
      </c>
      <c r="H1" s="2" t="s">
        <v>55</v>
      </c>
      <c r="I1" s="2" t="s">
        <v>56</v>
      </c>
      <c r="J1" s="2" t="s">
        <v>57</v>
      </c>
      <c r="K1" s="2" t="s">
        <v>58</v>
      </c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3"/>
      <c r="B2" s="1" t="s">
        <v>11</v>
      </c>
      <c r="C2" s="3"/>
      <c r="D2" s="3"/>
      <c r="E2" s="3"/>
      <c r="F2" s="2"/>
      <c r="G2" s="3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4"/>
      <c r="B3" s="4" t="s">
        <v>59</v>
      </c>
      <c r="C3" s="3"/>
      <c r="D3" s="3"/>
      <c r="E3" s="3"/>
      <c r="F3" s="2"/>
      <c r="G3" s="3"/>
      <c r="H3" s="2"/>
      <c r="I3" s="2"/>
      <c r="J3" s="2"/>
      <c r="K3" s="2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4" t="s">
        <v>60</v>
      </c>
      <c r="B4" s="4" t="s">
        <v>101</v>
      </c>
      <c r="C4" s="3"/>
      <c r="D4" s="3"/>
      <c r="E4" s="3"/>
      <c r="F4" s="2"/>
      <c r="G4" s="3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3" customHeight="1" x14ac:dyDescent="0.2">
      <c r="A5" s="4"/>
      <c r="B5" s="5" t="s">
        <v>62</v>
      </c>
      <c r="C5" s="3"/>
      <c r="D5" s="3"/>
      <c r="E5" s="3"/>
      <c r="F5" s="2"/>
      <c r="G5" s="3"/>
      <c r="H5" s="2"/>
      <c r="I5" s="2"/>
      <c r="J5" s="2"/>
      <c r="K5" s="2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3"/>
      <c r="C6" s="3"/>
      <c r="D6" s="3"/>
      <c r="E6" s="3"/>
      <c r="F6" s="2"/>
      <c r="G6" s="3"/>
      <c r="H6" s="2"/>
      <c r="I6" s="2"/>
      <c r="J6" s="2"/>
      <c r="K6" s="2"/>
      <c r="L6" s="2"/>
      <c r="M6" s="2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3"/>
      <c r="C7" s="15">
        <v>45097</v>
      </c>
      <c r="D7" s="19">
        <v>0.53819444444444442</v>
      </c>
      <c r="E7" s="3"/>
      <c r="F7" s="2"/>
      <c r="G7" s="3"/>
      <c r="H7" s="2"/>
      <c r="I7" s="2"/>
      <c r="J7" s="2">
        <v>9.5</v>
      </c>
      <c r="K7" s="2">
        <v>10.5</v>
      </c>
      <c r="L7" s="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3"/>
      <c r="C8" s="15">
        <v>45097</v>
      </c>
      <c r="D8" s="19">
        <v>0.54513888888888895</v>
      </c>
      <c r="E8" s="3">
        <v>0.1</v>
      </c>
      <c r="F8" s="2">
        <v>10.14</v>
      </c>
      <c r="G8" s="3">
        <v>104</v>
      </c>
      <c r="H8" s="2">
        <v>16.5</v>
      </c>
      <c r="I8" s="2"/>
      <c r="J8" s="2"/>
      <c r="K8" s="2"/>
      <c r="L8" s="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3"/>
      <c r="C9" s="15">
        <v>45097</v>
      </c>
      <c r="D9" s="19">
        <v>0.54513888888888895</v>
      </c>
      <c r="E9" s="3">
        <v>1</v>
      </c>
      <c r="F9" s="2">
        <v>10.16</v>
      </c>
      <c r="G9" s="3">
        <v>103.8</v>
      </c>
      <c r="H9" s="2">
        <v>16.399999999999999</v>
      </c>
      <c r="I9" s="2"/>
      <c r="J9" s="2"/>
      <c r="K9" s="2"/>
      <c r="L9" s="2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3"/>
      <c r="C10" s="15">
        <v>45097</v>
      </c>
      <c r="D10" s="19">
        <v>0.54513888888888895</v>
      </c>
      <c r="E10" s="3">
        <v>2</v>
      </c>
      <c r="F10" s="2">
        <v>10.24</v>
      </c>
      <c r="G10" s="3">
        <v>104.2</v>
      </c>
      <c r="H10" s="2">
        <v>16.2</v>
      </c>
      <c r="I10" s="2"/>
      <c r="J10" s="2"/>
      <c r="K10" s="2"/>
      <c r="L10" s="2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3"/>
      <c r="C11" s="15">
        <v>45097</v>
      </c>
      <c r="D11" s="19">
        <v>0.54513888888888895</v>
      </c>
      <c r="E11" s="3">
        <v>3</v>
      </c>
      <c r="F11" s="2">
        <v>10.36</v>
      </c>
      <c r="G11" s="3">
        <v>104.9</v>
      </c>
      <c r="H11" s="2">
        <v>16</v>
      </c>
      <c r="I11" s="2"/>
      <c r="J11" s="2"/>
      <c r="K11" s="2"/>
      <c r="L11" s="2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3"/>
      <c r="C12" s="15">
        <v>45097</v>
      </c>
      <c r="D12" s="19">
        <v>0.54513888888888895</v>
      </c>
      <c r="E12" s="3">
        <v>4</v>
      </c>
      <c r="F12" s="2">
        <v>10.48</v>
      </c>
      <c r="G12" s="3">
        <v>105.7</v>
      </c>
      <c r="H12" s="2">
        <v>15.8</v>
      </c>
      <c r="I12" s="2"/>
      <c r="J12" s="2"/>
      <c r="K12" s="2"/>
      <c r="L12" s="2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3"/>
      <c r="C13" s="15">
        <v>45097</v>
      </c>
      <c r="D13" s="19">
        <v>0.54513888888888895</v>
      </c>
      <c r="E13" s="3">
        <v>5</v>
      </c>
      <c r="F13" s="2">
        <v>10.49</v>
      </c>
      <c r="G13" s="3">
        <v>105.8</v>
      </c>
      <c r="H13" s="2">
        <v>15.8</v>
      </c>
      <c r="I13" s="2"/>
      <c r="J13" s="2"/>
      <c r="K13" s="2"/>
      <c r="L13" s="2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3"/>
      <c r="C14" s="15">
        <v>45097</v>
      </c>
      <c r="D14" s="19">
        <v>0.54513888888888895</v>
      </c>
      <c r="E14" s="3">
        <v>6</v>
      </c>
      <c r="F14" s="2">
        <v>10.51</v>
      </c>
      <c r="G14" s="3">
        <v>105.8</v>
      </c>
      <c r="H14" s="2">
        <v>15.7</v>
      </c>
      <c r="I14" s="2"/>
      <c r="J14" s="2"/>
      <c r="K14" s="2"/>
      <c r="L14" s="2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3"/>
      <c r="C15" s="15">
        <v>45097</v>
      </c>
      <c r="D15" s="19">
        <v>0.54513888888888895</v>
      </c>
      <c r="E15" s="3">
        <v>7</v>
      </c>
      <c r="F15" s="2">
        <v>11.32</v>
      </c>
      <c r="G15" s="3">
        <v>107.9</v>
      </c>
      <c r="H15" s="2">
        <v>13.2</v>
      </c>
      <c r="I15" s="2"/>
      <c r="J15" s="2"/>
      <c r="K15" s="2"/>
      <c r="L15" s="2"/>
      <c r="M15" s="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3"/>
      <c r="C16" s="15">
        <v>45097</v>
      </c>
      <c r="D16" s="19">
        <v>0.54513888888888895</v>
      </c>
      <c r="E16" s="3">
        <v>10</v>
      </c>
      <c r="F16" s="2">
        <v>11.83</v>
      </c>
      <c r="G16" s="3">
        <v>107.2</v>
      </c>
      <c r="H16" s="2">
        <v>11</v>
      </c>
      <c r="I16" s="2"/>
      <c r="J16" s="2"/>
      <c r="K16" s="2"/>
      <c r="L16" s="2"/>
      <c r="M16" s="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3"/>
      <c r="C17" s="15">
        <v>45097</v>
      </c>
      <c r="D17" s="19">
        <v>0.54513888888888895</v>
      </c>
      <c r="E17" s="3">
        <v>15</v>
      </c>
      <c r="F17" s="2">
        <v>12.06</v>
      </c>
      <c r="G17" s="3">
        <v>97.6</v>
      </c>
      <c r="H17" s="2">
        <v>6.4</v>
      </c>
      <c r="I17" s="2"/>
      <c r="J17" s="2"/>
      <c r="K17" s="2"/>
      <c r="L17" s="2"/>
      <c r="M17" s="2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3"/>
      <c r="C18" s="15">
        <v>45097</v>
      </c>
      <c r="D18" s="19">
        <v>0.54513888888888895</v>
      </c>
      <c r="E18" s="3">
        <v>20</v>
      </c>
      <c r="F18" s="2">
        <v>11.9</v>
      </c>
      <c r="G18" s="3">
        <v>94.5</v>
      </c>
      <c r="H18" s="2">
        <v>5.5</v>
      </c>
      <c r="I18" s="2"/>
      <c r="J18" s="2"/>
      <c r="K18" s="2"/>
      <c r="L18" s="2"/>
      <c r="M18" s="2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3"/>
      <c r="C19" s="15">
        <v>45097</v>
      </c>
      <c r="D19" s="19">
        <v>0.54513888888888895</v>
      </c>
      <c r="E19" s="3">
        <v>25</v>
      </c>
      <c r="F19" s="2">
        <v>11.79</v>
      </c>
      <c r="G19" s="3">
        <v>93.1</v>
      </c>
      <c r="H19" s="2">
        <v>5.3</v>
      </c>
      <c r="I19" s="2"/>
      <c r="J19" s="2"/>
      <c r="K19" s="2"/>
      <c r="L19" s="2"/>
      <c r="M19" s="2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3"/>
      <c r="C20" s="15">
        <v>45097</v>
      </c>
      <c r="D20" s="19">
        <v>0.54513888888888895</v>
      </c>
      <c r="E20" s="3">
        <v>30</v>
      </c>
      <c r="F20" s="2">
        <v>11.7</v>
      </c>
      <c r="G20" s="3">
        <v>92.1</v>
      </c>
      <c r="H20" s="2">
        <v>5.2</v>
      </c>
      <c r="I20" s="2"/>
      <c r="J20" s="2"/>
      <c r="K20" s="2"/>
      <c r="L20" s="2"/>
      <c r="M20" s="2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C21" s="15">
        <v>45097</v>
      </c>
      <c r="D21" s="19">
        <v>0.54513888888888895</v>
      </c>
      <c r="E21" s="3">
        <v>35</v>
      </c>
      <c r="F21" s="2">
        <v>11.52</v>
      </c>
      <c r="G21" s="3">
        <v>88.7</v>
      </c>
      <c r="H21" s="2">
        <v>4.8</v>
      </c>
      <c r="I21" s="2"/>
      <c r="J21" s="2"/>
      <c r="K21" s="2"/>
      <c r="L21" s="2"/>
      <c r="M21" s="2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/>
      <c r="C22" s="15">
        <v>45097</v>
      </c>
      <c r="D22" s="19">
        <v>0.54513888888888895</v>
      </c>
      <c r="E22" s="3">
        <v>40</v>
      </c>
      <c r="F22" s="2">
        <v>11.37</v>
      </c>
      <c r="G22" s="3">
        <v>88.6</v>
      </c>
      <c r="H22" s="2">
        <v>4.8</v>
      </c>
      <c r="I22" s="2"/>
      <c r="J22" s="2"/>
      <c r="K22" s="2"/>
      <c r="L22" s="2"/>
      <c r="M22" s="2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C23" s="15"/>
      <c r="D23" s="19"/>
      <c r="E23" s="3"/>
      <c r="F23" s="2"/>
      <c r="G23" s="3"/>
      <c r="H23" s="2"/>
      <c r="I23" s="2"/>
      <c r="J23" s="2"/>
      <c r="K23" s="2"/>
      <c r="L23" s="2"/>
      <c r="M23" s="2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C24" s="15">
        <v>45134</v>
      </c>
      <c r="D24" s="19">
        <v>0.47569444444444442</v>
      </c>
      <c r="E24" s="3"/>
      <c r="F24" s="2"/>
      <c r="G24" s="3"/>
      <c r="H24" s="2"/>
      <c r="I24" s="2"/>
      <c r="J24" s="2">
        <v>11</v>
      </c>
      <c r="K24" s="2">
        <v>13</v>
      </c>
      <c r="L24" s="2"/>
      <c r="M24" s="2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C25" s="15">
        <v>45134</v>
      </c>
      <c r="D25" s="19">
        <v>0.47569444444444442</v>
      </c>
      <c r="E25" s="3">
        <v>0.1</v>
      </c>
      <c r="F25" s="2">
        <v>9.02</v>
      </c>
      <c r="G25" s="3">
        <v>103.9</v>
      </c>
      <c r="H25" s="2">
        <v>22.3</v>
      </c>
      <c r="I25" s="2"/>
      <c r="J25" s="2"/>
      <c r="K25" s="2"/>
      <c r="L25" s="2"/>
      <c r="M25" s="2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C26" s="15">
        <v>45134</v>
      </c>
      <c r="D26" s="19">
        <v>0.47569444444444442</v>
      </c>
      <c r="E26" s="3">
        <v>1</v>
      </c>
      <c r="F26" s="2">
        <v>9.0399999999999991</v>
      </c>
      <c r="G26" s="3">
        <v>103.4</v>
      </c>
      <c r="H26" s="2">
        <v>22</v>
      </c>
      <c r="I26" s="2"/>
      <c r="J26" s="2"/>
      <c r="K26" s="2"/>
      <c r="L26" s="2"/>
      <c r="M26" s="2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C27" s="15">
        <v>45134</v>
      </c>
      <c r="D27" s="19">
        <v>0.47569444444444442</v>
      </c>
      <c r="E27" s="3">
        <v>2</v>
      </c>
      <c r="F27" s="2">
        <v>9.0500000000000007</v>
      </c>
      <c r="G27" s="3">
        <v>103.1</v>
      </c>
      <c r="H27" s="2">
        <v>21.8</v>
      </c>
      <c r="I27" s="2"/>
      <c r="J27" s="2"/>
      <c r="K27" s="2"/>
      <c r="L27" s="2"/>
      <c r="M27" s="2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C28" s="15">
        <v>45134</v>
      </c>
      <c r="D28" s="19">
        <v>0.47569444444444442</v>
      </c>
      <c r="E28" s="3">
        <v>3</v>
      </c>
      <c r="F28" s="2">
        <v>9.06</v>
      </c>
      <c r="G28" s="3">
        <v>103</v>
      </c>
      <c r="H28" s="2">
        <v>21.7</v>
      </c>
      <c r="I28" s="2"/>
      <c r="J28" s="2"/>
      <c r="K28" s="2"/>
      <c r="L28" s="2"/>
      <c r="M28" s="2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C29" s="15">
        <v>45134</v>
      </c>
      <c r="D29" s="19">
        <v>0.47569444444444442</v>
      </c>
      <c r="E29" s="3">
        <v>4</v>
      </c>
      <c r="F29" s="2">
        <v>9.01</v>
      </c>
      <c r="G29" s="3">
        <v>103</v>
      </c>
      <c r="H29" s="2">
        <v>21.6</v>
      </c>
      <c r="I29" s="2"/>
      <c r="J29" s="2"/>
      <c r="K29" s="2"/>
      <c r="L29" s="2"/>
      <c r="M29" s="2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C30" s="15">
        <v>45134</v>
      </c>
      <c r="D30" s="19">
        <v>0.47569444444444442</v>
      </c>
      <c r="E30" s="3">
        <v>5</v>
      </c>
      <c r="F30" s="2">
        <v>9.1300000000000008</v>
      </c>
      <c r="G30" s="3">
        <v>103.2</v>
      </c>
      <c r="H30" s="2">
        <v>21.4</v>
      </c>
      <c r="I30" s="2"/>
      <c r="J30" s="2"/>
      <c r="K30" s="2"/>
      <c r="L30" s="2"/>
      <c r="M30" s="2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C31" s="15">
        <v>45134</v>
      </c>
      <c r="D31" s="19">
        <v>0.47569444444444442</v>
      </c>
      <c r="E31" s="3">
        <v>6</v>
      </c>
      <c r="F31" s="2">
        <v>9.3000000000000007</v>
      </c>
      <c r="G31" s="3">
        <v>103.9</v>
      </c>
      <c r="H31" s="2">
        <v>21</v>
      </c>
      <c r="I31" s="2"/>
      <c r="J31" s="2"/>
      <c r="K31" s="2"/>
      <c r="L31" s="2"/>
      <c r="M31" s="2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C32" s="15">
        <v>45134</v>
      </c>
      <c r="D32" s="19">
        <v>0.47569444444444442</v>
      </c>
      <c r="E32" s="3">
        <v>7</v>
      </c>
      <c r="F32" s="2">
        <v>9.3699999999999992</v>
      </c>
      <c r="G32" s="3">
        <v>103.8</v>
      </c>
      <c r="H32" s="2">
        <v>20.5</v>
      </c>
      <c r="I32" s="2"/>
      <c r="J32" s="2"/>
      <c r="K32" s="2"/>
      <c r="L32" s="2"/>
      <c r="M32" s="2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C33" s="15">
        <v>45134</v>
      </c>
      <c r="D33" s="19">
        <v>0.47569444444444442</v>
      </c>
      <c r="E33" s="3">
        <v>8</v>
      </c>
      <c r="F33" s="2">
        <v>9.85</v>
      </c>
      <c r="G33" s="3">
        <v>107.7</v>
      </c>
      <c r="H33" s="2">
        <v>19.7</v>
      </c>
      <c r="I33" s="2"/>
      <c r="J33" s="2"/>
      <c r="K33" s="2"/>
      <c r="L33" s="2"/>
      <c r="M33" s="2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/>
      <c r="C34" s="15">
        <v>45134</v>
      </c>
      <c r="D34" s="19">
        <v>0.47569444444444442</v>
      </c>
      <c r="E34" s="3">
        <v>9</v>
      </c>
      <c r="F34" s="2">
        <v>10.67</v>
      </c>
      <c r="G34" s="3">
        <v>111.2</v>
      </c>
      <c r="H34" s="2">
        <v>17.399999999999999</v>
      </c>
      <c r="I34" s="2"/>
      <c r="J34" s="2"/>
      <c r="K34" s="2"/>
      <c r="L34" s="2"/>
      <c r="M34" s="2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/>
      <c r="C35" s="15">
        <v>45134</v>
      </c>
      <c r="D35" s="19">
        <v>0.47569444444444442</v>
      </c>
      <c r="E35" s="3">
        <v>10</v>
      </c>
      <c r="F35" s="2">
        <v>10.85</v>
      </c>
      <c r="G35" s="3">
        <v>112</v>
      </c>
      <c r="H35" s="2">
        <v>16.899999999999999</v>
      </c>
      <c r="I35" s="2"/>
      <c r="J35" s="2"/>
      <c r="K35" s="2"/>
      <c r="L35" s="2"/>
      <c r="M35" s="2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C36" s="15">
        <v>45134</v>
      </c>
      <c r="D36" s="19">
        <v>0.47569444444444442</v>
      </c>
      <c r="E36" s="3">
        <v>15</v>
      </c>
      <c r="F36" s="2">
        <v>12.31</v>
      </c>
      <c r="G36" s="3">
        <v>104.4</v>
      </c>
      <c r="H36" s="2">
        <v>8.1999999999999993</v>
      </c>
      <c r="I36" s="2"/>
      <c r="J36" s="2"/>
      <c r="K36" s="2"/>
      <c r="L36" s="2"/>
      <c r="M36" s="2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C37" s="15">
        <v>45134</v>
      </c>
      <c r="D37" s="19">
        <v>0.47569444444444442</v>
      </c>
      <c r="E37" s="3">
        <v>20</v>
      </c>
      <c r="F37" s="2">
        <v>12.02</v>
      </c>
      <c r="G37" s="3">
        <v>97.9</v>
      </c>
      <c r="H37" s="2">
        <v>6.5</v>
      </c>
      <c r="I37" s="2"/>
      <c r="J37" s="2"/>
      <c r="K37" s="2"/>
      <c r="L37" s="2"/>
      <c r="M37" s="2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C38" s="15">
        <v>45134</v>
      </c>
      <c r="D38" s="19">
        <v>0.47569444444444442</v>
      </c>
      <c r="E38" s="3">
        <v>25</v>
      </c>
      <c r="F38" s="2">
        <v>11.75</v>
      </c>
      <c r="G38" s="3">
        <v>94</v>
      </c>
      <c r="H38" s="2">
        <v>5.9</v>
      </c>
      <c r="I38" s="2"/>
      <c r="J38" s="2"/>
      <c r="K38" s="2"/>
      <c r="L38" s="2"/>
      <c r="M38" s="2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C39" s="15">
        <v>45134</v>
      </c>
      <c r="D39" s="19">
        <v>0.47569444444444442</v>
      </c>
      <c r="E39" s="3">
        <v>30</v>
      </c>
      <c r="F39" s="2">
        <v>11.49</v>
      </c>
      <c r="G39" s="3">
        <v>91.3</v>
      </c>
      <c r="H39" s="2">
        <v>5.5</v>
      </c>
      <c r="I39" s="2"/>
      <c r="J39" s="2"/>
      <c r="K39" s="2"/>
      <c r="L39" s="2"/>
      <c r="M39" s="2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C40" s="15">
        <v>45134</v>
      </c>
      <c r="D40" s="19">
        <v>0.47569444444444442</v>
      </c>
      <c r="E40" s="3">
        <v>35</v>
      </c>
      <c r="F40" s="2">
        <v>11.32</v>
      </c>
      <c r="G40" s="3">
        <v>89.1</v>
      </c>
      <c r="H40" s="2">
        <v>5.2</v>
      </c>
      <c r="I40" s="2"/>
      <c r="J40" s="2"/>
      <c r="K40" s="2"/>
      <c r="L40" s="2"/>
      <c r="M40" s="2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C41" s="15">
        <v>45134</v>
      </c>
      <c r="D41" s="19">
        <v>0.47569444444444442</v>
      </c>
      <c r="E41" s="3">
        <v>40</v>
      </c>
      <c r="F41" s="2">
        <v>11.03</v>
      </c>
      <c r="G41" s="3">
        <v>86.3</v>
      </c>
      <c r="H41" s="2">
        <v>4.9000000000000004</v>
      </c>
      <c r="I41" s="2"/>
      <c r="J41" s="2"/>
      <c r="K41" s="2"/>
      <c r="L41" s="2"/>
      <c r="M41" s="2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C42" s="15">
        <v>45134</v>
      </c>
      <c r="D42" s="19">
        <v>0.47569444444444442</v>
      </c>
      <c r="E42" s="3">
        <v>43</v>
      </c>
      <c r="F42" s="2">
        <v>10.81</v>
      </c>
      <c r="G42" s="3">
        <v>84.3</v>
      </c>
      <c r="H42" s="2">
        <v>4.8</v>
      </c>
      <c r="I42" s="2"/>
      <c r="J42" s="2"/>
      <c r="K42" s="2"/>
      <c r="L42" s="2"/>
      <c r="M42" s="2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C43" s="15"/>
      <c r="D43" s="19"/>
      <c r="E43" s="3"/>
      <c r="F43" s="2"/>
      <c r="G43" s="3"/>
      <c r="H43" s="2"/>
      <c r="I43" s="2"/>
      <c r="J43" s="2"/>
      <c r="K43" s="2"/>
      <c r="L43" s="2"/>
      <c r="M43" s="2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C44" s="15">
        <v>45161</v>
      </c>
      <c r="D44" s="19">
        <v>0.49305555555555558</v>
      </c>
      <c r="E44" s="3"/>
      <c r="F44" s="2"/>
      <c r="G44" s="3"/>
      <c r="H44" s="2"/>
      <c r="I44" s="2"/>
      <c r="J44" s="2">
        <v>8.5</v>
      </c>
      <c r="K44" s="2">
        <v>11</v>
      </c>
      <c r="L44" s="2"/>
      <c r="M44" s="2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C45" s="15">
        <v>45161</v>
      </c>
      <c r="D45" s="19">
        <v>0.49305555555555558</v>
      </c>
      <c r="E45" s="3">
        <v>0.1</v>
      </c>
      <c r="F45" s="2">
        <v>9.33</v>
      </c>
      <c r="G45" s="3">
        <v>104</v>
      </c>
      <c r="H45" s="2">
        <v>20.7</v>
      </c>
      <c r="I45" s="2"/>
      <c r="J45" s="2"/>
      <c r="K45" s="2"/>
      <c r="L45" s="2"/>
      <c r="M45" s="2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C46" s="15">
        <v>45161</v>
      </c>
      <c r="D46" s="19">
        <v>0.49305555555555558</v>
      </c>
      <c r="E46" s="3">
        <v>1</v>
      </c>
      <c r="F46" s="2">
        <v>9.2200000000000006</v>
      </c>
      <c r="G46" s="3">
        <v>103.3</v>
      </c>
      <c r="H46" s="2">
        <v>21</v>
      </c>
      <c r="I46" s="2"/>
      <c r="J46" s="2"/>
      <c r="K46" s="2"/>
      <c r="L46" s="2"/>
      <c r="M46" s="2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C47" s="15">
        <v>45161</v>
      </c>
      <c r="D47" s="19">
        <v>0.49305555555555558</v>
      </c>
      <c r="E47" s="3">
        <v>2</v>
      </c>
      <c r="F47" s="2">
        <v>9.16</v>
      </c>
      <c r="G47" s="3">
        <v>103</v>
      </c>
      <c r="H47" s="2">
        <v>21.1</v>
      </c>
      <c r="I47" s="2"/>
      <c r="J47" s="2"/>
      <c r="K47" s="2"/>
      <c r="L47" s="2"/>
      <c r="M47" s="2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C48" s="15">
        <v>45161</v>
      </c>
      <c r="D48" s="19">
        <v>0.49305555555555558</v>
      </c>
      <c r="E48" s="3">
        <v>3</v>
      </c>
      <c r="F48" s="2">
        <v>9.14</v>
      </c>
      <c r="G48" s="3">
        <v>102.7</v>
      </c>
      <c r="H48" s="2">
        <v>21.1</v>
      </c>
      <c r="I48" s="2"/>
      <c r="J48" s="2"/>
      <c r="K48" s="2"/>
      <c r="L48" s="2"/>
      <c r="M48" s="2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C49" s="15">
        <v>45161</v>
      </c>
      <c r="D49" s="19">
        <v>0.49305555555555558</v>
      </c>
      <c r="E49" s="3">
        <v>4</v>
      </c>
      <c r="F49" s="2">
        <v>9.15</v>
      </c>
      <c r="G49" s="3">
        <v>102.6</v>
      </c>
      <c r="H49" s="2">
        <v>21.1</v>
      </c>
      <c r="I49" s="2"/>
      <c r="J49" s="2"/>
      <c r="K49" s="2"/>
      <c r="L49" s="2"/>
      <c r="M49" s="2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C50" s="15">
        <v>45161</v>
      </c>
      <c r="D50" s="19">
        <v>0.49305555555555558</v>
      </c>
      <c r="E50" s="3">
        <v>5</v>
      </c>
      <c r="F50" s="2">
        <v>9.11</v>
      </c>
      <c r="G50" s="3">
        <v>102.4</v>
      </c>
      <c r="H50" s="2">
        <v>21.1</v>
      </c>
      <c r="I50" s="2"/>
      <c r="J50" s="2"/>
      <c r="K50" s="2"/>
      <c r="L50" s="2"/>
      <c r="M50" s="2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C51" s="15">
        <v>45161</v>
      </c>
      <c r="D51" s="19">
        <v>0.49305555555555558</v>
      </c>
      <c r="E51" s="3">
        <v>6</v>
      </c>
      <c r="F51" s="2">
        <v>9.09</v>
      </c>
      <c r="G51" s="3">
        <v>102.2</v>
      </c>
      <c r="H51" s="2">
        <v>21.1</v>
      </c>
      <c r="I51" s="2"/>
      <c r="J51" s="2"/>
      <c r="K51" s="2"/>
      <c r="L51" s="2"/>
      <c r="M51" s="2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C52" s="15">
        <v>45161</v>
      </c>
      <c r="D52" s="19">
        <v>0.49305555555555558</v>
      </c>
      <c r="E52" s="3">
        <v>7</v>
      </c>
      <c r="F52" s="2">
        <v>9.07</v>
      </c>
      <c r="G52" s="3">
        <v>102</v>
      </c>
      <c r="H52" s="2">
        <v>21.1</v>
      </c>
      <c r="I52" s="2"/>
      <c r="J52" s="2"/>
      <c r="K52" s="2"/>
      <c r="L52" s="2"/>
      <c r="M52" s="2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C53" s="15">
        <v>45161</v>
      </c>
      <c r="D53" s="19">
        <v>0.49305555555555558</v>
      </c>
      <c r="E53" s="3">
        <v>8</v>
      </c>
      <c r="F53" s="2">
        <v>9.06</v>
      </c>
      <c r="G53" s="3">
        <v>101.9</v>
      </c>
      <c r="H53" s="2">
        <v>21.1</v>
      </c>
      <c r="I53" s="2"/>
      <c r="J53" s="2"/>
      <c r="K53" s="2"/>
      <c r="L53" s="2"/>
      <c r="M53" s="2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C54" s="15">
        <v>45161</v>
      </c>
      <c r="D54" s="19">
        <v>0.49305555555555558</v>
      </c>
      <c r="E54" s="3">
        <v>9</v>
      </c>
      <c r="F54" s="2">
        <v>11.58</v>
      </c>
      <c r="G54" s="3">
        <v>112.7</v>
      </c>
      <c r="H54" s="2">
        <v>13.8</v>
      </c>
      <c r="I54" s="2"/>
      <c r="J54" s="2"/>
      <c r="K54" s="2"/>
      <c r="L54" s="2"/>
      <c r="M54" s="2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C55" s="15">
        <v>45161</v>
      </c>
      <c r="D55" s="19">
        <v>0.49305555555555558</v>
      </c>
      <c r="E55" s="3">
        <v>10</v>
      </c>
      <c r="F55" s="2">
        <v>12.15</v>
      </c>
      <c r="G55" s="3">
        <v>115.8</v>
      </c>
      <c r="H55" s="2">
        <v>13.1</v>
      </c>
      <c r="I55" s="2"/>
      <c r="J55" s="2"/>
      <c r="K55" s="2"/>
      <c r="L55" s="2"/>
      <c r="M55" s="2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C56" s="15">
        <v>45161</v>
      </c>
      <c r="D56" s="19">
        <v>0.49305555555555558</v>
      </c>
      <c r="E56" s="3">
        <v>15</v>
      </c>
      <c r="F56" s="2">
        <v>12.34</v>
      </c>
      <c r="G56" s="3">
        <v>104.3</v>
      </c>
      <c r="H56" s="2">
        <v>8.1</v>
      </c>
      <c r="I56" s="2"/>
      <c r="J56" s="2"/>
      <c r="K56" s="2"/>
      <c r="L56" s="2"/>
      <c r="M56" s="2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C57" s="15">
        <v>45161</v>
      </c>
      <c r="D57" s="19">
        <v>0.49305555555555558</v>
      </c>
      <c r="E57" s="3">
        <v>20</v>
      </c>
      <c r="F57" s="2">
        <v>12.14</v>
      </c>
      <c r="G57" s="3">
        <v>98.7</v>
      </c>
      <c r="H57" s="2">
        <v>6.6</v>
      </c>
      <c r="I57" s="2"/>
      <c r="J57" s="2"/>
      <c r="K57" s="2"/>
      <c r="L57" s="2"/>
      <c r="M57" s="2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C58" s="15">
        <v>45161</v>
      </c>
      <c r="D58" s="19">
        <v>0.49305555555555558</v>
      </c>
      <c r="E58" s="3">
        <v>25</v>
      </c>
      <c r="F58" s="2">
        <v>11.84</v>
      </c>
      <c r="G58" s="3">
        <v>95.7</v>
      </c>
      <c r="H58" s="2">
        <v>6.2</v>
      </c>
      <c r="I58" s="2"/>
      <c r="J58" s="2"/>
      <c r="K58" s="2"/>
      <c r="L58" s="2"/>
      <c r="M58" s="2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C59" s="15">
        <v>45161</v>
      </c>
      <c r="D59" s="19">
        <v>0.49305555555555558</v>
      </c>
      <c r="E59" s="3">
        <v>30</v>
      </c>
      <c r="F59" s="2">
        <v>11.62</v>
      </c>
      <c r="G59" s="3">
        <v>93</v>
      </c>
      <c r="H59" s="2">
        <v>5.9</v>
      </c>
      <c r="I59" s="2"/>
      <c r="J59" s="2"/>
      <c r="K59" s="2"/>
      <c r="L59" s="2"/>
      <c r="M59" s="2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C60" s="15">
        <v>45161</v>
      </c>
      <c r="D60" s="19">
        <v>0.49305555555555558</v>
      </c>
      <c r="E60" s="3">
        <v>35</v>
      </c>
      <c r="F60" s="2">
        <v>11.48</v>
      </c>
      <c r="G60" s="3">
        <v>91.5</v>
      </c>
      <c r="H60" s="2">
        <v>5.7</v>
      </c>
      <c r="I60" s="2"/>
      <c r="J60" s="2"/>
      <c r="K60" s="2"/>
      <c r="L60" s="2"/>
      <c r="M60" s="2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C61" s="15">
        <v>45161</v>
      </c>
      <c r="D61" s="19">
        <v>0.49305555555555558</v>
      </c>
      <c r="E61" s="3">
        <v>40</v>
      </c>
      <c r="F61" s="2">
        <v>11.28</v>
      </c>
      <c r="G61" s="3">
        <v>88.8</v>
      </c>
      <c r="H61" s="2">
        <v>5.3</v>
      </c>
      <c r="I61" s="2"/>
      <c r="J61" s="2"/>
      <c r="K61" s="2"/>
      <c r="L61" s="2"/>
      <c r="M61" s="2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C62" s="15">
        <v>45161</v>
      </c>
      <c r="D62" s="19">
        <v>0.49305555555555558</v>
      </c>
      <c r="E62" s="3">
        <v>45</v>
      </c>
      <c r="F62" s="2">
        <v>11.15</v>
      </c>
      <c r="G62" s="3">
        <v>87.5</v>
      </c>
      <c r="H62" s="2">
        <v>5.0999999999999996</v>
      </c>
      <c r="I62" s="2"/>
      <c r="J62" s="2"/>
      <c r="K62" s="2"/>
      <c r="L62" s="2"/>
      <c r="M62" s="2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C63" s="15">
        <v>45161</v>
      </c>
      <c r="D63" s="19">
        <v>0.49305555555555558</v>
      </c>
      <c r="E63" s="3">
        <v>50</v>
      </c>
      <c r="F63" s="2">
        <v>11.05</v>
      </c>
      <c r="G63" s="3">
        <v>87.2</v>
      </c>
      <c r="H63" s="2">
        <v>5.0999999999999996</v>
      </c>
      <c r="I63" s="2"/>
      <c r="J63" s="2"/>
      <c r="K63" s="2"/>
      <c r="L63" s="2"/>
      <c r="M63" s="2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C64" s="15"/>
      <c r="D64" s="19"/>
      <c r="E64" s="3"/>
      <c r="F64" s="2"/>
      <c r="G64" s="3"/>
      <c r="H64" s="2"/>
      <c r="I64" s="2"/>
      <c r="J64" s="2"/>
      <c r="K64" s="2"/>
      <c r="L64" s="2"/>
      <c r="M64" s="2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C65" s="15">
        <v>45188</v>
      </c>
      <c r="D65" s="19">
        <v>0.4548611111111111</v>
      </c>
      <c r="E65" s="3"/>
      <c r="F65" s="2"/>
      <c r="G65" s="3"/>
      <c r="H65" s="2"/>
      <c r="I65" s="2"/>
      <c r="J65" s="2">
        <v>9.5</v>
      </c>
      <c r="K65" s="2">
        <v>12</v>
      </c>
      <c r="L65" s="2"/>
      <c r="M65" s="2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C66" s="15">
        <v>45188</v>
      </c>
      <c r="D66" s="19">
        <v>0.45833333333333331</v>
      </c>
      <c r="E66" s="3">
        <v>0.1</v>
      </c>
      <c r="F66" s="2">
        <v>9.9600000000000009</v>
      </c>
      <c r="G66" s="3">
        <v>104.6</v>
      </c>
      <c r="H66" s="2">
        <v>18.7</v>
      </c>
      <c r="I66" s="2"/>
      <c r="J66" s="2"/>
      <c r="K66" s="2"/>
      <c r="L66" s="2"/>
      <c r="M66" s="2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C67" s="15">
        <v>45188</v>
      </c>
      <c r="D67" s="19">
        <v>0.45833333333333331</v>
      </c>
      <c r="E67" s="3">
        <v>1</v>
      </c>
      <c r="F67" s="2">
        <v>9.7200000000000006</v>
      </c>
      <c r="G67" s="3">
        <v>104.4</v>
      </c>
      <c r="H67" s="2">
        <v>18.8</v>
      </c>
      <c r="I67" s="2"/>
      <c r="J67" s="2"/>
      <c r="K67" s="2"/>
      <c r="L67" s="2"/>
      <c r="M67" s="2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C68" s="15">
        <v>45188</v>
      </c>
      <c r="D68" s="19">
        <v>0.45833333333333331</v>
      </c>
      <c r="E68" s="3">
        <v>2</v>
      </c>
      <c r="F68" s="2">
        <v>9.6999999999999993</v>
      </c>
      <c r="G68" s="3">
        <v>104.2</v>
      </c>
      <c r="H68" s="2">
        <v>18.8</v>
      </c>
      <c r="I68" s="2"/>
      <c r="J68" s="2"/>
      <c r="K68" s="2"/>
      <c r="L68" s="2"/>
      <c r="M68" s="2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C69" s="15">
        <v>45188</v>
      </c>
      <c r="D69" s="19">
        <v>0.45833333333333331</v>
      </c>
      <c r="E69" s="3">
        <v>3</v>
      </c>
      <c r="F69" s="2">
        <v>9.68</v>
      </c>
      <c r="G69" s="3">
        <v>103.9</v>
      </c>
      <c r="H69" s="2">
        <v>18.8</v>
      </c>
      <c r="I69" s="2"/>
      <c r="J69" s="2"/>
      <c r="K69" s="2"/>
      <c r="L69" s="2"/>
      <c r="M69" s="2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C70" s="15">
        <v>45188</v>
      </c>
      <c r="D70" s="19">
        <v>0.45833333333333331</v>
      </c>
      <c r="E70" s="3">
        <v>4</v>
      </c>
      <c r="F70" s="2">
        <v>9.66</v>
      </c>
      <c r="G70" s="3">
        <v>103.7</v>
      </c>
      <c r="H70" s="2">
        <v>18.8</v>
      </c>
      <c r="I70" s="2"/>
      <c r="J70" s="2"/>
      <c r="K70" s="2"/>
      <c r="L70" s="2"/>
      <c r="M70" s="2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C71" s="15">
        <v>45188</v>
      </c>
      <c r="D71" s="19">
        <v>0.45833333333333331</v>
      </c>
      <c r="E71" s="3">
        <v>5</v>
      </c>
      <c r="F71" s="2">
        <v>9.6199999999999992</v>
      </c>
      <c r="G71" s="3">
        <v>103.5</v>
      </c>
      <c r="H71" s="2">
        <v>18.899999999999999</v>
      </c>
      <c r="I71" s="2"/>
      <c r="J71" s="2"/>
      <c r="K71" s="2"/>
      <c r="L71" s="2"/>
      <c r="M71" s="2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C72" s="15">
        <v>45188</v>
      </c>
      <c r="D72" s="19">
        <v>0.45833333333333331</v>
      </c>
      <c r="E72" s="3">
        <v>6</v>
      </c>
      <c r="F72" s="2">
        <v>9.6</v>
      </c>
      <c r="G72" s="3">
        <v>103.3</v>
      </c>
      <c r="H72" s="2">
        <v>18.899999999999999</v>
      </c>
      <c r="I72" s="2"/>
      <c r="J72" s="2"/>
      <c r="K72" s="2"/>
      <c r="L72" s="2"/>
      <c r="M72" s="2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C73" s="15">
        <v>45188</v>
      </c>
      <c r="D73" s="19">
        <v>0.45833333333333331</v>
      </c>
      <c r="E73" s="3">
        <v>7</v>
      </c>
      <c r="F73" s="2">
        <v>9.59</v>
      </c>
      <c r="G73" s="3">
        <v>103.3</v>
      </c>
      <c r="H73" s="2">
        <v>18.899999999999999</v>
      </c>
      <c r="I73" s="2"/>
      <c r="J73" s="2"/>
      <c r="K73" s="2"/>
      <c r="L73" s="2"/>
      <c r="M73" s="2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C74" s="15">
        <v>45188</v>
      </c>
      <c r="D74" s="19">
        <v>0.45833333333333331</v>
      </c>
      <c r="E74" s="3">
        <v>8</v>
      </c>
      <c r="F74" s="2">
        <v>9.57</v>
      </c>
      <c r="G74" s="3">
        <v>102.9</v>
      </c>
      <c r="H74" s="2">
        <v>18.899999999999999</v>
      </c>
      <c r="I74" s="2"/>
      <c r="J74" s="2"/>
      <c r="K74" s="2"/>
      <c r="L74" s="2"/>
      <c r="M74" s="2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C75" s="15">
        <v>45188</v>
      </c>
      <c r="D75" s="19">
        <v>0.45833333333333331</v>
      </c>
      <c r="E75" s="3">
        <v>9</v>
      </c>
      <c r="F75" s="2">
        <v>9.56</v>
      </c>
      <c r="G75" s="3">
        <v>102.8</v>
      </c>
      <c r="H75" s="2">
        <v>18.899999999999999</v>
      </c>
      <c r="I75" s="2"/>
      <c r="J75" s="2"/>
      <c r="K75" s="2"/>
      <c r="L75" s="2"/>
      <c r="M75" s="2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C76" s="15">
        <v>45188</v>
      </c>
      <c r="D76" s="19">
        <v>0.45833333333333331</v>
      </c>
      <c r="E76" s="3">
        <v>10</v>
      </c>
      <c r="F76" s="2">
        <v>9.5399999999999991</v>
      </c>
      <c r="G76" s="3">
        <v>102.6</v>
      </c>
      <c r="H76" s="2">
        <v>18.899999999999999</v>
      </c>
      <c r="I76" s="2"/>
      <c r="J76" s="2"/>
      <c r="K76" s="2"/>
      <c r="L76" s="2"/>
      <c r="M76" s="2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C77" s="15">
        <v>45188</v>
      </c>
      <c r="D77" s="19">
        <v>0.45833333333333331</v>
      </c>
      <c r="E77" s="3">
        <v>11</v>
      </c>
      <c r="F77" s="2">
        <v>11.79</v>
      </c>
      <c r="G77" s="3">
        <v>118.7</v>
      </c>
      <c r="H77" s="2">
        <v>15.8</v>
      </c>
      <c r="I77" s="2"/>
      <c r="J77" s="2"/>
      <c r="K77" s="2"/>
      <c r="L77" s="2"/>
      <c r="M77" s="2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C78" s="15">
        <v>45188</v>
      </c>
      <c r="D78" s="19">
        <v>0.45833333333333331</v>
      </c>
      <c r="E78" s="3">
        <v>15</v>
      </c>
      <c r="F78" s="2">
        <v>12.37</v>
      </c>
      <c r="G78" s="3">
        <v>104.4</v>
      </c>
      <c r="H78" s="2">
        <v>7.9</v>
      </c>
      <c r="I78" s="2"/>
      <c r="J78" s="2"/>
      <c r="K78" s="2"/>
      <c r="L78" s="2"/>
      <c r="M78" s="2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C79" s="15">
        <v>45188</v>
      </c>
      <c r="D79" s="19">
        <v>0.45833333333333331</v>
      </c>
      <c r="E79" s="3">
        <v>20</v>
      </c>
      <c r="F79" s="2">
        <v>11.91</v>
      </c>
      <c r="G79" s="3">
        <v>96.8</v>
      </c>
      <c r="H79" s="2">
        <v>6.51</v>
      </c>
      <c r="I79" s="2"/>
      <c r="J79" s="2"/>
      <c r="K79" s="2"/>
      <c r="L79" s="2"/>
      <c r="M79" s="2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C80" s="15">
        <v>45188</v>
      </c>
      <c r="D80" s="19">
        <v>0.45833333333333331</v>
      </c>
      <c r="E80" s="3">
        <v>25</v>
      </c>
      <c r="F80" s="2">
        <v>11.93</v>
      </c>
      <c r="G80" s="3">
        <v>96.5</v>
      </c>
      <c r="H80" s="2">
        <v>6.8</v>
      </c>
      <c r="I80" s="2"/>
      <c r="J80" s="2"/>
      <c r="K80" s="2"/>
      <c r="L80" s="2"/>
      <c r="M80" s="2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C81" s="15">
        <v>45188</v>
      </c>
      <c r="D81" s="19">
        <v>0.45833333333333331</v>
      </c>
      <c r="E81" s="3">
        <v>30</v>
      </c>
      <c r="F81" s="2">
        <v>11.31</v>
      </c>
      <c r="G81" s="3">
        <v>89.6</v>
      </c>
      <c r="H81" s="2">
        <v>5.5</v>
      </c>
      <c r="I81" s="2"/>
      <c r="J81" s="2"/>
      <c r="K81" s="2"/>
      <c r="L81" s="2"/>
      <c r="M81" s="2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C82" s="15">
        <v>45188</v>
      </c>
      <c r="D82" s="19">
        <v>0.45833333333333331</v>
      </c>
      <c r="E82" s="3">
        <v>35</v>
      </c>
      <c r="F82" s="2">
        <v>11.14</v>
      </c>
      <c r="G82" s="3">
        <v>87.8</v>
      </c>
      <c r="H82" s="2">
        <v>5.3</v>
      </c>
      <c r="I82" s="2"/>
      <c r="J82" s="2"/>
      <c r="K82" s="2"/>
      <c r="L82" s="2"/>
      <c r="M82" s="2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C83" s="15">
        <v>45188</v>
      </c>
      <c r="D83" s="19">
        <v>0.45833333333333331</v>
      </c>
      <c r="E83" s="3">
        <v>40</v>
      </c>
      <c r="F83" s="2">
        <v>10.83</v>
      </c>
      <c r="G83" s="3">
        <v>84.8</v>
      </c>
      <c r="H83" s="2">
        <v>5</v>
      </c>
      <c r="I83" s="2"/>
      <c r="J83" s="2"/>
      <c r="K83" s="2"/>
      <c r="L83" s="2"/>
      <c r="M83" s="2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C84" s="15">
        <v>45188</v>
      </c>
      <c r="D84" s="19">
        <v>0.45833333333333331</v>
      </c>
      <c r="E84" s="3">
        <v>45</v>
      </c>
      <c r="F84" s="2">
        <v>9.02</v>
      </c>
      <c r="G84" s="3">
        <v>70.5</v>
      </c>
      <c r="H84" s="2">
        <v>5</v>
      </c>
      <c r="I84" s="2"/>
      <c r="J84" s="2"/>
      <c r="K84" s="2"/>
      <c r="L84" s="2"/>
      <c r="M84" s="2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C85" s="15"/>
      <c r="D85" s="19"/>
      <c r="E85" s="3"/>
      <c r="F85" s="2"/>
      <c r="G85" s="3"/>
      <c r="H85" s="2"/>
      <c r="I85" s="2"/>
      <c r="J85" s="2"/>
      <c r="K85" s="2"/>
      <c r="L85" s="2"/>
      <c r="M85" s="2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C86" s="15"/>
      <c r="D86" s="19"/>
      <c r="E86" s="3"/>
      <c r="F86" s="2"/>
      <c r="G86" s="3"/>
      <c r="H86" s="2"/>
      <c r="I86" s="2"/>
      <c r="J86" s="2"/>
      <c r="K86" s="2"/>
      <c r="L86" s="2"/>
      <c r="M86" s="2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C87" s="15"/>
      <c r="D87" s="19"/>
      <c r="E87" s="3"/>
      <c r="F87" s="2"/>
      <c r="G87" s="3"/>
      <c r="H87" s="2"/>
      <c r="I87" s="2"/>
      <c r="J87" s="2"/>
      <c r="K87" s="2"/>
      <c r="L87" s="2"/>
      <c r="M87" s="2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C88" s="15">
        <v>44769</v>
      </c>
      <c r="D88" s="19">
        <v>0.44444444444444442</v>
      </c>
      <c r="E88" s="3"/>
      <c r="F88" s="2"/>
      <c r="G88" s="3"/>
      <c r="H88" s="2"/>
      <c r="I88" s="2"/>
      <c r="J88" s="2">
        <v>10.5</v>
      </c>
      <c r="K88" s="2">
        <v>11.5</v>
      </c>
      <c r="L88" s="2"/>
      <c r="M88" s="2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2"/>
      <c r="G89" s="3"/>
      <c r="H89" s="2"/>
      <c r="I89" s="2"/>
      <c r="J89" s="2"/>
      <c r="K89" s="2"/>
      <c r="L89" s="2"/>
      <c r="M89" s="2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15">
        <v>44796</v>
      </c>
      <c r="D90" s="19">
        <v>0.40833333333333338</v>
      </c>
      <c r="E90" s="3"/>
      <c r="F90" s="2"/>
      <c r="G90" s="3"/>
      <c r="H90" s="2"/>
      <c r="I90" s="2"/>
      <c r="J90" s="2">
        <v>10.5</v>
      </c>
      <c r="K90" s="2">
        <v>11.5</v>
      </c>
      <c r="L90" s="2"/>
      <c r="M90" s="2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15">
        <v>44796</v>
      </c>
      <c r="D91" s="19">
        <v>0.41597222222222219</v>
      </c>
      <c r="E91" s="3">
        <v>0.1</v>
      </c>
      <c r="F91" s="3">
        <v>7.06</v>
      </c>
      <c r="G91" s="2">
        <v>84.3</v>
      </c>
      <c r="H91" s="2">
        <v>24.3</v>
      </c>
      <c r="I91" s="2"/>
      <c r="J91" s="2"/>
      <c r="K91" s="2"/>
      <c r="L91" s="2"/>
      <c r="M91" s="2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15">
        <v>44796</v>
      </c>
      <c r="D92" s="19">
        <v>0.41597222222222219</v>
      </c>
      <c r="E92" s="3">
        <v>1</v>
      </c>
      <c r="F92" s="3">
        <v>7.13</v>
      </c>
      <c r="G92" s="2">
        <v>84.5</v>
      </c>
      <c r="H92" s="2">
        <v>23.9</v>
      </c>
      <c r="I92" s="2"/>
      <c r="J92" s="2"/>
      <c r="K92" s="2"/>
      <c r="L92" s="2"/>
      <c r="M92" s="2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15">
        <v>44796</v>
      </c>
      <c r="D93" s="19">
        <v>0.41597222222222219</v>
      </c>
      <c r="E93" s="3">
        <v>2</v>
      </c>
      <c r="F93" s="3">
        <v>7.13</v>
      </c>
      <c r="G93" s="2">
        <v>84.4</v>
      </c>
      <c r="H93" s="2">
        <v>23.8</v>
      </c>
      <c r="I93" s="2"/>
      <c r="J93" s="2"/>
      <c r="K93" s="2"/>
      <c r="L93" s="2"/>
      <c r="M93" s="2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15">
        <v>44796</v>
      </c>
      <c r="D94" s="19">
        <v>0.41597222222222219</v>
      </c>
      <c r="E94" s="3">
        <v>3</v>
      </c>
      <c r="F94" s="3">
        <v>7.13</v>
      </c>
      <c r="G94" s="2">
        <v>84.3</v>
      </c>
      <c r="H94" s="2">
        <v>23.7</v>
      </c>
      <c r="I94" s="2"/>
      <c r="J94" s="2"/>
      <c r="K94" s="2"/>
      <c r="L94" s="2"/>
      <c r="M94" s="2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15">
        <v>44796</v>
      </c>
      <c r="D95" s="19">
        <v>0.41597222222222219</v>
      </c>
      <c r="E95" s="3">
        <v>4</v>
      </c>
      <c r="F95" s="3">
        <v>7.14</v>
      </c>
      <c r="G95" s="2">
        <v>84.2</v>
      </c>
      <c r="H95" s="2">
        <v>23.6</v>
      </c>
      <c r="I95" s="2"/>
      <c r="J95" s="2"/>
      <c r="K95" s="2"/>
      <c r="L95" s="2"/>
      <c r="M95" s="2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15">
        <v>44796</v>
      </c>
      <c r="D96" s="19">
        <v>0.41597222222222219</v>
      </c>
      <c r="E96" s="3">
        <v>5</v>
      </c>
      <c r="F96" s="3">
        <v>7.14</v>
      </c>
      <c r="G96" s="2">
        <v>84.1</v>
      </c>
      <c r="H96" s="2">
        <v>23.6</v>
      </c>
      <c r="I96" s="2"/>
      <c r="J96" s="2"/>
      <c r="K96" s="2"/>
      <c r="L96" s="2"/>
      <c r="M96" s="2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15">
        <v>44796</v>
      </c>
      <c r="D97" s="19">
        <v>0.41597222222222219</v>
      </c>
      <c r="E97" s="3">
        <v>6</v>
      </c>
      <c r="F97" s="3">
        <v>7.14</v>
      </c>
      <c r="G97" s="2">
        <v>84.1</v>
      </c>
      <c r="H97" s="2">
        <v>23.5</v>
      </c>
      <c r="I97" s="2"/>
      <c r="J97" s="2"/>
      <c r="K97" s="2"/>
      <c r="L97" s="2"/>
      <c r="M97" s="2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15">
        <v>44796</v>
      </c>
      <c r="D98" s="19">
        <v>0.41597222222222219</v>
      </c>
      <c r="E98" s="3">
        <v>7</v>
      </c>
      <c r="F98" s="3">
        <v>7.32</v>
      </c>
      <c r="G98" s="2">
        <v>85.7</v>
      </c>
      <c r="H98" s="2">
        <v>23</v>
      </c>
      <c r="I98" s="2"/>
      <c r="J98" s="2"/>
      <c r="K98" s="2"/>
      <c r="L98" s="2"/>
      <c r="M98" s="2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15">
        <v>44796</v>
      </c>
      <c r="D99" s="19">
        <v>0.41597222222222219</v>
      </c>
      <c r="E99" s="3">
        <v>8</v>
      </c>
      <c r="F99" s="3">
        <v>7.54</v>
      </c>
      <c r="G99" s="2">
        <v>86.5</v>
      </c>
      <c r="H99" s="2">
        <v>22</v>
      </c>
      <c r="I99" s="2"/>
      <c r="J99" s="2"/>
      <c r="K99" s="2"/>
      <c r="L99" s="2"/>
      <c r="M99" s="2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15">
        <v>44796</v>
      </c>
      <c r="D100" s="19">
        <v>0.41597222222222219</v>
      </c>
      <c r="E100" s="3">
        <v>9</v>
      </c>
      <c r="F100" s="3">
        <v>8.26</v>
      </c>
      <c r="G100" s="2">
        <v>89.7</v>
      </c>
      <c r="H100" s="2">
        <v>19.3</v>
      </c>
      <c r="I100" s="2"/>
      <c r="J100" s="2"/>
      <c r="K100" s="2"/>
      <c r="L100" s="2"/>
      <c r="M100" s="2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15">
        <v>44796</v>
      </c>
      <c r="D101" s="19">
        <v>0.41597222222222219</v>
      </c>
      <c r="E101" s="3">
        <v>10</v>
      </c>
      <c r="F101" s="3">
        <v>8.85</v>
      </c>
      <c r="G101" s="2">
        <v>90.7</v>
      </c>
      <c r="H101" s="2">
        <v>16.399999999999999</v>
      </c>
      <c r="I101" s="2"/>
      <c r="J101" s="2"/>
      <c r="K101" s="2"/>
      <c r="L101" s="2"/>
      <c r="M101" s="2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15">
        <v>44796</v>
      </c>
      <c r="D102" s="19">
        <v>0.41597222222222219</v>
      </c>
      <c r="E102" s="3">
        <v>15</v>
      </c>
      <c r="F102" s="3">
        <v>8.91</v>
      </c>
      <c r="G102" s="2">
        <v>78.400000000000006</v>
      </c>
      <c r="H102" s="2">
        <v>9.9</v>
      </c>
      <c r="I102" s="2"/>
      <c r="J102" s="2"/>
      <c r="K102" s="2"/>
      <c r="L102" s="2"/>
      <c r="M102" s="2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15">
        <v>44796</v>
      </c>
      <c r="D103" s="19">
        <v>0.41597222222222219</v>
      </c>
      <c r="E103" s="3">
        <v>20</v>
      </c>
      <c r="F103" s="3">
        <v>8.9600000000000009</v>
      </c>
      <c r="G103" s="2">
        <v>75.599999999999994</v>
      </c>
      <c r="H103" s="2">
        <v>8.1</v>
      </c>
      <c r="I103" s="2"/>
      <c r="J103" s="2"/>
      <c r="K103" s="2"/>
      <c r="L103" s="2"/>
      <c r="M103" s="2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15">
        <v>44796</v>
      </c>
      <c r="D104" s="19">
        <v>0.41597222222222219</v>
      </c>
      <c r="E104" s="3">
        <v>25</v>
      </c>
      <c r="F104" s="3">
        <v>8.83</v>
      </c>
      <c r="G104" s="2">
        <v>72.8</v>
      </c>
      <c r="H104" s="2">
        <v>7.1</v>
      </c>
      <c r="I104" s="2"/>
      <c r="J104" s="2"/>
      <c r="K104" s="2"/>
      <c r="L104" s="2"/>
      <c r="M104" s="2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15">
        <v>44796</v>
      </c>
      <c r="D105" s="19">
        <v>0.41597222222222219</v>
      </c>
      <c r="E105" s="3">
        <v>30</v>
      </c>
      <c r="F105" s="3">
        <v>8.73</v>
      </c>
      <c r="G105" s="2">
        <v>71</v>
      </c>
      <c r="H105" s="2">
        <v>6.5</v>
      </c>
      <c r="I105" s="2"/>
      <c r="J105" s="2"/>
      <c r="K105" s="2"/>
      <c r="L105" s="2"/>
      <c r="M105" s="2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15">
        <v>44796</v>
      </c>
      <c r="D106" s="19">
        <v>0.41597222222222219</v>
      </c>
      <c r="E106" s="3">
        <v>35</v>
      </c>
      <c r="F106" s="3">
        <v>8.66</v>
      </c>
      <c r="G106" s="2">
        <v>69.8</v>
      </c>
      <c r="H106" s="2">
        <v>6.2</v>
      </c>
      <c r="I106" s="2"/>
      <c r="J106" s="2"/>
      <c r="K106" s="2"/>
      <c r="L106" s="2"/>
      <c r="M106" s="2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15">
        <v>44796</v>
      </c>
      <c r="D107" s="19">
        <v>0.41597222222222219</v>
      </c>
      <c r="E107" s="3">
        <v>40</v>
      </c>
      <c r="F107" s="3">
        <v>8.36</v>
      </c>
      <c r="G107" s="2">
        <v>66.5</v>
      </c>
      <c r="H107" s="2">
        <v>5.7</v>
      </c>
      <c r="I107" s="2"/>
      <c r="J107" s="2"/>
      <c r="K107" s="2"/>
      <c r="L107" s="2"/>
      <c r="M107" s="2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15">
        <v>44796</v>
      </c>
      <c r="D108" s="19">
        <v>0.41597222222222219</v>
      </c>
      <c r="E108" s="3">
        <v>45</v>
      </c>
      <c r="F108" s="3">
        <v>7.86</v>
      </c>
      <c r="G108" s="2">
        <v>53.4</v>
      </c>
      <c r="H108" s="2">
        <v>5.5</v>
      </c>
      <c r="I108" s="2"/>
      <c r="J108" s="2"/>
      <c r="K108" s="2"/>
      <c r="L108" s="2"/>
      <c r="M108" s="2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15"/>
      <c r="D109" s="19"/>
      <c r="E109" s="3"/>
      <c r="F109" s="3"/>
      <c r="G109" s="2"/>
      <c r="H109" s="2"/>
      <c r="I109" s="2"/>
      <c r="J109" s="2"/>
      <c r="K109" s="2"/>
      <c r="L109" s="2"/>
      <c r="M109" s="2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15">
        <v>44823</v>
      </c>
      <c r="D110" s="19">
        <v>0.60069444444444442</v>
      </c>
      <c r="E110" s="3"/>
      <c r="F110" s="3"/>
      <c r="G110" s="2"/>
      <c r="H110" s="2"/>
      <c r="I110" s="2"/>
      <c r="J110" s="2">
        <v>10.5</v>
      </c>
      <c r="K110" s="2">
        <v>13</v>
      </c>
      <c r="L110" s="2"/>
      <c r="M110" s="2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15">
        <v>44823</v>
      </c>
      <c r="D111" s="19">
        <v>0.61111111111111105</v>
      </c>
      <c r="E111" s="3">
        <v>0.1</v>
      </c>
      <c r="F111" s="3">
        <v>7.7</v>
      </c>
      <c r="G111" s="2">
        <v>84.5</v>
      </c>
      <c r="H111" s="2">
        <v>19.899999999999999</v>
      </c>
      <c r="I111" s="2"/>
      <c r="J111" s="2"/>
      <c r="K111" s="2"/>
      <c r="L111" s="2"/>
      <c r="M111" s="2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15">
        <v>44823</v>
      </c>
      <c r="D112" s="19">
        <v>0.61111111111111105</v>
      </c>
      <c r="E112" s="3">
        <v>1</v>
      </c>
      <c r="F112" s="3">
        <v>7.69</v>
      </c>
      <c r="G112" s="2">
        <v>84.1</v>
      </c>
      <c r="H112" s="2">
        <v>19.7</v>
      </c>
      <c r="I112" s="2"/>
      <c r="J112" s="2"/>
      <c r="K112" s="2"/>
      <c r="L112" s="2"/>
      <c r="M112" s="2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15">
        <v>44823</v>
      </c>
      <c r="D113" s="19">
        <v>0.61111111111111105</v>
      </c>
      <c r="E113" s="3">
        <v>2</v>
      </c>
      <c r="F113" s="3">
        <v>7.69</v>
      </c>
      <c r="G113" s="2">
        <v>83.9</v>
      </c>
      <c r="H113" s="2">
        <v>19.600000000000001</v>
      </c>
      <c r="I113" s="2"/>
      <c r="J113" s="2"/>
      <c r="K113" s="2"/>
      <c r="L113" s="2"/>
      <c r="M113" s="2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15">
        <v>44823</v>
      </c>
      <c r="D114" s="19">
        <v>0.61111111111111105</v>
      </c>
      <c r="E114" s="3">
        <v>3</v>
      </c>
      <c r="F114" s="3">
        <v>7.69</v>
      </c>
      <c r="G114" s="2">
        <v>83.6</v>
      </c>
      <c r="H114" s="2">
        <v>19.399999999999999</v>
      </c>
      <c r="I114" s="2"/>
      <c r="J114" s="2"/>
      <c r="K114" s="2"/>
      <c r="L114" s="2"/>
      <c r="M114" s="2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15">
        <v>44823</v>
      </c>
      <c r="D115" s="19">
        <v>0.61111111111111105</v>
      </c>
      <c r="E115" s="3">
        <v>4</v>
      </c>
      <c r="F115" s="3">
        <v>7.67</v>
      </c>
      <c r="G115" s="2">
        <v>83.2</v>
      </c>
      <c r="H115" s="2">
        <v>19.3</v>
      </c>
      <c r="I115" s="2"/>
      <c r="J115" s="2"/>
      <c r="K115" s="2"/>
      <c r="L115" s="2"/>
      <c r="M115" s="2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15">
        <v>44823</v>
      </c>
      <c r="D116" s="19">
        <v>0.61111111111111105</v>
      </c>
      <c r="E116" s="3">
        <v>5</v>
      </c>
      <c r="F116" s="3">
        <v>7.67</v>
      </c>
      <c r="G116" s="2">
        <v>83</v>
      </c>
      <c r="H116" s="2">
        <v>19.2</v>
      </c>
      <c r="I116" s="2"/>
      <c r="J116" s="2"/>
      <c r="K116" s="2"/>
      <c r="L116" s="2"/>
      <c r="M116" s="2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15">
        <v>44823</v>
      </c>
      <c r="D117" s="19">
        <v>0.61111111111111105</v>
      </c>
      <c r="E117" s="3">
        <v>6</v>
      </c>
      <c r="F117" s="3">
        <v>7.66</v>
      </c>
      <c r="G117" s="2">
        <v>82.9</v>
      </c>
      <c r="H117" s="2">
        <v>19.2</v>
      </c>
      <c r="I117" s="2"/>
      <c r="J117" s="2"/>
      <c r="K117" s="2"/>
      <c r="L117" s="2"/>
      <c r="M117" s="2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15">
        <v>44823</v>
      </c>
      <c r="D118" s="19">
        <v>0.61111111111111105</v>
      </c>
      <c r="E118" s="3">
        <v>7</v>
      </c>
      <c r="F118" s="3">
        <v>7.65</v>
      </c>
      <c r="G118" s="2">
        <v>82.7</v>
      </c>
      <c r="H118" s="2">
        <v>19.2</v>
      </c>
      <c r="I118" s="2"/>
      <c r="J118" s="2"/>
      <c r="K118" s="2"/>
      <c r="L118" s="2"/>
      <c r="M118" s="2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15">
        <v>44823</v>
      </c>
      <c r="D119" s="19">
        <v>0.61111111111111105</v>
      </c>
      <c r="E119" s="3">
        <v>8</v>
      </c>
      <c r="F119" s="3">
        <v>7.63</v>
      </c>
      <c r="G119" s="2">
        <v>82.6</v>
      </c>
      <c r="H119" s="2">
        <v>19.2</v>
      </c>
      <c r="I119" s="2"/>
      <c r="J119" s="2"/>
      <c r="K119" s="2"/>
      <c r="L119" s="2"/>
      <c r="M119" s="2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15">
        <v>44823</v>
      </c>
      <c r="D120" s="19">
        <v>0.61111111111111105</v>
      </c>
      <c r="E120" s="3">
        <v>9</v>
      </c>
      <c r="F120" s="3">
        <v>7.63</v>
      </c>
      <c r="G120" s="2">
        <v>82.4</v>
      </c>
      <c r="H120" s="2">
        <v>19.100000000000001</v>
      </c>
      <c r="I120" s="2"/>
      <c r="J120" s="2"/>
      <c r="K120" s="2"/>
      <c r="L120" s="2"/>
      <c r="M120" s="2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15">
        <v>44823</v>
      </c>
      <c r="D121" s="19">
        <v>0.61111111111111105</v>
      </c>
      <c r="E121" s="3">
        <v>10</v>
      </c>
      <c r="F121" s="3">
        <v>8.99</v>
      </c>
      <c r="G121" s="2">
        <v>91.6</v>
      </c>
      <c r="H121" s="2">
        <v>16.3</v>
      </c>
      <c r="I121" s="2"/>
      <c r="J121" s="2"/>
      <c r="K121" s="2"/>
      <c r="L121" s="2"/>
      <c r="M121" s="2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15">
        <v>44823</v>
      </c>
      <c r="D122" s="19">
        <v>0.61111111111111105</v>
      </c>
      <c r="E122" s="3">
        <v>11</v>
      </c>
      <c r="F122" s="3">
        <v>9.31</v>
      </c>
      <c r="G122" s="2">
        <v>88</v>
      </c>
      <c r="H122" s="2">
        <v>12.9</v>
      </c>
      <c r="I122" s="2"/>
      <c r="J122" s="2"/>
      <c r="K122" s="2"/>
      <c r="L122" s="2"/>
      <c r="M122" s="2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15">
        <v>44823</v>
      </c>
      <c r="D123" s="19">
        <v>0.61111111111111105</v>
      </c>
      <c r="E123" s="3">
        <v>15</v>
      </c>
      <c r="F123" s="3">
        <v>9.24</v>
      </c>
      <c r="G123" s="2">
        <v>79.400000000000006</v>
      </c>
      <c r="H123" s="2">
        <v>8.8000000000000007</v>
      </c>
      <c r="I123" s="2"/>
      <c r="J123" s="2"/>
      <c r="K123" s="2"/>
      <c r="L123" s="2"/>
      <c r="M123" s="2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15">
        <v>44823</v>
      </c>
      <c r="D124" s="19">
        <v>0.61111111111111105</v>
      </c>
      <c r="E124" s="3">
        <v>20</v>
      </c>
      <c r="F124" s="3">
        <v>8.93</v>
      </c>
      <c r="G124" s="2">
        <v>73.8</v>
      </c>
      <c r="H124" s="2">
        <v>7.2</v>
      </c>
      <c r="I124" s="2"/>
      <c r="J124" s="2"/>
      <c r="K124" s="2"/>
      <c r="L124" s="2"/>
      <c r="M124" s="2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15">
        <v>44823</v>
      </c>
      <c r="D125" s="19">
        <v>0.61111111111111105</v>
      </c>
      <c r="E125" s="3">
        <v>25</v>
      </c>
      <c r="F125" s="3">
        <v>8.74</v>
      </c>
      <c r="G125" s="2">
        <v>71.2</v>
      </c>
      <c r="H125" s="2">
        <v>6.6</v>
      </c>
      <c r="I125" s="2"/>
      <c r="J125" s="2"/>
      <c r="K125" s="2"/>
      <c r="L125" s="2"/>
      <c r="M125" s="2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15">
        <v>44823</v>
      </c>
      <c r="D126" s="19">
        <v>0.61111111111111105</v>
      </c>
      <c r="E126" s="3">
        <v>30</v>
      </c>
      <c r="F126" s="3">
        <v>8.66</v>
      </c>
      <c r="G126" s="2">
        <v>69.900000000000006</v>
      </c>
      <c r="H126" s="2">
        <v>6.2</v>
      </c>
      <c r="I126" s="2"/>
      <c r="J126" s="2"/>
      <c r="K126" s="2"/>
      <c r="L126" s="2"/>
      <c r="M126" s="2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15">
        <v>44823</v>
      </c>
      <c r="D127" s="19">
        <v>0.61111111111111105</v>
      </c>
      <c r="E127" s="3">
        <v>35</v>
      </c>
      <c r="F127" s="3">
        <v>8.57</v>
      </c>
      <c r="G127" s="2">
        <v>69</v>
      </c>
      <c r="H127" s="2">
        <v>6.1</v>
      </c>
      <c r="I127" s="2"/>
      <c r="J127" s="2"/>
      <c r="K127" s="2"/>
      <c r="L127" s="2"/>
      <c r="M127" s="2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15">
        <v>44823</v>
      </c>
      <c r="D128" s="19">
        <v>0.61111111111111105</v>
      </c>
      <c r="E128" s="3">
        <v>40</v>
      </c>
      <c r="F128" s="3">
        <v>8.48</v>
      </c>
      <c r="G128" s="2">
        <v>68</v>
      </c>
      <c r="H128" s="2">
        <v>5.9</v>
      </c>
      <c r="I128" s="2"/>
      <c r="J128" s="2"/>
      <c r="K128" s="2"/>
      <c r="L128" s="2"/>
      <c r="M128" s="2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15"/>
      <c r="D129" s="19"/>
      <c r="E129" s="3"/>
      <c r="F129" s="3"/>
      <c r="G129" s="2"/>
      <c r="H129" s="2"/>
      <c r="I129" s="2"/>
      <c r="J129" s="2"/>
      <c r="K129" s="2"/>
      <c r="L129" s="2"/>
      <c r="M129" s="2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2"/>
      <c r="G130" s="3"/>
      <c r="H130" s="2"/>
      <c r="I130" s="2"/>
      <c r="J130" s="2"/>
      <c r="K130" s="2"/>
      <c r="L130" s="2"/>
      <c r="M130" s="2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2"/>
      <c r="G131" s="3"/>
      <c r="H131" s="2"/>
      <c r="I131" s="2"/>
      <c r="J131" s="2"/>
      <c r="K131" s="2"/>
      <c r="L131" s="2"/>
      <c r="M131" s="2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C132" s="16">
        <v>43634</v>
      </c>
      <c r="D132" s="12">
        <v>0.39583333333333331</v>
      </c>
      <c r="E132" s="3"/>
      <c r="J132" s="1">
        <v>7</v>
      </c>
      <c r="K132" s="1">
        <v>7.5</v>
      </c>
    </row>
    <row r="133" spans="1:26" ht="15.75" customHeight="1" x14ac:dyDescent="0.2">
      <c r="C133" s="16">
        <v>43634</v>
      </c>
      <c r="D133" s="12">
        <v>0.40625</v>
      </c>
      <c r="E133" s="3">
        <v>0.1</v>
      </c>
      <c r="F133" s="1">
        <v>7.83</v>
      </c>
      <c r="G133" s="13">
        <v>84</v>
      </c>
      <c r="H133" s="13">
        <v>18.8</v>
      </c>
      <c r="I133" s="13">
        <v>18.8</v>
      </c>
    </row>
    <row r="134" spans="1:26" ht="15.75" customHeight="1" x14ac:dyDescent="0.2">
      <c r="C134" s="16">
        <v>43634</v>
      </c>
      <c r="D134" s="12">
        <v>0.40625</v>
      </c>
      <c r="E134" s="3">
        <v>1</v>
      </c>
      <c r="F134" s="1">
        <v>7.85</v>
      </c>
      <c r="G134" s="13">
        <v>83.8</v>
      </c>
      <c r="H134" s="13">
        <v>18.5</v>
      </c>
      <c r="I134" s="13">
        <v>18.5</v>
      </c>
    </row>
    <row r="135" spans="1:26" ht="15.75" customHeight="1" x14ac:dyDescent="0.2">
      <c r="C135" s="16">
        <v>43634</v>
      </c>
      <c r="D135" s="12">
        <v>0.40625</v>
      </c>
      <c r="E135" s="3">
        <v>2</v>
      </c>
      <c r="F135" s="1">
        <v>7.86</v>
      </c>
      <c r="G135" s="13">
        <v>83.7</v>
      </c>
      <c r="H135" s="13">
        <v>18.399999999999999</v>
      </c>
      <c r="I135" s="13">
        <v>18.399999999999999</v>
      </c>
    </row>
    <row r="136" spans="1:26" ht="15.75" customHeight="1" x14ac:dyDescent="0.2">
      <c r="C136" s="16">
        <v>43634</v>
      </c>
      <c r="D136" s="12">
        <v>0.40625</v>
      </c>
      <c r="E136" s="3">
        <v>3</v>
      </c>
      <c r="F136" s="1">
        <v>7.85</v>
      </c>
      <c r="G136" s="13">
        <v>83.3</v>
      </c>
      <c r="H136" s="13">
        <v>18.3</v>
      </c>
      <c r="I136" s="13">
        <v>18.3</v>
      </c>
    </row>
    <row r="137" spans="1:26" ht="15.75" customHeight="1" x14ac:dyDescent="0.2">
      <c r="C137" s="16">
        <v>43634</v>
      </c>
      <c r="D137" s="12">
        <v>0.40625</v>
      </c>
      <c r="E137" s="3">
        <v>4</v>
      </c>
      <c r="F137" s="1">
        <v>7.84</v>
      </c>
      <c r="G137" s="13">
        <v>83.3</v>
      </c>
      <c r="H137" s="13">
        <v>18.2</v>
      </c>
      <c r="I137" s="13">
        <v>18.2</v>
      </c>
    </row>
    <row r="138" spans="1:26" ht="15.75" customHeight="1" x14ac:dyDescent="0.2">
      <c r="C138" s="16">
        <v>43634</v>
      </c>
      <c r="D138" s="12">
        <v>0.40625</v>
      </c>
      <c r="E138" s="3">
        <v>5</v>
      </c>
      <c r="F138" s="1">
        <v>7.88</v>
      </c>
      <c r="G138" s="13">
        <v>82.8</v>
      </c>
      <c r="H138" s="13">
        <v>17.5</v>
      </c>
      <c r="I138" s="13">
        <v>17.5</v>
      </c>
    </row>
    <row r="139" spans="1:26" ht="15.75" customHeight="1" x14ac:dyDescent="0.2">
      <c r="C139" s="16">
        <v>43634</v>
      </c>
      <c r="D139" s="12">
        <v>0.40625</v>
      </c>
      <c r="E139" s="3">
        <v>6</v>
      </c>
      <c r="F139" s="1">
        <v>8.4700000000000006</v>
      </c>
      <c r="G139" s="13">
        <v>85.4</v>
      </c>
      <c r="H139" s="13">
        <v>15.8</v>
      </c>
      <c r="I139" s="13">
        <f>AVERAGE(I133:I138)</f>
        <v>18.283333333333335</v>
      </c>
    </row>
    <row r="140" spans="1:26" ht="15.75" customHeight="1" x14ac:dyDescent="0.2">
      <c r="C140" s="16">
        <v>43634</v>
      </c>
      <c r="D140" s="12">
        <v>0.40625</v>
      </c>
      <c r="E140" s="3">
        <v>7</v>
      </c>
      <c r="F140" s="1">
        <v>8.69</v>
      </c>
      <c r="G140" s="13">
        <v>85.7</v>
      </c>
      <c r="H140" s="13">
        <v>14.7</v>
      </c>
    </row>
    <row r="141" spans="1:26" ht="15.75" customHeight="1" x14ac:dyDescent="0.2">
      <c r="C141" s="16">
        <v>43634</v>
      </c>
      <c r="D141" s="12">
        <v>0.40625</v>
      </c>
      <c r="E141" s="3">
        <v>8</v>
      </c>
      <c r="F141" s="1">
        <v>8.83</v>
      </c>
      <c r="G141" s="13">
        <v>86</v>
      </c>
      <c r="H141" s="13">
        <v>14.1</v>
      </c>
    </row>
    <row r="142" spans="1:26" ht="15.75" customHeight="1" x14ac:dyDescent="0.2">
      <c r="C142" s="16">
        <v>43634</v>
      </c>
      <c r="D142" s="12">
        <v>0.40625</v>
      </c>
      <c r="E142" s="3">
        <v>9</v>
      </c>
      <c r="F142" s="1">
        <v>8.98</v>
      </c>
      <c r="G142" s="13">
        <v>86.1</v>
      </c>
      <c r="H142" s="13">
        <v>13.4</v>
      </c>
    </row>
    <row r="143" spans="1:26" ht="15.75" customHeight="1" x14ac:dyDescent="0.2">
      <c r="C143" s="16">
        <v>43634</v>
      </c>
      <c r="D143" s="12">
        <v>0.40625</v>
      </c>
      <c r="E143" s="3">
        <v>10</v>
      </c>
      <c r="F143" s="1">
        <v>9.16</v>
      </c>
      <c r="G143" s="13">
        <v>85.7</v>
      </c>
      <c r="H143" s="13">
        <v>12.4</v>
      </c>
    </row>
    <row r="144" spans="1:26" ht="15.75" customHeight="1" x14ac:dyDescent="0.2">
      <c r="C144" s="16">
        <v>43634</v>
      </c>
      <c r="D144" s="12">
        <v>0.40625</v>
      </c>
      <c r="E144" s="3">
        <v>12</v>
      </c>
      <c r="F144" s="1">
        <v>9.44</v>
      </c>
      <c r="G144" s="13">
        <v>84.7</v>
      </c>
      <c r="H144" s="13">
        <v>10.6</v>
      </c>
    </row>
    <row r="145" spans="3:8" ht="15.75" customHeight="1" x14ac:dyDescent="0.2">
      <c r="C145" s="16">
        <v>43634</v>
      </c>
      <c r="D145" s="12">
        <v>0.40625</v>
      </c>
      <c r="E145" s="3">
        <v>14</v>
      </c>
      <c r="F145" s="1">
        <v>9.61</v>
      </c>
      <c r="G145" s="13">
        <v>82.4</v>
      </c>
      <c r="H145" s="13">
        <v>8.6</v>
      </c>
    </row>
    <row r="146" spans="3:8" ht="15.75" customHeight="1" x14ac:dyDescent="0.2">
      <c r="C146" s="16">
        <v>43634</v>
      </c>
      <c r="D146" s="12">
        <v>0.40625</v>
      </c>
      <c r="E146" s="3">
        <v>16</v>
      </c>
      <c r="F146" s="1">
        <v>9.61</v>
      </c>
      <c r="G146" s="13">
        <v>80.5</v>
      </c>
      <c r="H146" s="13">
        <v>7.8</v>
      </c>
    </row>
    <row r="147" spans="3:8" ht="15.75" customHeight="1" x14ac:dyDescent="0.2">
      <c r="C147" s="16">
        <v>43634</v>
      </c>
      <c r="D147" s="12">
        <v>0.40625</v>
      </c>
      <c r="E147" s="3">
        <v>18</v>
      </c>
      <c r="F147" s="1">
        <v>9.5299999999999994</v>
      </c>
      <c r="G147" s="13">
        <v>79</v>
      </c>
      <c r="H147" s="13">
        <v>7.3</v>
      </c>
    </row>
    <row r="148" spans="3:8" ht="15.75" customHeight="1" x14ac:dyDescent="0.2">
      <c r="C148" s="16">
        <v>43634</v>
      </c>
      <c r="D148" s="12">
        <v>0.40625</v>
      </c>
      <c r="E148" s="3">
        <v>20</v>
      </c>
      <c r="F148" s="1">
        <v>9.48</v>
      </c>
      <c r="G148" s="13">
        <v>77.8</v>
      </c>
      <c r="H148" s="13">
        <v>7</v>
      </c>
    </row>
    <row r="149" spans="3:8" ht="15.75" customHeight="1" x14ac:dyDescent="0.2">
      <c r="C149" s="16">
        <v>43634</v>
      </c>
      <c r="D149" s="12">
        <v>0.40625</v>
      </c>
      <c r="E149" s="3">
        <v>22</v>
      </c>
      <c r="F149" s="1">
        <v>9.36</v>
      </c>
      <c r="G149" s="13">
        <v>75.599999999999994</v>
      </c>
      <c r="H149" s="13">
        <v>6.5</v>
      </c>
    </row>
    <row r="150" spans="3:8" ht="15.75" customHeight="1" x14ac:dyDescent="0.2">
      <c r="C150" s="16">
        <v>43634</v>
      </c>
      <c r="D150" s="12">
        <v>0.40625</v>
      </c>
      <c r="E150" s="3">
        <v>24</v>
      </c>
      <c r="F150" s="1">
        <v>9.2799999999999994</v>
      </c>
      <c r="G150" s="13">
        <v>74.400000000000006</v>
      </c>
      <c r="H150" s="13">
        <v>6.1</v>
      </c>
    </row>
    <row r="151" spans="3:8" ht="15.75" customHeight="1" x14ac:dyDescent="0.2">
      <c r="C151" s="16">
        <v>43634</v>
      </c>
      <c r="D151" s="12">
        <v>0.40625</v>
      </c>
      <c r="E151" s="3">
        <v>26</v>
      </c>
      <c r="F151" s="1">
        <v>9.2100000000000009</v>
      </c>
      <c r="G151" s="13">
        <v>73.5</v>
      </c>
      <c r="H151" s="13">
        <v>5.8</v>
      </c>
    </row>
    <row r="152" spans="3:8" ht="15.75" customHeight="1" x14ac:dyDescent="0.2">
      <c r="C152" s="16">
        <v>43634</v>
      </c>
      <c r="D152" s="12">
        <v>0.40625</v>
      </c>
      <c r="E152" s="3">
        <v>28</v>
      </c>
      <c r="F152" s="1">
        <v>9.14</v>
      </c>
      <c r="G152" s="13">
        <v>72.7</v>
      </c>
      <c r="H152" s="13">
        <v>5.6</v>
      </c>
    </row>
    <row r="153" spans="3:8" ht="15.75" customHeight="1" x14ac:dyDescent="0.2">
      <c r="C153" s="16">
        <v>43634</v>
      </c>
      <c r="D153" s="12">
        <v>0.40625</v>
      </c>
      <c r="E153" s="3">
        <v>30</v>
      </c>
      <c r="F153" s="1">
        <v>9.09</v>
      </c>
      <c r="G153" s="13">
        <v>72</v>
      </c>
      <c r="H153" s="13">
        <v>5.5</v>
      </c>
    </row>
    <row r="154" spans="3:8" ht="15.75" customHeight="1" x14ac:dyDescent="0.2">
      <c r="C154" s="16">
        <v>43634</v>
      </c>
      <c r="D154" s="12">
        <v>0.40625</v>
      </c>
      <c r="E154" s="3">
        <v>32</v>
      </c>
      <c r="F154" s="1">
        <v>9.02</v>
      </c>
      <c r="G154" s="13">
        <v>71.3</v>
      </c>
      <c r="H154" s="13">
        <v>5.4</v>
      </c>
    </row>
    <row r="155" spans="3:8" ht="15.75" customHeight="1" x14ac:dyDescent="0.2">
      <c r="C155" s="16">
        <v>43634</v>
      </c>
      <c r="D155" s="12">
        <v>0.40625</v>
      </c>
      <c r="E155" s="3">
        <v>34</v>
      </c>
      <c r="F155" s="1">
        <v>8.9700000000000006</v>
      </c>
      <c r="G155" s="13">
        <v>70.7</v>
      </c>
      <c r="H155" s="13">
        <v>5.3</v>
      </c>
    </row>
    <row r="156" spans="3:8" ht="15.75" customHeight="1" x14ac:dyDescent="0.2">
      <c r="C156" s="16">
        <v>43634</v>
      </c>
      <c r="D156" s="12">
        <v>0.40625</v>
      </c>
      <c r="E156" s="3">
        <v>36</v>
      </c>
      <c r="F156" s="1">
        <v>8.94</v>
      </c>
      <c r="G156" s="13">
        <v>70.3</v>
      </c>
      <c r="H156" s="13">
        <v>5.2</v>
      </c>
    </row>
    <row r="157" spans="3:8" ht="15.75" customHeight="1" x14ac:dyDescent="0.2">
      <c r="C157" s="16">
        <v>43634</v>
      </c>
      <c r="D157" s="12">
        <v>0.40625</v>
      </c>
      <c r="E157" s="3">
        <v>38</v>
      </c>
      <c r="F157" s="1">
        <v>8.84</v>
      </c>
      <c r="G157" s="13">
        <v>69</v>
      </c>
      <c r="H157" s="13">
        <v>5</v>
      </c>
    </row>
    <row r="158" spans="3:8" ht="15.75" customHeight="1" x14ac:dyDescent="0.2">
      <c r="C158" s="16">
        <v>43634</v>
      </c>
      <c r="D158" s="12">
        <v>0.40625</v>
      </c>
      <c r="E158" s="3">
        <v>40</v>
      </c>
      <c r="F158" s="1">
        <v>8.61</v>
      </c>
      <c r="G158" s="1">
        <v>67.099999999999994</v>
      </c>
      <c r="H158" s="13">
        <v>4.9000000000000004</v>
      </c>
    </row>
    <row r="159" spans="3:8" ht="15.75" customHeight="1" x14ac:dyDescent="0.2">
      <c r="C159" s="16">
        <v>43634</v>
      </c>
      <c r="D159" s="12">
        <v>0.40625</v>
      </c>
      <c r="E159" s="3">
        <v>42</v>
      </c>
      <c r="F159" s="1">
        <v>8.51</v>
      </c>
      <c r="G159" s="1">
        <v>66.3</v>
      </c>
      <c r="H159" s="13">
        <v>4.9000000000000004</v>
      </c>
    </row>
    <row r="160" spans="3:8" ht="15.75" customHeight="1" x14ac:dyDescent="0.2">
      <c r="E160" s="3"/>
    </row>
    <row r="161" spans="3:11" ht="15.75" customHeight="1" x14ac:dyDescent="0.2">
      <c r="C161" s="16">
        <v>43671</v>
      </c>
      <c r="D161" s="12">
        <v>0.56597222222222221</v>
      </c>
      <c r="E161" s="3"/>
      <c r="J161" s="1">
        <v>9.5</v>
      </c>
      <c r="K161" s="1">
        <v>12</v>
      </c>
    </row>
    <row r="162" spans="3:11" ht="15.75" customHeight="1" x14ac:dyDescent="0.2">
      <c r="C162" s="16">
        <v>43671</v>
      </c>
      <c r="D162" s="12">
        <v>0.57361111111111118</v>
      </c>
      <c r="E162" s="3">
        <v>0.1</v>
      </c>
      <c r="F162" s="1">
        <v>7.46</v>
      </c>
      <c r="G162">
        <v>84.1</v>
      </c>
      <c r="H162" s="13">
        <v>21.3</v>
      </c>
      <c r="I162" s="13">
        <v>21.3</v>
      </c>
    </row>
    <row r="163" spans="3:11" ht="15.75" customHeight="1" x14ac:dyDescent="0.2">
      <c r="C163" s="16">
        <v>43671</v>
      </c>
      <c r="D163" s="12">
        <v>0.57361111111111118</v>
      </c>
      <c r="E163" s="3">
        <v>1</v>
      </c>
      <c r="F163" s="1">
        <v>7.48</v>
      </c>
      <c r="G163">
        <v>83.3</v>
      </c>
      <c r="H163" s="13">
        <v>20.7</v>
      </c>
      <c r="I163" s="13">
        <v>20.7</v>
      </c>
    </row>
    <row r="164" spans="3:11" ht="15.75" customHeight="1" x14ac:dyDescent="0.2">
      <c r="C164" s="16">
        <v>43671</v>
      </c>
      <c r="D164" s="12">
        <v>0.57361111111111118</v>
      </c>
      <c r="E164" s="3">
        <v>2</v>
      </c>
      <c r="F164" s="1">
        <v>7.52</v>
      </c>
      <c r="G164">
        <v>83.2</v>
      </c>
      <c r="H164" s="13">
        <v>20.399999999999999</v>
      </c>
      <c r="I164" s="13">
        <v>20.399999999999999</v>
      </c>
    </row>
    <row r="165" spans="3:11" ht="15.75" customHeight="1" x14ac:dyDescent="0.2">
      <c r="C165" s="16">
        <v>43671</v>
      </c>
      <c r="D165" s="12">
        <v>0.57361111111111118</v>
      </c>
      <c r="E165" s="3">
        <v>3</v>
      </c>
      <c r="F165" s="1">
        <v>7.53</v>
      </c>
      <c r="G165">
        <v>83</v>
      </c>
      <c r="H165" s="13">
        <v>20.100000000000001</v>
      </c>
      <c r="I165" s="13">
        <v>20.100000000000001</v>
      </c>
    </row>
    <row r="166" spans="3:11" ht="15.75" customHeight="1" x14ac:dyDescent="0.2">
      <c r="C166" s="16">
        <v>43671</v>
      </c>
      <c r="D166" s="12">
        <v>0.57361111111111118</v>
      </c>
      <c r="E166" s="3">
        <v>4</v>
      </c>
      <c r="F166" s="1">
        <v>7.55</v>
      </c>
      <c r="G166">
        <v>82.9</v>
      </c>
      <c r="H166" s="13">
        <v>19.899999999999999</v>
      </c>
      <c r="I166" s="13">
        <v>19.899999999999999</v>
      </c>
    </row>
    <row r="167" spans="3:11" ht="15.75" customHeight="1" x14ac:dyDescent="0.2">
      <c r="C167" s="16">
        <v>43671</v>
      </c>
      <c r="D167" s="12">
        <v>0.57361111111111118</v>
      </c>
      <c r="E167" s="3">
        <v>5</v>
      </c>
      <c r="F167" s="1">
        <v>7.55</v>
      </c>
      <c r="G167">
        <v>82.7</v>
      </c>
      <c r="H167" s="13">
        <v>19.8</v>
      </c>
      <c r="I167" s="13">
        <v>19.8</v>
      </c>
    </row>
    <row r="168" spans="3:11" ht="15.75" customHeight="1" x14ac:dyDescent="0.2">
      <c r="C168" s="16">
        <v>43671</v>
      </c>
      <c r="D168" s="12">
        <v>0.57361111111111118</v>
      </c>
      <c r="E168" s="3">
        <v>6</v>
      </c>
      <c r="F168" s="1">
        <v>7.54</v>
      </c>
      <c r="G168">
        <v>82.7</v>
      </c>
      <c r="H168" s="13">
        <v>19.8</v>
      </c>
      <c r="I168" s="13">
        <v>19.8</v>
      </c>
    </row>
    <row r="169" spans="3:11" ht="15.75" customHeight="1" x14ac:dyDescent="0.2">
      <c r="C169" s="16">
        <v>43671</v>
      </c>
      <c r="D169" s="12">
        <v>0.57361111111111118</v>
      </c>
      <c r="E169" s="3">
        <v>7</v>
      </c>
      <c r="F169" s="1">
        <v>7.6</v>
      </c>
      <c r="G169" s="1">
        <v>82.9</v>
      </c>
      <c r="H169" s="13">
        <v>19.600000000000001</v>
      </c>
      <c r="I169" s="13">
        <v>19.600000000000001</v>
      </c>
    </row>
    <row r="170" spans="3:11" ht="15.75" customHeight="1" x14ac:dyDescent="0.2">
      <c r="C170" s="16">
        <v>43671</v>
      </c>
      <c r="D170" s="12">
        <v>0.57361111111111118</v>
      </c>
      <c r="E170" s="3">
        <v>8</v>
      </c>
      <c r="F170" s="1">
        <v>7.62</v>
      </c>
      <c r="G170" s="1">
        <v>83</v>
      </c>
      <c r="H170" s="13">
        <v>19.5</v>
      </c>
      <c r="I170" s="13">
        <v>19.5</v>
      </c>
    </row>
    <row r="171" spans="3:11" ht="15.75" customHeight="1" x14ac:dyDescent="0.2">
      <c r="C171" s="16">
        <v>43671</v>
      </c>
      <c r="D171" s="12">
        <v>0.57361111111111118</v>
      </c>
      <c r="E171" s="3">
        <v>9</v>
      </c>
      <c r="F171" s="1">
        <v>8.6999999999999993</v>
      </c>
      <c r="G171" s="1">
        <v>89.7</v>
      </c>
      <c r="H171" s="13">
        <v>16.8</v>
      </c>
      <c r="I171" s="13">
        <f>AVERAGE(I162:I170)</f>
        <v>20.12222222222222</v>
      </c>
    </row>
    <row r="172" spans="3:11" ht="15.75" customHeight="1" x14ac:dyDescent="0.2">
      <c r="C172" s="16">
        <v>43671</v>
      </c>
      <c r="D172" s="12">
        <v>0.57361111111111118</v>
      </c>
      <c r="E172" s="3">
        <v>10</v>
      </c>
      <c r="F172" s="1">
        <v>9.5</v>
      </c>
      <c r="G172" s="1">
        <v>92.8</v>
      </c>
      <c r="H172" s="13">
        <v>14.1</v>
      </c>
    </row>
    <row r="173" spans="3:11" ht="15.75" customHeight="1" x14ac:dyDescent="0.2">
      <c r="C173" s="16">
        <v>43671</v>
      </c>
      <c r="D173" s="12">
        <v>0.57361111111111118</v>
      </c>
      <c r="E173" s="3">
        <v>11</v>
      </c>
      <c r="F173" s="1">
        <v>9.8800000000000008</v>
      </c>
      <c r="G173">
        <v>91.4</v>
      </c>
      <c r="H173" s="13">
        <v>11.8</v>
      </c>
    </row>
    <row r="174" spans="3:11" ht="15.75" customHeight="1" x14ac:dyDescent="0.2">
      <c r="C174" s="16">
        <v>43671</v>
      </c>
      <c r="D174" s="12">
        <v>0.57361111111111118</v>
      </c>
      <c r="E174" s="3">
        <v>12</v>
      </c>
      <c r="F174" s="1">
        <v>10.029999999999999</v>
      </c>
      <c r="G174">
        <v>90.3</v>
      </c>
      <c r="H174" s="13">
        <v>10.8</v>
      </c>
    </row>
    <row r="175" spans="3:11" ht="15.75" customHeight="1" x14ac:dyDescent="0.2">
      <c r="C175" s="16">
        <v>43671</v>
      </c>
      <c r="D175" s="12">
        <v>0.57361111111111118</v>
      </c>
      <c r="E175" s="3">
        <v>14</v>
      </c>
      <c r="F175" s="1">
        <v>9.98</v>
      </c>
      <c r="G175">
        <v>86.3</v>
      </c>
      <c r="H175" s="13">
        <v>9.1</v>
      </c>
    </row>
    <row r="176" spans="3:11" ht="15.75" customHeight="1" x14ac:dyDescent="0.2">
      <c r="C176" s="16">
        <v>43671</v>
      </c>
      <c r="D176" s="12">
        <v>0.57361111111111118</v>
      </c>
      <c r="E176" s="3">
        <v>16</v>
      </c>
      <c r="F176" s="1">
        <v>9.9700000000000006</v>
      </c>
      <c r="G176">
        <v>84.3</v>
      </c>
      <c r="H176" s="13">
        <v>8.1999999999999993</v>
      </c>
    </row>
    <row r="177" spans="3:11" ht="15.75" customHeight="1" x14ac:dyDescent="0.2">
      <c r="C177" s="16">
        <v>43671</v>
      </c>
      <c r="D177" s="12">
        <v>0.57361111111111118</v>
      </c>
      <c r="E177" s="3">
        <v>18</v>
      </c>
      <c r="F177" s="1">
        <v>9.84</v>
      </c>
      <c r="G177">
        <v>82.4</v>
      </c>
      <c r="H177" s="13">
        <v>7.8</v>
      </c>
    </row>
    <row r="178" spans="3:11" ht="15.75" customHeight="1" x14ac:dyDescent="0.2">
      <c r="C178" s="16">
        <v>43671</v>
      </c>
      <c r="D178" s="12">
        <v>0.57361111111111118</v>
      </c>
      <c r="E178" s="3">
        <v>20</v>
      </c>
      <c r="F178" s="1">
        <v>9.7899999999999991</v>
      </c>
      <c r="G178">
        <v>81.400000000000006</v>
      </c>
      <c r="H178" s="13">
        <v>7.4</v>
      </c>
    </row>
    <row r="179" spans="3:11" ht="15.75" customHeight="1" x14ac:dyDescent="0.2">
      <c r="C179" s="16">
        <v>43671</v>
      </c>
      <c r="D179" s="12">
        <v>0.57361111111111118</v>
      </c>
      <c r="E179" s="3">
        <v>22</v>
      </c>
      <c r="F179" s="1">
        <v>9.67</v>
      </c>
      <c r="G179">
        <v>79.599999999999994</v>
      </c>
      <c r="H179" s="13">
        <v>7</v>
      </c>
    </row>
    <row r="180" spans="3:11" ht="15.75" customHeight="1" x14ac:dyDescent="0.2">
      <c r="C180" s="16">
        <v>43671</v>
      </c>
      <c r="D180" s="12">
        <v>0.57361111111111118</v>
      </c>
      <c r="E180" s="3">
        <v>24</v>
      </c>
      <c r="F180" s="1">
        <v>9.52</v>
      </c>
      <c r="G180">
        <v>77.5</v>
      </c>
      <c r="H180" s="13">
        <v>6.6</v>
      </c>
    </row>
    <row r="181" spans="3:11" ht="15.75" customHeight="1" x14ac:dyDescent="0.2">
      <c r="C181" s="16">
        <v>43671</v>
      </c>
      <c r="D181" s="12">
        <v>0.57361111111111118</v>
      </c>
      <c r="E181" s="3">
        <v>26</v>
      </c>
      <c r="F181" s="1">
        <v>9.35</v>
      </c>
      <c r="G181">
        <v>75.2</v>
      </c>
      <c r="H181" s="13">
        <v>6.3</v>
      </c>
    </row>
    <row r="182" spans="3:11" ht="15.75" customHeight="1" x14ac:dyDescent="0.2">
      <c r="C182" s="16">
        <v>43671</v>
      </c>
      <c r="D182" s="12">
        <v>0.57361111111111118</v>
      </c>
      <c r="E182" s="3">
        <v>28</v>
      </c>
      <c r="F182" s="1">
        <v>9.1300000000000008</v>
      </c>
      <c r="G182">
        <v>72.8</v>
      </c>
      <c r="H182" s="13">
        <v>5.9</v>
      </c>
    </row>
    <row r="183" spans="3:11" ht="15.75" customHeight="1" x14ac:dyDescent="0.2">
      <c r="C183" s="16">
        <v>43671</v>
      </c>
      <c r="D183" s="12">
        <v>0.57361111111111118</v>
      </c>
      <c r="E183" s="3">
        <v>30</v>
      </c>
      <c r="F183" s="1">
        <v>9.0399999999999991</v>
      </c>
      <c r="G183">
        <v>71.900000000000006</v>
      </c>
      <c r="H183" s="13">
        <v>5.8</v>
      </c>
    </row>
    <row r="184" spans="3:11" ht="15.75" customHeight="1" x14ac:dyDescent="0.2">
      <c r="C184" s="16">
        <v>43671</v>
      </c>
      <c r="D184" s="12">
        <v>0.57361111111111118</v>
      </c>
      <c r="E184" s="3">
        <v>32</v>
      </c>
      <c r="F184" s="1">
        <v>9.0299999999999994</v>
      </c>
      <c r="G184">
        <v>71.599999999999994</v>
      </c>
      <c r="H184" s="13">
        <v>5.5</v>
      </c>
    </row>
    <row r="185" spans="3:11" ht="15.75" customHeight="1" x14ac:dyDescent="0.2">
      <c r="C185" s="16">
        <v>43671</v>
      </c>
      <c r="D185" s="12">
        <v>0.57361111111111118</v>
      </c>
      <c r="E185" s="3">
        <v>34</v>
      </c>
      <c r="F185" s="1">
        <v>8.98</v>
      </c>
      <c r="G185">
        <v>71.099999999999994</v>
      </c>
      <c r="H185" s="13">
        <v>5.5</v>
      </c>
    </row>
    <row r="186" spans="3:11" ht="15.75" customHeight="1" x14ac:dyDescent="0.2">
      <c r="C186" s="16">
        <v>43671</v>
      </c>
      <c r="D186" s="12">
        <v>0.57361111111111118</v>
      </c>
      <c r="E186" s="3">
        <v>36</v>
      </c>
      <c r="F186" s="1">
        <v>8.93</v>
      </c>
      <c r="G186">
        <v>70.599999999999994</v>
      </c>
      <c r="H186" s="13">
        <v>5.4</v>
      </c>
    </row>
    <row r="187" spans="3:11" ht="15.75" customHeight="1" x14ac:dyDescent="0.2">
      <c r="C187" s="16">
        <v>43671</v>
      </c>
      <c r="D187" s="12">
        <v>0.57361111111111118</v>
      </c>
      <c r="E187" s="3">
        <v>38</v>
      </c>
      <c r="F187" s="1">
        <v>8.89</v>
      </c>
      <c r="G187">
        <v>70.2</v>
      </c>
      <c r="H187" s="13">
        <v>5.3</v>
      </c>
    </row>
    <row r="188" spans="3:11" ht="15.75" customHeight="1" x14ac:dyDescent="0.2">
      <c r="C188" s="16">
        <v>43671</v>
      </c>
      <c r="D188" s="12">
        <v>0.57361111111111118</v>
      </c>
      <c r="E188" s="3">
        <v>40</v>
      </c>
      <c r="F188" s="1">
        <v>8.48</v>
      </c>
      <c r="G188">
        <v>66.5</v>
      </c>
      <c r="H188" s="13">
        <v>5.0999999999999996</v>
      </c>
    </row>
    <row r="189" spans="3:11" ht="15.75" customHeight="1" x14ac:dyDescent="0.2">
      <c r="C189" s="16">
        <v>43671</v>
      </c>
      <c r="D189" s="12">
        <v>0.57361111111111118</v>
      </c>
      <c r="E189" s="3">
        <v>42</v>
      </c>
      <c r="F189" s="1">
        <v>8.33</v>
      </c>
      <c r="G189" s="1">
        <v>65.3</v>
      </c>
      <c r="H189" s="13">
        <v>5</v>
      </c>
    </row>
    <row r="190" spans="3:11" ht="15.75" customHeight="1" x14ac:dyDescent="0.2">
      <c r="C190" s="16">
        <v>43671</v>
      </c>
      <c r="D190" s="12">
        <v>0.57361111111111118</v>
      </c>
      <c r="E190" s="3">
        <v>44</v>
      </c>
      <c r="F190" s="1">
        <v>8.11</v>
      </c>
      <c r="G190" s="1">
        <v>63.1</v>
      </c>
      <c r="H190" s="13">
        <v>5</v>
      </c>
    </row>
    <row r="191" spans="3:11" ht="15.75" customHeight="1" x14ac:dyDescent="0.2">
      <c r="E191" s="3"/>
    </row>
    <row r="192" spans="3:11" ht="15.75" customHeight="1" x14ac:dyDescent="0.2">
      <c r="C192" s="16">
        <v>43705</v>
      </c>
      <c r="D192" s="12">
        <v>0.67361111111111116</v>
      </c>
      <c r="E192" s="3"/>
      <c r="J192" s="1">
        <v>9.5</v>
      </c>
      <c r="K192" s="1">
        <v>12</v>
      </c>
    </row>
    <row r="193" spans="3:9" ht="15.75" customHeight="1" x14ac:dyDescent="0.2">
      <c r="C193" s="16">
        <v>43705</v>
      </c>
      <c r="D193" s="12">
        <v>0.67361111111111116</v>
      </c>
      <c r="E193" s="3">
        <v>0.1</v>
      </c>
      <c r="F193" s="1">
        <v>7.33</v>
      </c>
      <c r="G193">
        <v>85</v>
      </c>
      <c r="H193" s="13">
        <v>22.8</v>
      </c>
      <c r="I193" s="13">
        <v>22.8</v>
      </c>
    </row>
    <row r="194" spans="3:9" ht="15.75" customHeight="1" x14ac:dyDescent="0.2">
      <c r="C194" s="16">
        <v>43705</v>
      </c>
      <c r="D194" s="12">
        <v>0.67361111111111116</v>
      </c>
      <c r="E194" s="3">
        <v>1</v>
      </c>
      <c r="F194" s="1">
        <v>7.38</v>
      </c>
      <c r="G194">
        <v>84.4</v>
      </c>
      <c r="H194" s="13">
        <v>22.1</v>
      </c>
      <c r="I194" s="13">
        <v>22.1</v>
      </c>
    </row>
    <row r="195" spans="3:9" ht="15.75" customHeight="1" x14ac:dyDescent="0.2">
      <c r="C195" s="16">
        <v>43705</v>
      </c>
      <c r="D195" s="12">
        <v>0.67361111111111116</v>
      </c>
      <c r="E195" s="3">
        <v>2</v>
      </c>
      <c r="F195" s="1">
        <v>7.38</v>
      </c>
      <c r="G195">
        <v>83.8</v>
      </c>
      <c r="H195" s="13">
        <v>21.7</v>
      </c>
      <c r="I195" s="13">
        <v>21.7</v>
      </c>
    </row>
    <row r="196" spans="3:9" ht="15.75" customHeight="1" x14ac:dyDescent="0.2">
      <c r="C196" s="16">
        <v>43705</v>
      </c>
      <c r="D196" s="12">
        <v>0.67361111111111116</v>
      </c>
      <c r="E196" s="3">
        <v>3</v>
      </c>
      <c r="F196" s="1">
        <v>7.4</v>
      </c>
      <c r="G196">
        <v>83.6</v>
      </c>
      <c r="H196" s="13">
        <v>21.4</v>
      </c>
      <c r="I196" s="13">
        <v>21.4</v>
      </c>
    </row>
    <row r="197" spans="3:9" ht="15.75" customHeight="1" x14ac:dyDescent="0.2">
      <c r="C197" s="16">
        <v>43705</v>
      </c>
      <c r="D197" s="12">
        <v>0.67361111111111116</v>
      </c>
      <c r="E197" s="3">
        <v>4</v>
      </c>
      <c r="F197" s="1">
        <v>7.4</v>
      </c>
      <c r="G197">
        <v>83.5</v>
      </c>
      <c r="H197" s="13">
        <v>21.3</v>
      </c>
      <c r="I197" s="13">
        <v>21.3</v>
      </c>
    </row>
    <row r="198" spans="3:9" ht="15.75" customHeight="1" x14ac:dyDescent="0.2">
      <c r="C198" s="16">
        <v>43705</v>
      </c>
      <c r="D198" s="12">
        <v>0.67361111111111116</v>
      </c>
      <c r="E198" s="3">
        <v>5</v>
      </c>
      <c r="F198" s="1">
        <v>7.43</v>
      </c>
      <c r="G198">
        <v>83.5</v>
      </c>
      <c r="H198" s="13">
        <v>21.2</v>
      </c>
      <c r="I198" s="13">
        <v>21.2</v>
      </c>
    </row>
    <row r="199" spans="3:9" ht="15.75" customHeight="1" x14ac:dyDescent="0.2">
      <c r="C199" s="16">
        <v>43705</v>
      </c>
      <c r="D199" s="12">
        <v>0.67361111111111116</v>
      </c>
      <c r="E199" s="3">
        <v>6</v>
      </c>
      <c r="F199" s="1">
        <v>7.42</v>
      </c>
      <c r="G199">
        <v>83.3</v>
      </c>
      <c r="H199" s="13">
        <v>21.1</v>
      </c>
      <c r="I199" s="13">
        <v>21.1</v>
      </c>
    </row>
    <row r="200" spans="3:9" ht="15.75" customHeight="1" x14ac:dyDescent="0.2">
      <c r="C200" s="16">
        <v>43705</v>
      </c>
      <c r="D200" s="12">
        <v>0.67361111111111116</v>
      </c>
      <c r="E200" s="3">
        <v>7</v>
      </c>
      <c r="F200" s="1">
        <v>7.41</v>
      </c>
      <c r="G200">
        <v>83.1</v>
      </c>
      <c r="H200" s="13">
        <v>21</v>
      </c>
      <c r="I200" s="13">
        <v>21</v>
      </c>
    </row>
    <row r="201" spans="3:9" ht="15.75" customHeight="1" x14ac:dyDescent="0.2">
      <c r="C201" s="16">
        <v>43705</v>
      </c>
      <c r="D201" s="12">
        <v>0.67361111111111116</v>
      </c>
      <c r="E201" s="3">
        <v>8</v>
      </c>
      <c r="F201" s="1">
        <v>7.4</v>
      </c>
      <c r="G201">
        <v>83</v>
      </c>
      <c r="H201" s="13">
        <v>21</v>
      </c>
      <c r="I201" s="13">
        <v>21</v>
      </c>
    </row>
    <row r="202" spans="3:9" ht="15.75" customHeight="1" x14ac:dyDescent="0.2">
      <c r="C202" s="16">
        <v>43705</v>
      </c>
      <c r="D202" s="12">
        <v>0.67361111111111116</v>
      </c>
      <c r="E202" s="3">
        <v>9</v>
      </c>
      <c r="F202" s="1">
        <v>7.43</v>
      </c>
      <c r="G202">
        <v>83</v>
      </c>
      <c r="H202" s="13">
        <v>20.9</v>
      </c>
      <c r="I202" s="13">
        <v>20.9</v>
      </c>
    </row>
    <row r="203" spans="3:9" ht="15.75" customHeight="1" x14ac:dyDescent="0.2">
      <c r="C203" s="16">
        <v>43705</v>
      </c>
      <c r="D203" s="12">
        <v>0.67361111111111116</v>
      </c>
      <c r="E203" s="3">
        <v>10</v>
      </c>
      <c r="F203" s="1">
        <v>7.7</v>
      </c>
      <c r="G203">
        <v>85.4</v>
      </c>
      <c r="H203" s="13">
        <v>20.3</v>
      </c>
      <c r="I203" s="13">
        <v>20.3</v>
      </c>
    </row>
    <row r="204" spans="3:9" ht="15.75" customHeight="1" x14ac:dyDescent="0.2">
      <c r="C204" s="16">
        <v>43705</v>
      </c>
      <c r="D204" s="12">
        <v>0.67361111111111116</v>
      </c>
      <c r="E204" s="3">
        <v>11</v>
      </c>
      <c r="F204" s="1">
        <v>9.25</v>
      </c>
      <c r="G204">
        <v>94.7</v>
      </c>
      <c r="H204" s="13">
        <v>16.399999999999999</v>
      </c>
      <c r="I204" s="13">
        <f>AVERAGE(I193:I203)</f>
        <v>21.345454545454547</v>
      </c>
    </row>
    <row r="205" spans="3:9" ht="15.75" customHeight="1" x14ac:dyDescent="0.2">
      <c r="C205" s="16">
        <v>43705</v>
      </c>
      <c r="D205" s="12">
        <v>0.67361111111111116</v>
      </c>
      <c r="E205" s="3">
        <v>12</v>
      </c>
      <c r="F205" s="1">
        <v>9.9499999999999993</v>
      </c>
      <c r="G205">
        <v>94.6</v>
      </c>
      <c r="H205" s="13">
        <v>13.1</v>
      </c>
    </row>
    <row r="206" spans="3:9" ht="15.75" customHeight="1" x14ac:dyDescent="0.2">
      <c r="C206" s="16">
        <v>43705</v>
      </c>
      <c r="D206" s="12">
        <v>0.67361111111111116</v>
      </c>
      <c r="E206" s="3">
        <v>14</v>
      </c>
      <c r="F206" s="1">
        <v>10.130000000000001</v>
      </c>
      <c r="G206">
        <v>90</v>
      </c>
      <c r="H206" s="13">
        <v>10.199999999999999</v>
      </c>
    </row>
    <row r="207" spans="3:9" ht="15.75" customHeight="1" x14ac:dyDescent="0.2">
      <c r="C207" s="16">
        <v>43705</v>
      </c>
      <c r="D207" s="12">
        <v>0.67361111111111116</v>
      </c>
      <c r="E207" s="3">
        <v>16</v>
      </c>
      <c r="F207" s="1">
        <v>10.07</v>
      </c>
      <c r="G207">
        <v>85.8</v>
      </c>
      <c r="H207" s="13">
        <v>8.6</v>
      </c>
    </row>
    <row r="208" spans="3:9" ht="15.75" customHeight="1" x14ac:dyDescent="0.2">
      <c r="C208" s="16">
        <v>43705</v>
      </c>
      <c r="D208" s="12">
        <v>0.67361111111111116</v>
      </c>
      <c r="E208" s="3">
        <v>18</v>
      </c>
      <c r="F208" s="1">
        <v>9.92</v>
      </c>
      <c r="G208">
        <v>83.2</v>
      </c>
      <c r="H208" s="13">
        <v>7.8</v>
      </c>
    </row>
    <row r="209" spans="3:11" ht="15.75" customHeight="1" x14ac:dyDescent="0.2">
      <c r="C209" s="16">
        <v>43705</v>
      </c>
      <c r="D209" s="12">
        <v>0.67361111111111116</v>
      </c>
      <c r="E209" s="3">
        <v>20</v>
      </c>
      <c r="F209" s="1">
        <v>9.7200000000000006</v>
      </c>
      <c r="G209">
        <v>80.400000000000006</v>
      </c>
      <c r="H209" s="13">
        <v>7.3</v>
      </c>
    </row>
    <row r="210" spans="3:11" ht="15.75" customHeight="1" x14ac:dyDescent="0.2">
      <c r="C210" s="16">
        <v>43705</v>
      </c>
      <c r="D210" s="12">
        <v>0.67361111111111116</v>
      </c>
      <c r="E210" s="3">
        <v>22</v>
      </c>
      <c r="F210" s="1">
        <v>9.5500000000000007</v>
      </c>
      <c r="G210">
        <v>78.3</v>
      </c>
      <c r="H210" s="13">
        <v>6.9</v>
      </c>
    </row>
    <row r="211" spans="3:11" ht="15.75" customHeight="1" x14ac:dyDescent="0.2">
      <c r="C211" s="16">
        <v>43705</v>
      </c>
      <c r="D211" s="12">
        <v>0.67361111111111116</v>
      </c>
      <c r="E211" s="3">
        <v>24</v>
      </c>
      <c r="F211" s="1">
        <v>9.34</v>
      </c>
      <c r="G211">
        <v>75.900000000000006</v>
      </c>
      <c r="H211" s="13">
        <v>6.5</v>
      </c>
    </row>
    <row r="212" spans="3:11" ht="15.75" customHeight="1" x14ac:dyDescent="0.2">
      <c r="C212" s="16">
        <v>43705</v>
      </c>
      <c r="D212" s="12">
        <v>0.67361111111111116</v>
      </c>
      <c r="E212" s="3">
        <v>26</v>
      </c>
      <c r="F212" s="1">
        <v>9.26</v>
      </c>
      <c r="G212">
        <v>75</v>
      </c>
      <c r="H212" s="13">
        <v>6.4</v>
      </c>
    </row>
    <row r="213" spans="3:11" ht="15.75" customHeight="1" x14ac:dyDescent="0.2">
      <c r="C213" s="16">
        <v>43705</v>
      </c>
      <c r="D213" s="12">
        <v>0.67361111111111116</v>
      </c>
      <c r="E213" s="3">
        <v>28</v>
      </c>
      <c r="F213" s="1">
        <v>9.19</v>
      </c>
      <c r="G213">
        <v>74.400000000000006</v>
      </c>
      <c r="H213" s="13">
        <v>6.3</v>
      </c>
    </row>
    <row r="214" spans="3:11" ht="15.75" customHeight="1" x14ac:dyDescent="0.2">
      <c r="C214" s="16">
        <v>43705</v>
      </c>
      <c r="D214" s="12">
        <v>0.67361111111111116</v>
      </c>
      <c r="E214" s="3">
        <v>30</v>
      </c>
      <c r="F214" s="1">
        <v>9.08</v>
      </c>
      <c r="G214">
        <v>72.900000000000006</v>
      </c>
      <c r="H214" s="13">
        <v>6.1</v>
      </c>
    </row>
    <row r="215" spans="3:11" ht="15.75" customHeight="1" x14ac:dyDescent="0.2">
      <c r="C215" s="16">
        <v>43705</v>
      </c>
      <c r="D215" s="12">
        <v>0.67361111111111116</v>
      </c>
      <c r="E215" s="3">
        <v>32</v>
      </c>
      <c r="F215" s="1">
        <v>8.9499999999999993</v>
      </c>
      <c r="G215">
        <v>71.3</v>
      </c>
      <c r="H215" s="13">
        <v>5.8</v>
      </c>
    </row>
    <row r="216" spans="3:11" ht="15.75" customHeight="1" x14ac:dyDescent="0.2">
      <c r="C216" s="16">
        <v>43705</v>
      </c>
      <c r="D216" s="12">
        <v>0.67361111111111116</v>
      </c>
      <c r="E216" s="3">
        <v>34</v>
      </c>
      <c r="F216" s="1">
        <v>8.8699999999999992</v>
      </c>
      <c r="G216">
        <v>70.5</v>
      </c>
      <c r="H216" s="13">
        <v>5.7</v>
      </c>
    </row>
    <row r="217" spans="3:11" ht="15.75" customHeight="1" x14ac:dyDescent="0.2">
      <c r="C217" s="16">
        <v>43705</v>
      </c>
      <c r="D217" s="12">
        <v>0.67361111111111116</v>
      </c>
      <c r="E217" s="3">
        <v>36</v>
      </c>
      <c r="F217" s="1">
        <v>8.7799999999999994</v>
      </c>
      <c r="G217">
        <v>69.7</v>
      </c>
      <c r="H217" s="13">
        <v>5.6</v>
      </c>
    </row>
    <row r="218" spans="3:11" ht="15.75" customHeight="1" x14ac:dyDescent="0.2">
      <c r="C218" s="16">
        <v>43705</v>
      </c>
      <c r="D218" s="12">
        <v>0.67361111111111116</v>
      </c>
      <c r="E218" s="3">
        <v>38</v>
      </c>
      <c r="F218" s="1">
        <v>8.6999999999999993</v>
      </c>
      <c r="G218">
        <v>68.8</v>
      </c>
      <c r="H218" s="13">
        <v>5.5</v>
      </c>
    </row>
    <row r="219" spans="3:11" ht="15.75" customHeight="1" x14ac:dyDescent="0.2">
      <c r="C219" s="16">
        <v>43705</v>
      </c>
      <c r="D219" s="12">
        <v>0.67361111111111116</v>
      </c>
      <c r="E219" s="3">
        <v>40</v>
      </c>
      <c r="F219" s="1">
        <v>8.5399999999999991</v>
      </c>
      <c r="G219" s="1">
        <v>67.099999999999994</v>
      </c>
      <c r="H219" s="1">
        <v>5.3</v>
      </c>
    </row>
    <row r="220" spans="3:11" ht="15.75" customHeight="1" x14ac:dyDescent="0.2">
      <c r="C220" s="16">
        <v>43705</v>
      </c>
      <c r="D220" s="12">
        <v>0.67361111111111116</v>
      </c>
      <c r="E220" s="3">
        <v>42</v>
      </c>
      <c r="F220" s="1">
        <v>8.35</v>
      </c>
      <c r="G220" s="1">
        <v>64.099999999999994</v>
      </c>
      <c r="H220" s="1">
        <v>5.2</v>
      </c>
    </row>
    <row r="221" spans="3:11" ht="15.75" customHeight="1" x14ac:dyDescent="0.2">
      <c r="C221" s="16">
        <v>43705</v>
      </c>
      <c r="D221" s="12">
        <v>0.67361111111111116</v>
      </c>
      <c r="E221" s="3">
        <v>44</v>
      </c>
      <c r="F221" s="1">
        <v>3.3</v>
      </c>
      <c r="G221" s="1">
        <v>20.5</v>
      </c>
      <c r="H221" s="1">
        <v>5.2</v>
      </c>
    </row>
    <row r="222" spans="3:11" ht="15.75" customHeight="1" x14ac:dyDescent="0.2">
      <c r="E222" s="3"/>
    </row>
    <row r="223" spans="3:11" ht="15.75" customHeight="1" x14ac:dyDescent="0.2">
      <c r="C223" s="16">
        <v>43732</v>
      </c>
      <c r="D223" s="12">
        <v>0.36527777777777781</v>
      </c>
      <c r="E223" s="3"/>
      <c r="J223" s="1">
        <v>8</v>
      </c>
      <c r="K223" s="1">
        <v>10</v>
      </c>
    </row>
    <row r="224" spans="3:11" ht="15.75" customHeight="1" x14ac:dyDescent="0.2">
      <c r="C224" s="16">
        <v>43732</v>
      </c>
      <c r="D224" s="12">
        <v>0.375</v>
      </c>
      <c r="E224" s="3">
        <v>0.1</v>
      </c>
      <c r="F224" s="1">
        <v>8.02</v>
      </c>
      <c r="G224" s="1">
        <v>83.4</v>
      </c>
      <c r="H224" s="1">
        <v>17.3</v>
      </c>
      <c r="I224" s="1">
        <v>17.3</v>
      </c>
    </row>
    <row r="225" spans="3:9" ht="15.75" customHeight="1" x14ac:dyDescent="0.2">
      <c r="C225" s="16">
        <v>43732</v>
      </c>
      <c r="D225" s="12">
        <v>0.375</v>
      </c>
      <c r="E225" s="3">
        <v>1</v>
      </c>
      <c r="F225" s="1">
        <v>7.98</v>
      </c>
      <c r="G225" s="1">
        <v>83.3</v>
      </c>
      <c r="H225" s="1">
        <v>17.3</v>
      </c>
      <c r="I225" s="1">
        <v>17.3</v>
      </c>
    </row>
    <row r="226" spans="3:9" ht="15.75" customHeight="1" x14ac:dyDescent="0.2">
      <c r="C226" s="16">
        <v>43732</v>
      </c>
      <c r="D226" s="12">
        <v>0.375</v>
      </c>
      <c r="E226" s="3">
        <v>2</v>
      </c>
      <c r="F226" s="1">
        <v>7.97</v>
      </c>
      <c r="G226">
        <v>83.1</v>
      </c>
      <c r="H226" s="1">
        <v>17.399999999999999</v>
      </c>
      <c r="I226" s="1">
        <v>17.399999999999999</v>
      </c>
    </row>
    <row r="227" spans="3:9" ht="15.75" customHeight="1" x14ac:dyDescent="0.2">
      <c r="C227" s="16">
        <v>43732</v>
      </c>
      <c r="D227" s="12">
        <v>0.375</v>
      </c>
      <c r="E227" s="3">
        <v>3</v>
      </c>
      <c r="F227" s="1">
        <v>7.96</v>
      </c>
      <c r="G227">
        <v>83</v>
      </c>
      <c r="H227" s="1">
        <v>17.399999999999999</v>
      </c>
      <c r="I227" s="1">
        <v>17.399999999999999</v>
      </c>
    </row>
    <row r="228" spans="3:9" ht="15.75" customHeight="1" x14ac:dyDescent="0.2">
      <c r="C228" s="16">
        <v>43732</v>
      </c>
      <c r="D228" s="12">
        <v>0.375</v>
      </c>
      <c r="E228" s="3">
        <v>4</v>
      </c>
      <c r="F228" s="1">
        <v>7.95</v>
      </c>
      <c r="G228">
        <v>82.9</v>
      </c>
      <c r="H228" s="1">
        <v>17.399999999999999</v>
      </c>
      <c r="I228" s="1">
        <v>17.399999999999999</v>
      </c>
    </row>
    <row r="229" spans="3:9" ht="15.75" customHeight="1" x14ac:dyDescent="0.2">
      <c r="C229" s="16">
        <v>43732</v>
      </c>
      <c r="D229" s="12">
        <v>0.375</v>
      </c>
      <c r="E229" s="3">
        <v>5</v>
      </c>
      <c r="F229" s="1">
        <v>7.93</v>
      </c>
      <c r="G229">
        <v>82.7</v>
      </c>
      <c r="H229" s="1">
        <v>17.399999999999999</v>
      </c>
      <c r="I229" s="1">
        <v>17.399999999999999</v>
      </c>
    </row>
    <row r="230" spans="3:9" ht="15.75" customHeight="1" x14ac:dyDescent="0.2">
      <c r="C230" s="16">
        <v>43732</v>
      </c>
      <c r="D230" s="12">
        <v>0.375</v>
      </c>
      <c r="E230" s="3">
        <v>6</v>
      </c>
      <c r="F230" s="1">
        <v>7.92</v>
      </c>
      <c r="G230">
        <v>82.6</v>
      </c>
      <c r="H230" s="1">
        <v>17.399999999999999</v>
      </c>
      <c r="I230" s="1">
        <v>17.399999999999999</v>
      </c>
    </row>
    <row r="231" spans="3:9" ht="15.75" customHeight="1" x14ac:dyDescent="0.2">
      <c r="C231" s="16">
        <v>43732</v>
      </c>
      <c r="D231" s="12">
        <v>0.375</v>
      </c>
      <c r="E231" s="3">
        <v>7</v>
      </c>
      <c r="F231" s="1">
        <v>7.91</v>
      </c>
      <c r="G231">
        <v>82.5</v>
      </c>
      <c r="H231" s="1">
        <v>17.399999999999999</v>
      </c>
      <c r="I231" s="1">
        <v>17.399999999999999</v>
      </c>
    </row>
    <row r="232" spans="3:9" ht="15.75" customHeight="1" x14ac:dyDescent="0.2">
      <c r="C232" s="16">
        <v>43732</v>
      </c>
      <c r="D232" s="12">
        <v>0.375</v>
      </c>
      <c r="E232" s="3">
        <v>8</v>
      </c>
      <c r="F232" s="1">
        <v>7.9</v>
      </c>
      <c r="G232">
        <v>82.4</v>
      </c>
      <c r="H232" s="1">
        <v>17.399999999999999</v>
      </c>
      <c r="I232" s="1">
        <v>17.399999999999999</v>
      </c>
    </row>
    <row r="233" spans="3:9" ht="15.75" customHeight="1" x14ac:dyDescent="0.2">
      <c r="C233" s="16">
        <v>43732</v>
      </c>
      <c r="D233" s="12">
        <v>0.375</v>
      </c>
      <c r="E233" s="3">
        <v>9</v>
      </c>
      <c r="F233" s="1">
        <v>7.88</v>
      </c>
      <c r="G233">
        <v>82.3</v>
      </c>
      <c r="H233" s="1">
        <v>17.399999999999999</v>
      </c>
      <c r="I233" s="1">
        <v>17.399999999999999</v>
      </c>
    </row>
    <row r="234" spans="3:9" ht="15.75" customHeight="1" x14ac:dyDescent="0.2">
      <c r="C234" s="16">
        <v>43732</v>
      </c>
      <c r="D234" s="12">
        <v>0.375</v>
      </c>
      <c r="E234" s="3">
        <v>10</v>
      </c>
      <c r="F234" s="1">
        <v>7.87</v>
      </c>
      <c r="G234">
        <v>82.1</v>
      </c>
      <c r="H234" s="1">
        <v>17.399999999999999</v>
      </c>
      <c r="I234" s="1">
        <v>17.399999999999999</v>
      </c>
    </row>
    <row r="235" spans="3:9" ht="15.75" customHeight="1" x14ac:dyDescent="0.2">
      <c r="C235" s="16">
        <v>43732</v>
      </c>
      <c r="D235" s="12">
        <v>0.375</v>
      </c>
      <c r="E235" s="3">
        <v>11</v>
      </c>
      <c r="F235" s="1">
        <v>7.94</v>
      </c>
      <c r="G235">
        <v>82.5</v>
      </c>
      <c r="H235" s="1">
        <v>17.2</v>
      </c>
      <c r="I235" s="1">
        <v>17.2</v>
      </c>
    </row>
    <row r="236" spans="3:9" ht="15.75" customHeight="1" x14ac:dyDescent="0.2">
      <c r="C236" s="16">
        <v>43732</v>
      </c>
      <c r="D236" s="12">
        <v>0.375</v>
      </c>
      <c r="E236" s="3">
        <v>12</v>
      </c>
      <c r="F236" s="1">
        <v>7.89</v>
      </c>
      <c r="G236" s="1">
        <v>82</v>
      </c>
      <c r="H236" s="1">
        <v>17.3</v>
      </c>
      <c r="I236" s="1">
        <v>17.3</v>
      </c>
    </row>
    <row r="237" spans="3:9" ht="15.75" customHeight="1" x14ac:dyDescent="0.2">
      <c r="C237" s="16">
        <v>43732</v>
      </c>
      <c r="D237" s="12">
        <v>0.375</v>
      </c>
      <c r="E237" s="3">
        <v>13</v>
      </c>
      <c r="F237" s="1">
        <v>7.89</v>
      </c>
      <c r="G237" s="1">
        <v>81.8</v>
      </c>
      <c r="H237" s="1">
        <v>17</v>
      </c>
      <c r="I237" s="1">
        <v>17</v>
      </c>
    </row>
    <row r="238" spans="3:9" ht="15.75" customHeight="1" x14ac:dyDescent="0.2">
      <c r="C238" s="16">
        <v>43732</v>
      </c>
      <c r="D238" s="12">
        <v>0.375</v>
      </c>
      <c r="E238" s="3">
        <v>14</v>
      </c>
      <c r="F238" s="1">
        <v>7.68</v>
      </c>
      <c r="G238" s="1">
        <v>81.8</v>
      </c>
      <c r="H238" s="1">
        <v>16.2</v>
      </c>
      <c r="I238" s="1">
        <v>16.2</v>
      </c>
    </row>
    <row r="239" spans="3:9" ht="15.75" customHeight="1" x14ac:dyDescent="0.2">
      <c r="C239" s="16">
        <v>43732</v>
      </c>
      <c r="D239" s="12">
        <v>0.375</v>
      </c>
      <c r="E239" s="3">
        <v>15</v>
      </c>
      <c r="F239" s="1">
        <v>9.89</v>
      </c>
      <c r="G239" s="1">
        <v>86.6</v>
      </c>
      <c r="H239" s="1">
        <v>10.8</v>
      </c>
      <c r="I239" s="1">
        <f>AVERAGE(I224:I238)</f>
        <v>17.260000000000002</v>
      </c>
    </row>
    <row r="240" spans="3:9" ht="15.75" customHeight="1" x14ac:dyDescent="0.2">
      <c r="C240" s="16">
        <v>43732</v>
      </c>
      <c r="D240" s="12">
        <v>0.375</v>
      </c>
      <c r="E240" s="3">
        <v>17</v>
      </c>
      <c r="F240" s="1">
        <v>10.15</v>
      </c>
      <c r="G240" s="1">
        <v>88.3</v>
      </c>
      <c r="H240" s="1">
        <v>9.1999999999999993</v>
      </c>
    </row>
    <row r="241" spans="3:11" ht="15.75" customHeight="1" x14ac:dyDescent="0.2">
      <c r="C241" s="16">
        <v>43732</v>
      </c>
      <c r="D241" s="12">
        <v>0.375</v>
      </c>
      <c r="E241" s="3">
        <v>19</v>
      </c>
      <c r="F241" s="1">
        <v>9.99</v>
      </c>
      <c r="G241">
        <v>84.3</v>
      </c>
      <c r="H241" s="1">
        <v>8.3000000000000007</v>
      </c>
    </row>
    <row r="242" spans="3:11" ht="15.75" customHeight="1" x14ac:dyDescent="0.2">
      <c r="C242" s="16">
        <v>43732</v>
      </c>
      <c r="D242" s="12">
        <v>0.375</v>
      </c>
      <c r="E242" s="3">
        <v>21</v>
      </c>
      <c r="F242" s="1">
        <v>9.66</v>
      </c>
      <c r="G242">
        <v>80.2</v>
      </c>
      <c r="H242" s="1">
        <v>7.6</v>
      </c>
    </row>
    <row r="243" spans="3:11" ht="15.75" customHeight="1" x14ac:dyDescent="0.2">
      <c r="C243" s="16">
        <v>43732</v>
      </c>
      <c r="D243" s="12">
        <v>0.375</v>
      </c>
      <c r="E243" s="3">
        <v>23</v>
      </c>
      <c r="F243" s="1">
        <v>9.48</v>
      </c>
      <c r="G243">
        <v>78</v>
      </c>
      <c r="H243" s="1">
        <v>7.2</v>
      </c>
    </row>
    <row r="244" spans="3:11" ht="15.75" customHeight="1" x14ac:dyDescent="0.2">
      <c r="C244" s="16">
        <v>43732</v>
      </c>
      <c r="D244" s="12">
        <v>0.375</v>
      </c>
      <c r="E244" s="3">
        <v>25</v>
      </c>
      <c r="F244" s="1">
        <v>9.35</v>
      </c>
      <c r="G244">
        <v>76.099999999999994</v>
      </c>
      <c r="H244" s="1">
        <v>6.7</v>
      </c>
    </row>
    <row r="245" spans="3:11" ht="15.75" customHeight="1" x14ac:dyDescent="0.2">
      <c r="C245" s="16">
        <v>43732</v>
      </c>
      <c r="D245" s="12">
        <v>0.375</v>
      </c>
      <c r="E245" s="3">
        <v>27</v>
      </c>
      <c r="F245" s="1">
        <v>9.14</v>
      </c>
      <c r="G245">
        <v>74.099999999999994</v>
      </c>
      <c r="H245" s="1">
        <v>6.4</v>
      </c>
    </row>
    <row r="246" spans="3:11" ht="15.75" customHeight="1" x14ac:dyDescent="0.2">
      <c r="C246" s="16">
        <v>43732</v>
      </c>
      <c r="D246" s="12">
        <v>0.375</v>
      </c>
      <c r="E246" s="3">
        <v>29</v>
      </c>
      <c r="F246" s="1">
        <v>9.0299999999999994</v>
      </c>
      <c r="G246">
        <v>72.8</v>
      </c>
      <c r="H246" s="1">
        <v>6.2</v>
      </c>
    </row>
    <row r="247" spans="3:11" ht="15.75" customHeight="1" x14ac:dyDescent="0.2">
      <c r="C247" s="16">
        <v>43732</v>
      </c>
      <c r="D247" s="12">
        <v>0.375</v>
      </c>
      <c r="E247" s="3">
        <v>31</v>
      </c>
      <c r="F247" s="1">
        <v>8.94</v>
      </c>
      <c r="G247">
        <v>72</v>
      </c>
      <c r="H247" s="1">
        <v>6.1</v>
      </c>
    </row>
    <row r="248" spans="3:11" ht="15.75" customHeight="1" x14ac:dyDescent="0.2">
      <c r="C248" s="16">
        <v>43732</v>
      </c>
      <c r="D248" s="12">
        <v>0.375</v>
      </c>
      <c r="E248" s="3">
        <v>33</v>
      </c>
      <c r="F248" s="1">
        <v>8.9</v>
      </c>
      <c r="G248">
        <v>71.3</v>
      </c>
      <c r="H248" s="1">
        <v>6</v>
      </c>
    </row>
    <row r="249" spans="3:11" ht="15.75" customHeight="1" x14ac:dyDescent="0.2">
      <c r="C249" s="16">
        <v>43732</v>
      </c>
      <c r="D249" s="12">
        <v>0.375</v>
      </c>
      <c r="E249" s="3">
        <v>35</v>
      </c>
      <c r="F249" s="1">
        <v>8.81</v>
      </c>
      <c r="G249">
        <v>70.400000000000006</v>
      </c>
      <c r="H249" s="1">
        <v>5.8</v>
      </c>
    </row>
    <row r="250" spans="3:11" ht="15.75" customHeight="1" x14ac:dyDescent="0.2">
      <c r="C250" s="16">
        <v>43732</v>
      </c>
      <c r="D250" s="12">
        <v>0.375</v>
      </c>
      <c r="E250" s="3">
        <v>37</v>
      </c>
      <c r="F250" s="1">
        <v>8.73</v>
      </c>
      <c r="G250">
        <v>69.5</v>
      </c>
      <c r="H250" s="1">
        <v>5.7</v>
      </c>
    </row>
    <row r="251" spans="3:11" ht="15.75" customHeight="1" x14ac:dyDescent="0.2">
      <c r="C251" s="16">
        <v>43732</v>
      </c>
      <c r="D251" s="12">
        <v>0.375</v>
      </c>
      <c r="E251" s="3">
        <v>39</v>
      </c>
      <c r="F251" s="1">
        <v>8.65</v>
      </c>
      <c r="G251">
        <v>68.599999999999994</v>
      </c>
      <c r="H251" s="1">
        <v>5.6</v>
      </c>
    </row>
    <row r="252" spans="3:11" ht="15.75" customHeight="1" x14ac:dyDescent="0.2">
      <c r="C252" s="16">
        <v>43732</v>
      </c>
      <c r="D252" s="12">
        <v>0.375</v>
      </c>
      <c r="E252" s="3">
        <v>41</v>
      </c>
      <c r="F252" s="1">
        <v>8.43</v>
      </c>
      <c r="G252">
        <v>66.5</v>
      </c>
      <c r="H252" s="1">
        <v>5.4</v>
      </c>
    </row>
    <row r="253" spans="3:11" ht="15.75" customHeight="1" x14ac:dyDescent="0.2">
      <c r="C253" s="16">
        <v>43732</v>
      </c>
      <c r="D253" s="12">
        <v>0.375</v>
      </c>
      <c r="E253" s="3">
        <v>43</v>
      </c>
      <c r="F253" s="1">
        <v>8.02</v>
      </c>
      <c r="G253" s="1">
        <v>62.2</v>
      </c>
      <c r="H253" s="1">
        <v>5.3</v>
      </c>
    </row>
    <row r="254" spans="3:11" ht="15.75" customHeight="1" x14ac:dyDescent="0.2">
      <c r="C254" s="16">
        <v>43732</v>
      </c>
      <c r="D254" s="12">
        <v>0.375</v>
      </c>
      <c r="E254" s="3">
        <v>45</v>
      </c>
      <c r="F254" s="1">
        <v>7.26</v>
      </c>
      <c r="G254" s="1">
        <v>56.9</v>
      </c>
      <c r="H254" s="1">
        <v>5.3</v>
      </c>
    </row>
    <row r="255" spans="3:11" ht="15.75" customHeight="1" x14ac:dyDescent="0.2">
      <c r="E255" s="3"/>
    </row>
    <row r="256" spans="3:11" ht="15.75" customHeight="1" x14ac:dyDescent="0.2">
      <c r="C256" s="205">
        <v>43256</v>
      </c>
      <c r="D256" s="185">
        <v>0.46875</v>
      </c>
      <c r="E256" s="3"/>
      <c r="J256">
        <v>5.5</v>
      </c>
      <c r="K256">
        <v>7</v>
      </c>
    </row>
    <row r="257" spans="3:12" ht="15.75" customHeight="1" x14ac:dyDescent="0.2">
      <c r="C257" s="205">
        <v>43256</v>
      </c>
      <c r="D257" s="185">
        <v>0.47569444444444442</v>
      </c>
      <c r="E257" s="3">
        <v>0.1</v>
      </c>
      <c r="F257">
        <v>8.17</v>
      </c>
      <c r="G257">
        <v>79.900000000000006</v>
      </c>
      <c r="H257">
        <v>14.3</v>
      </c>
    </row>
    <row r="258" spans="3:12" ht="15.75" customHeight="1" x14ac:dyDescent="0.2">
      <c r="C258" s="205">
        <v>43256</v>
      </c>
      <c r="D258" s="185">
        <v>0.47569444444444442</v>
      </c>
      <c r="E258" s="3">
        <v>1</v>
      </c>
      <c r="F258">
        <v>8.23</v>
      </c>
      <c r="G258">
        <v>80.2</v>
      </c>
      <c r="H258">
        <v>14.2</v>
      </c>
    </row>
    <row r="259" spans="3:12" ht="15.75" customHeight="1" x14ac:dyDescent="0.2">
      <c r="C259" s="205">
        <v>43256</v>
      </c>
      <c r="D259" s="185">
        <v>0.47569444444444442</v>
      </c>
      <c r="E259" s="3">
        <v>2</v>
      </c>
      <c r="F259">
        <v>8.24</v>
      </c>
      <c r="G259">
        <v>80.5</v>
      </c>
      <c r="H259">
        <v>14.3</v>
      </c>
    </row>
    <row r="260" spans="3:12" ht="15.75" customHeight="1" x14ac:dyDescent="0.2">
      <c r="C260" s="205">
        <v>43256</v>
      </c>
      <c r="D260" s="185">
        <v>0.47569444444444442</v>
      </c>
      <c r="E260" s="3">
        <v>3</v>
      </c>
      <c r="F260">
        <v>8.26</v>
      </c>
      <c r="G260">
        <v>80.5</v>
      </c>
      <c r="H260">
        <v>14.2</v>
      </c>
      <c r="L260" s="33"/>
    </row>
    <row r="261" spans="3:12" ht="15.75" customHeight="1" x14ac:dyDescent="0.2">
      <c r="C261" s="205">
        <v>43256</v>
      </c>
      <c r="D261" s="185">
        <v>0.47569444444444442</v>
      </c>
      <c r="E261" s="3">
        <v>4</v>
      </c>
      <c r="F261">
        <v>8.49</v>
      </c>
      <c r="G261">
        <v>79.7</v>
      </c>
      <c r="H261">
        <v>12.6</v>
      </c>
      <c r="L261" s="33"/>
    </row>
    <row r="262" spans="3:12" ht="15.75" customHeight="1" x14ac:dyDescent="0.2">
      <c r="C262" s="205">
        <v>43256</v>
      </c>
      <c r="D262" s="185">
        <v>0.47569444444444442</v>
      </c>
      <c r="E262" s="3">
        <v>6</v>
      </c>
      <c r="F262">
        <v>8.59</v>
      </c>
      <c r="G262">
        <v>79.8</v>
      </c>
      <c r="H262">
        <v>11.9</v>
      </c>
      <c r="L262" s="33"/>
    </row>
    <row r="263" spans="3:12" ht="15.75" customHeight="1" x14ac:dyDescent="0.2">
      <c r="C263" s="205">
        <v>43256</v>
      </c>
      <c r="D263" s="185">
        <v>0.47569444444444442</v>
      </c>
      <c r="E263" s="3">
        <v>8</v>
      </c>
      <c r="F263">
        <v>8.84</v>
      </c>
      <c r="G263">
        <v>78.8</v>
      </c>
      <c r="H263">
        <v>10.3</v>
      </c>
      <c r="L263" s="33"/>
    </row>
    <row r="264" spans="3:12" ht="15.75" customHeight="1" x14ac:dyDescent="0.2">
      <c r="C264" s="205">
        <v>43256</v>
      </c>
      <c r="D264" s="185">
        <v>0.47569444444444442</v>
      </c>
      <c r="E264" s="3">
        <v>10</v>
      </c>
      <c r="F264">
        <v>9.0399999999999991</v>
      </c>
      <c r="G264">
        <v>76.400000000000006</v>
      </c>
      <c r="H264">
        <v>8</v>
      </c>
      <c r="L264" s="33"/>
    </row>
    <row r="265" spans="3:12" ht="15.75" customHeight="1" x14ac:dyDescent="0.2">
      <c r="C265" s="205">
        <v>43256</v>
      </c>
      <c r="D265" s="185">
        <v>0.47569444444444442</v>
      </c>
      <c r="E265" s="3">
        <v>12</v>
      </c>
      <c r="F265">
        <v>9.0500000000000007</v>
      </c>
      <c r="G265">
        <v>75.7</v>
      </c>
      <c r="H265">
        <v>7.6</v>
      </c>
      <c r="L265" s="33"/>
    </row>
    <row r="266" spans="3:12" ht="15.75" customHeight="1" x14ac:dyDescent="0.2">
      <c r="C266" s="205">
        <v>43256</v>
      </c>
      <c r="D266" s="185">
        <v>0.47569444444444442</v>
      </c>
      <c r="E266" s="3">
        <v>14</v>
      </c>
      <c r="F266">
        <v>9.0299999999999994</v>
      </c>
      <c r="G266">
        <v>74.599999999999994</v>
      </c>
      <c r="H266">
        <v>7.1</v>
      </c>
    </row>
    <row r="267" spans="3:12" ht="15.75" customHeight="1" x14ac:dyDescent="0.2">
      <c r="C267" s="205">
        <v>43256</v>
      </c>
      <c r="D267" s="185">
        <v>0.47569444444444442</v>
      </c>
      <c r="E267" s="3">
        <v>16</v>
      </c>
      <c r="F267">
        <v>9.02</v>
      </c>
      <c r="G267">
        <v>74.099999999999994</v>
      </c>
      <c r="H267">
        <v>6.9</v>
      </c>
    </row>
    <row r="268" spans="3:12" ht="15.75" customHeight="1" x14ac:dyDescent="0.2">
      <c r="C268" s="205">
        <v>43256</v>
      </c>
      <c r="D268" s="185">
        <v>0.47569444444444442</v>
      </c>
      <c r="E268" s="3">
        <v>18</v>
      </c>
      <c r="F268">
        <v>9</v>
      </c>
      <c r="G268">
        <v>73.2</v>
      </c>
      <c r="H268">
        <v>6.5</v>
      </c>
      <c r="I268" s="13"/>
    </row>
    <row r="269" spans="3:12" ht="15.75" customHeight="1" x14ac:dyDescent="0.2">
      <c r="C269" s="205">
        <v>43256</v>
      </c>
      <c r="D269" s="185">
        <v>0.47569444444444442</v>
      </c>
      <c r="E269" s="3">
        <v>20</v>
      </c>
      <c r="F269">
        <v>8.9499999999999993</v>
      </c>
      <c r="G269">
        <v>71.3</v>
      </c>
      <c r="H269">
        <v>5.7</v>
      </c>
      <c r="I269" s="13"/>
    </row>
    <row r="270" spans="3:12" ht="15.75" customHeight="1" x14ac:dyDescent="0.2">
      <c r="C270" s="205">
        <v>43256</v>
      </c>
      <c r="D270" s="185">
        <v>0.47569444444444442</v>
      </c>
      <c r="E270" s="3">
        <v>22</v>
      </c>
      <c r="F270">
        <v>8.92</v>
      </c>
      <c r="G270">
        <v>70.400000000000006</v>
      </c>
      <c r="H270">
        <v>5.4</v>
      </c>
      <c r="I270" s="13"/>
    </row>
    <row r="271" spans="3:12" ht="15.75" customHeight="1" x14ac:dyDescent="0.2">
      <c r="C271" s="205">
        <v>43256</v>
      </c>
      <c r="D271" s="185">
        <v>0.47569444444444442</v>
      </c>
      <c r="E271" s="3">
        <v>24</v>
      </c>
      <c r="F271">
        <v>8.85</v>
      </c>
      <c r="G271">
        <v>69.5</v>
      </c>
      <c r="H271">
        <v>5.2</v>
      </c>
      <c r="I271" s="13"/>
    </row>
    <row r="272" spans="3:12" ht="15.75" customHeight="1" x14ac:dyDescent="0.2">
      <c r="C272" s="205">
        <v>43256</v>
      </c>
      <c r="D272" s="185">
        <v>0.47569444444444442</v>
      </c>
      <c r="E272" s="3">
        <v>26</v>
      </c>
      <c r="F272">
        <v>8.8000000000000007</v>
      </c>
      <c r="G272">
        <v>69.099999999999994</v>
      </c>
      <c r="H272">
        <v>5.0999999999999996</v>
      </c>
      <c r="I272" s="13"/>
    </row>
    <row r="273" spans="3:11" ht="15.75" customHeight="1" x14ac:dyDescent="0.2">
      <c r="C273" s="205">
        <v>43256</v>
      </c>
      <c r="D273" s="185">
        <v>0.47569444444444442</v>
      </c>
      <c r="E273" s="3">
        <v>28</v>
      </c>
      <c r="F273">
        <v>8.74</v>
      </c>
      <c r="G273">
        <v>68.400000000000006</v>
      </c>
      <c r="H273">
        <v>5</v>
      </c>
      <c r="I273" s="13"/>
    </row>
    <row r="274" spans="3:11" ht="15.75" customHeight="1" x14ac:dyDescent="0.2">
      <c r="C274" s="205">
        <v>43256</v>
      </c>
      <c r="D274" s="185">
        <v>0.47569444444444442</v>
      </c>
      <c r="E274" s="3">
        <v>30</v>
      </c>
      <c r="F274">
        <v>8.7200000000000006</v>
      </c>
      <c r="G274">
        <v>68.099999999999994</v>
      </c>
      <c r="H274">
        <v>4.9000000000000004</v>
      </c>
      <c r="I274" s="13"/>
    </row>
    <row r="275" spans="3:11" ht="15.75" customHeight="1" x14ac:dyDescent="0.2">
      <c r="C275" s="205">
        <v>43256</v>
      </c>
      <c r="D275" s="185">
        <v>0.47569444444444442</v>
      </c>
      <c r="E275" s="3">
        <v>32</v>
      </c>
      <c r="F275">
        <v>8.68</v>
      </c>
      <c r="G275">
        <v>67.599999999999994</v>
      </c>
      <c r="H275">
        <v>4.8</v>
      </c>
      <c r="I275" s="13"/>
    </row>
    <row r="276" spans="3:11" ht="15.75" customHeight="1" x14ac:dyDescent="0.2">
      <c r="C276" s="205">
        <v>43256</v>
      </c>
      <c r="D276" s="185">
        <v>0.47569444444444442</v>
      </c>
      <c r="E276" s="3">
        <v>34</v>
      </c>
      <c r="F276">
        <v>8.64</v>
      </c>
      <c r="G276">
        <v>67.3</v>
      </c>
      <c r="H276">
        <v>4.8</v>
      </c>
      <c r="I276" s="13"/>
    </row>
    <row r="277" spans="3:11" ht="15.75" customHeight="1" x14ac:dyDescent="0.2">
      <c r="C277" s="205">
        <v>43256</v>
      </c>
      <c r="D277" s="185">
        <v>0.47569444444444442</v>
      </c>
      <c r="E277" s="3">
        <v>36</v>
      </c>
      <c r="F277">
        <v>8.61</v>
      </c>
      <c r="G277">
        <v>67.099999999999994</v>
      </c>
      <c r="H277">
        <v>4.8</v>
      </c>
      <c r="I277" s="13"/>
    </row>
    <row r="278" spans="3:11" ht="15.75" customHeight="1" x14ac:dyDescent="0.2">
      <c r="C278" s="205">
        <v>43256</v>
      </c>
      <c r="D278" s="185">
        <v>0.47569444444444442</v>
      </c>
      <c r="E278" s="3">
        <v>38</v>
      </c>
      <c r="F278">
        <v>8.6</v>
      </c>
      <c r="G278">
        <v>66.8</v>
      </c>
      <c r="H278">
        <v>4.7</v>
      </c>
      <c r="I278" s="13"/>
    </row>
    <row r="279" spans="3:11" ht="15.75" customHeight="1" x14ac:dyDescent="0.2">
      <c r="C279" s="205">
        <v>43256</v>
      </c>
      <c r="D279" s="185">
        <v>0.47569444444444442</v>
      </c>
      <c r="E279" s="3">
        <v>40</v>
      </c>
      <c r="F279">
        <v>8.56</v>
      </c>
      <c r="G279">
        <v>66.5</v>
      </c>
      <c r="H279">
        <v>4.7</v>
      </c>
      <c r="I279" s="13"/>
    </row>
    <row r="280" spans="3:11" ht="15.75" customHeight="1" x14ac:dyDescent="0.2">
      <c r="C280" s="205">
        <v>43256</v>
      </c>
      <c r="D280" s="185">
        <v>0.47569444444444442</v>
      </c>
      <c r="E280" s="3">
        <v>42</v>
      </c>
      <c r="F280">
        <v>8.5299999999999994</v>
      </c>
      <c r="G280">
        <v>66.2</v>
      </c>
      <c r="H280">
        <v>4.7</v>
      </c>
      <c r="I280" s="13"/>
    </row>
    <row r="281" spans="3:11" ht="15.75" customHeight="1" x14ac:dyDescent="0.2">
      <c r="C281" s="205">
        <v>43256</v>
      </c>
      <c r="D281" s="185">
        <v>0.47569444444444442</v>
      </c>
      <c r="E281" s="3">
        <v>44</v>
      </c>
      <c r="F281">
        <v>8.4499999999999993</v>
      </c>
      <c r="G281">
        <v>65.599999999999994</v>
      </c>
      <c r="H281">
        <v>4.7</v>
      </c>
      <c r="I281" s="13"/>
    </row>
    <row r="282" spans="3:11" ht="15.75" customHeight="1" x14ac:dyDescent="0.2">
      <c r="E282" s="3"/>
      <c r="I282" s="13"/>
    </row>
    <row r="283" spans="3:11" ht="15.75" customHeight="1" x14ac:dyDescent="0.2">
      <c r="C283" s="16">
        <v>43290</v>
      </c>
      <c r="D283" s="185">
        <v>0.3888888888888889</v>
      </c>
      <c r="E283" s="3"/>
      <c r="H283" s="1"/>
      <c r="I283" s="13"/>
      <c r="J283">
        <v>8.5</v>
      </c>
      <c r="K283">
        <v>10</v>
      </c>
    </row>
    <row r="284" spans="3:11" ht="15.75" customHeight="1" x14ac:dyDescent="0.2">
      <c r="C284" s="16">
        <v>43290</v>
      </c>
      <c r="D284" s="185">
        <v>0.39583333333333331</v>
      </c>
      <c r="E284" s="3">
        <v>0.1</v>
      </c>
      <c r="F284">
        <v>7.44</v>
      </c>
      <c r="G284">
        <v>80.900000000000006</v>
      </c>
      <c r="H284">
        <v>19.399999999999999</v>
      </c>
      <c r="I284" s="13"/>
    </row>
    <row r="285" spans="3:11" ht="15.75" customHeight="1" x14ac:dyDescent="0.2">
      <c r="C285" s="16">
        <v>43290</v>
      </c>
      <c r="D285" s="185">
        <v>0.39583333333333331</v>
      </c>
      <c r="E285" s="3">
        <v>1</v>
      </c>
      <c r="F285">
        <v>7.55</v>
      </c>
      <c r="G285">
        <v>81.5</v>
      </c>
      <c r="H285">
        <v>19</v>
      </c>
      <c r="I285" s="13"/>
    </row>
    <row r="286" spans="3:11" ht="15.75" customHeight="1" x14ac:dyDescent="0.2">
      <c r="C286" s="16">
        <v>43290</v>
      </c>
      <c r="D286" s="185">
        <v>0.39583333333333331</v>
      </c>
      <c r="E286" s="3">
        <v>2</v>
      </c>
      <c r="F286">
        <v>7.59</v>
      </c>
      <c r="G286">
        <v>81.2</v>
      </c>
      <c r="H286">
        <v>18.899999999999999</v>
      </c>
      <c r="I286" s="13"/>
    </row>
    <row r="287" spans="3:11" ht="15.75" customHeight="1" x14ac:dyDescent="0.2">
      <c r="C287" s="16">
        <v>43290</v>
      </c>
      <c r="D287" s="185">
        <v>0.39583333333333331</v>
      </c>
      <c r="E287" s="3">
        <v>3</v>
      </c>
      <c r="F287">
        <v>7.58</v>
      </c>
      <c r="G287">
        <v>81.2</v>
      </c>
      <c r="H287">
        <v>18.7</v>
      </c>
      <c r="I287" s="13"/>
    </row>
    <row r="288" spans="3:11" ht="15.75" customHeight="1" x14ac:dyDescent="0.2">
      <c r="C288" s="16">
        <v>43290</v>
      </c>
      <c r="D288" s="185">
        <v>0.39583333333333331</v>
      </c>
      <c r="E288" s="3">
        <v>4</v>
      </c>
      <c r="F288">
        <v>7.6</v>
      </c>
      <c r="G288">
        <v>81.099999999999994</v>
      </c>
      <c r="H288">
        <v>18.5</v>
      </c>
      <c r="I288" s="13"/>
    </row>
    <row r="289" spans="3:9" ht="15.75" customHeight="1" x14ac:dyDescent="0.2">
      <c r="C289" s="16">
        <v>43290</v>
      </c>
      <c r="D289" s="185">
        <v>0.39583333333333331</v>
      </c>
      <c r="E289" s="3">
        <v>5</v>
      </c>
      <c r="F289">
        <v>7.62</v>
      </c>
      <c r="G289">
        <v>81.099999999999994</v>
      </c>
      <c r="H289">
        <v>18.399999999999999</v>
      </c>
      <c r="I289" s="13"/>
    </row>
    <row r="290" spans="3:9" ht="15.75" customHeight="1" x14ac:dyDescent="0.2">
      <c r="C290" s="16">
        <v>43290</v>
      </c>
      <c r="D290" s="185">
        <v>0.39583333333333331</v>
      </c>
      <c r="E290" s="3">
        <v>6</v>
      </c>
      <c r="F290">
        <v>7.73</v>
      </c>
      <c r="G290">
        <v>81.2</v>
      </c>
      <c r="H290">
        <v>17.8</v>
      </c>
      <c r="I290" s="13"/>
    </row>
    <row r="291" spans="3:9" ht="15.75" customHeight="1" x14ac:dyDescent="0.2">
      <c r="C291" s="16">
        <v>43290</v>
      </c>
      <c r="D291" s="185">
        <v>0.39583333333333331</v>
      </c>
      <c r="E291" s="3">
        <v>7</v>
      </c>
      <c r="F291">
        <v>7.83</v>
      </c>
      <c r="G291">
        <v>81.099999999999994</v>
      </c>
      <c r="H291">
        <v>17</v>
      </c>
      <c r="I291" s="13"/>
    </row>
    <row r="292" spans="3:9" ht="15.75" customHeight="1" x14ac:dyDescent="0.2">
      <c r="C292" s="16">
        <v>43290</v>
      </c>
      <c r="D292" s="185">
        <v>0.39583333333333331</v>
      </c>
      <c r="E292" s="3">
        <v>8</v>
      </c>
      <c r="F292">
        <v>7.9</v>
      </c>
      <c r="G292">
        <v>81.2</v>
      </c>
      <c r="H292">
        <v>16.600000000000001</v>
      </c>
      <c r="I292" s="13"/>
    </row>
    <row r="293" spans="3:9" ht="15.75" customHeight="1" x14ac:dyDescent="0.2">
      <c r="C293" s="16">
        <v>43290</v>
      </c>
      <c r="D293" s="185">
        <v>0.39583333333333331</v>
      </c>
      <c r="E293" s="3">
        <v>9</v>
      </c>
      <c r="F293">
        <v>8.11</v>
      </c>
      <c r="G293">
        <v>81.3</v>
      </c>
      <c r="H293">
        <v>15.4</v>
      </c>
      <c r="I293" s="13"/>
    </row>
    <row r="294" spans="3:9" ht="15.75" customHeight="1" x14ac:dyDescent="0.2">
      <c r="C294" s="16">
        <v>43290</v>
      </c>
      <c r="D294" s="185">
        <v>0.39583333333333331</v>
      </c>
      <c r="E294" s="3">
        <v>11</v>
      </c>
      <c r="F294">
        <v>8.43</v>
      </c>
      <c r="G294">
        <v>81.400000000000006</v>
      </c>
      <c r="H294">
        <v>13.6</v>
      </c>
      <c r="I294" s="13"/>
    </row>
    <row r="295" spans="3:9" ht="15.75" customHeight="1" x14ac:dyDescent="0.2">
      <c r="C295" s="16">
        <v>43290</v>
      </c>
      <c r="D295" s="185">
        <v>0.39583333333333331</v>
      </c>
      <c r="E295" s="3">
        <v>13</v>
      </c>
      <c r="F295">
        <v>8.75</v>
      </c>
      <c r="G295">
        <v>77.400000000000006</v>
      </c>
      <c r="H295">
        <v>10.1</v>
      </c>
      <c r="I295" s="13"/>
    </row>
    <row r="296" spans="3:9" ht="15.75" customHeight="1" x14ac:dyDescent="0.2">
      <c r="C296" s="16">
        <v>43290</v>
      </c>
      <c r="D296" s="185">
        <v>0.39583333333333331</v>
      </c>
      <c r="E296" s="3">
        <v>15</v>
      </c>
      <c r="F296">
        <v>8.89</v>
      </c>
      <c r="G296">
        <v>75.7</v>
      </c>
      <c r="H296">
        <v>8.3000000000000007</v>
      </c>
      <c r="I296" s="13"/>
    </row>
    <row r="297" spans="3:9" ht="15.75" customHeight="1" x14ac:dyDescent="0.2">
      <c r="C297" s="16">
        <v>43290</v>
      </c>
      <c r="D297" s="185">
        <v>0.39583333333333331</v>
      </c>
      <c r="E297" s="3">
        <v>17</v>
      </c>
      <c r="F297">
        <v>8.9</v>
      </c>
      <c r="G297">
        <v>74.099999999999994</v>
      </c>
      <c r="H297">
        <v>7.5</v>
      </c>
      <c r="I297" s="13"/>
    </row>
    <row r="298" spans="3:9" ht="15.75" customHeight="1" x14ac:dyDescent="0.2">
      <c r="C298" s="16">
        <v>43290</v>
      </c>
      <c r="D298" s="185">
        <v>0.39583333333333331</v>
      </c>
      <c r="E298" s="3">
        <v>19</v>
      </c>
      <c r="F298">
        <v>8.93</v>
      </c>
      <c r="G298">
        <v>72.8</v>
      </c>
      <c r="H298">
        <v>6.7</v>
      </c>
      <c r="I298" s="13"/>
    </row>
    <row r="299" spans="3:9" ht="15.75" customHeight="1" x14ac:dyDescent="0.2">
      <c r="C299" s="16">
        <v>43290</v>
      </c>
      <c r="D299" s="185">
        <v>0.39583333333333331</v>
      </c>
      <c r="E299" s="3">
        <v>21</v>
      </c>
      <c r="F299">
        <v>8.9</v>
      </c>
      <c r="G299">
        <v>71.8</v>
      </c>
      <c r="H299">
        <v>6.2</v>
      </c>
      <c r="I299" s="13"/>
    </row>
    <row r="300" spans="3:9" ht="15.75" customHeight="1" x14ac:dyDescent="0.2">
      <c r="C300" s="16">
        <v>43290</v>
      </c>
      <c r="D300" s="185">
        <v>0.39583333333333331</v>
      </c>
      <c r="E300" s="3">
        <v>23</v>
      </c>
      <c r="F300">
        <v>8.85</v>
      </c>
      <c r="G300">
        <v>71</v>
      </c>
      <c r="H300">
        <v>6</v>
      </c>
      <c r="I300" s="13"/>
    </row>
    <row r="301" spans="3:9" ht="15.75" customHeight="1" x14ac:dyDescent="0.2">
      <c r="C301" s="16">
        <v>43290</v>
      </c>
      <c r="D301" s="185">
        <v>0.39583333333333331</v>
      </c>
      <c r="E301" s="3">
        <v>25</v>
      </c>
      <c r="F301">
        <v>8.82</v>
      </c>
      <c r="G301">
        <v>70.3</v>
      </c>
      <c r="H301">
        <v>5.7</v>
      </c>
      <c r="I301" s="13"/>
    </row>
    <row r="302" spans="3:9" ht="15.75" customHeight="1" x14ac:dyDescent="0.2">
      <c r="C302" s="16">
        <v>43290</v>
      </c>
      <c r="D302" s="185">
        <v>0.39583333333333331</v>
      </c>
      <c r="E302" s="3">
        <v>27</v>
      </c>
      <c r="F302">
        <v>8.7799999999999994</v>
      </c>
      <c r="G302">
        <v>69.8</v>
      </c>
      <c r="H302">
        <v>5.6</v>
      </c>
      <c r="I302" s="13"/>
    </row>
    <row r="303" spans="3:9" ht="15.75" customHeight="1" x14ac:dyDescent="0.2">
      <c r="C303" s="16">
        <v>43290</v>
      </c>
      <c r="D303" s="185">
        <v>0.39583333333333331</v>
      </c>
      <c r="E303" s="3">
        <v>29</v>
      </c>
      <c r="F303">
        <v>8.76</v>
      </c>
      <c r="G303">
        <v>69.3</v>
      </c>
      <c r="H303">
        <v>5.4</v>
      </c>
      <c r="I303" s="13"/>
    </row>
    <row r="304" spans="3:9" ht="15.75" customHeight="1" x14ac:dyDescent="0.2">
      <c r="C304" s="16">
        <v>43290</v>
      </c>
      <c r="D304" s="185">
        <v>0.39583333333333331</v>
      </c>
      <c r="E304" s="3">
        <v>31</v>
      </c>
      <c r="F304">
        <v>8.73</v>
      </c>
      <c r="G304">
        <v>69</v>
      </c>
      <c r="H304">
        <v>5.4</v>
      </c>
      <c r="I304" s="13"/>
    </row>
    <row r="305" spans="3:11" ht="15.75" customHeight="1" x14ac:dyDescent="0.2">
      <c r="C305" s="16">
        <v>43290</v>
      </c>
      <c r="D305" s="185">
        <v>0.39583333333333331</v>
      </c>
      <c r="E305" s="3">
        <v>33</v>
      </c>
      <c r="F305">
        <v>8.7100000000000009</v>
      </c>
      <c r="G305">
        <v>68.5</v>
      </c>
      <c r="H305">
        <v>5.2</v>
      </c>
      <c r="I305" s="13"/>
    </row>
    <row r="306" spans="3:11" ht="15.75" customHeight="1" x14ac:dyDescent="0.2">
      <c r="C306" s="16">
        <v>43290</v>
      </c>
      <c r="D306" s="185">
        <v>0.39583333333333331</v>
      </c>
      <c r="E306" s="3">
        <v>35</v>
      </c>
      <c r="F306">
        <v>8.66</v>
      </c>
      <c r="G306">
        <v>67.900000000000006</v>
      </c>
      <c r="H306">
        <v>5.0999999999999996</v>
      </c>
      <c r="I306" s="13"/>
    </row>
    <row r="307" spans="3:11" ht="15.75" customHeight="1" x14ac:dyDescent="0.2">
      <c r="C307" s="16">
        <v>43290</v>
      </c>
      <c r="D307" s="185">
        <v>0.39583333333333331</v>
      </c>
      <c r="E307" s="3">
        <v>37</v>
      </c>
      <c r="F307">
        <v>8.6</v>
      </c>
      <c r="G307">
        <v>67.3</v>
      </c>
      <c r="H307">
        <v>5</v>
      </c>
      <c r="I307" s="13"/>
    </row>
    <row r="308" spans="3:11" ht="15.75" customHeight="1" x14ac:dyDescent="0.2">
      <c r="C308" s="16">
        <v>43290</v>
      </c>
      <c r="D308" s="185">
        <v>0.39583333333333331</v>
      </c>
      <c r="E308" s="3">
        <v>39</v>
      </c>
      <c r="F308">
        <v>8.5500000000000007</v>
      </c>
      <c r="G308">
        <v>66.599999999999994</v>
      </c>
      <c r="H308">
        <v>4.9000000000000004</v>
      </c>
      <c r="I308" s="13"/>
    </row>
    <row r="309" spans="3:11" ht="15.75" customHeight="1" x14ac:dyDescent="0.2">
      <c r="C309" s="16">
        <v>43290</v>
      </c>
      <c r="D309" s="185">
        <v>0.39583333333333331</v>
      </c>
      <c r="E309" s="3">
        <v>41</v>
      </c>
      <c r="F309">
        <v>8.4499999999999993</v>
      </c>
      <c r="G309">
        <v>65.8</v>
      </c>
      <c r="H309">
        <v>4.8</v>
      </c>
      <c r="I309" s="13"/>
    </row>
    <row r="310" spans="3:11" ht="15.75" customHeight="1" x14ac:dyDescent="0.2">
      <c r="C310" s="16">
        <v>43290</v>
      </c>
      <c r="D310" s="185">
        <v>0.39583333333333331</v>
      </c>
      <c r="E310" s="3">
        <v>43</v>
      </c>
      <c r="F310">
        <v>8.4</v>
      </c>
      <c r="G310">
        <v>65.400000000000006</v>
      </c>
      <c r="H310">
        <v>4.8</v>
      </c>
      <c r="I310" s="13"/>
    </row>
    <row r="311" spans="3:11" ht="15.75" customHeight="1" x14ac:dyDescent="0.2">
      <c r="C311" s="16"/>
      <c r="D311" s="185"/>
      <c r="E311" s="3"/>
      <c r="I311" s="13"/>
    </row>
    <row r="312" spans="3:11" ht="15.75" customHeight="1" x14ac:dyDescent="0.2">
      <c r="C312" s="16">
        <v>43318</v>
      </c>
      <c r="D312" s="185">
        <v>0.38541666666666669</v>
      </c>
      <c r="E312" s="3"/>
      <c r="I312" s="13"/>
      <c r="J312">
        <v>12</v>
      </c>
      <c r="K312">
        <v>14</v>
      </c>
    </row>
    <row r="313" spans="3:11" ht="15.75" customHeight="1" x14ac:dyDescent="0.2">
      <c r="C313" s="16">
        <v>43318</v>
      </c>
      <c r="D313" s="185">
        <v>0.39583333333333331</v>
      </c>
      <c r="E313" s="3">
        <v>0.1</v>
      </c>
      <c r="F313">
        <v>7.4</v>
      </c>
      <c r="G313">
        <v>85.2</v>
      </c>
      <c r="H313">
        <v>22.3</v>
      </c>
      <c r="I313" s="13"/>
    </row>
    <row r="314" spans="3:11" ht="15.75" customHeight="1" x14ac:dyDescent="0.2">
      <c r="C314" s="16">
        <v>43318</v>
      </c>
      <c r="D314" s="185">
        <v>0.39583333333333331</v>
      </c>
      <c r="E314" s="3">
        <v>1</v>
      </c>
      <c r="F314">
        <v>7.4</v>
      </c>
      <c r="G314">
        <v>85</v>
      </c>
      <c r="H314">
        <v>22.2</v>
      </c>
      <c r="I314" s="13"/>
    </row>
    <row r="315" spans="3:11" ht="15.75" customHeight="1" x14ac:dyDescent="0.2">
      <c r="C315" s="16">
        <v>43318</v>
      </c>
      <c r="D315" s="185">
        <v>0.39583333333333331</v>
      </c>
      <c r="E315" s="3">
        <v>2</v>
      </c>
      <c r="F315">
        <v>7.41</v>
      </c>
      <c r="G315">
        <v>84.9</v>
      </c>
      <c r="H315">
        <v>22.1</v>
      </c>
      <c r="I315" s="13"/>
    </row>
    <row r="316" spans="3:11" ht="15.75" customHeight="1" x14ac:dyDescent="0.2">
      <c r="C316" s="16">
        <v>43318</v>
      </c>
      <c r="D316" s="185">
        <v>0.39583333333333331</v>
      </c>
      <c r="E316" s="3">
        <v>3</v>
      </c>
      <c r="F316">
        <v>7.42</v>
      </c>
      <c r="G316">
        <v>84.8</v>
      </c>
      <c r="H316">
        <v>22</v>
      </c>
      <c r="I316" s="13"/>
    </row>
    <row r="317" spans="3:11" ht="15.75" customHeight="1" x14ac:dyDescent="0.2">
      <c r="C317" s="16">
        <v>43318</v>
      </c>
      <c r="D317" s="185">
        <v>0.39583333333333331</v>
      </c>
      <c r="E317" s="3">
        <v>4</v>
      </c>
      <c r="F317">
        <v>7.41</v>
      </c>
      <c r="G317">
        <v>84.8</v>
      </c>
      <c r="H317">
        <v>22</v>
      </c>
      <c r="I317" s="13"/>
    </row>
    <row r="318" spans="3:11" ht="15.75" customHeight="1" x14ac:dyDescent="0.2">
      <c r="C318" s="16">
        <v>43318</v>
      </c>
      <c r="D318" s="185">
        <v>0.39583333333333331</v>
      </c>
      <c r="E318" s="3">
        <v>5</v>
      </c>
      <c r="F318">
        <v>7.41</v>
      </c>
      <c r="G318">
        <v>84.8</v>
      </c>
      <c r="H318">
        <v>22</v>
      </c>
      <c r="I318" s="13"/>
    </row>
    <row r="319" spans="3:11" ht="15.75" customHeight="1" x14ac:dyDescent="0.2">
      <c r="C319" s="16">
        <v>43318</v>
      </c>
      <c r="D319" s="185">
        <v>0.39583333333333331</v>
      </c>
      <c r="E319" s="3">
        <v>6</v>
      </c>
      <c r="F319">
        <v>7.45</v>
      </c>
      <c r="G319">
        <v>84.9</v>
      </c>
      <c r="H319">
        <v>21.8</v>
      </c>
      <c r="I319" s="13"/>
    </row>
    <row r="320" spans="3:11" ht="15.75" customHeight="1" x14ac:dyDescent="0.2">
      <c r="C320" s="16">
        <v>43318</v>
      </c>
      <c r="D320" s="185">
        <v>0.39583333333333331</v>
      </c>
      <c r="E320" s="3">
        <v>7</v>
      </c>
      <c r="F320">
        <v>7.58</v>
      </c>
      <c r="G320">
        <v>86.1</v>
      </c>
      <c r="H320">
        <v>21.5</v>
      </c>
      <c r="I320" s="13"/>
    </row>
    <row r="321" spans="3:9" ht="15.75" customHeight="1" x14ac:dyDescent="0.2">
      <c r="C321" s="16">
        <v>43318</v>
      </c>
      <c r="D321" s="185">
        <v>0.39583333333333331</v>
      </c>
      <c r="E321" s="3">
        <v>8</v>
      </c>
      <c r="F321">
        <v>8.2200000000000006</v>
      </c>
      <c r="G321">
        <v>89.9</v>
      </c>
      <c r="H321">
        <v>19.7</v>
      </c>
      <c r="I321" s="13"/>
    </row>
    <row r="322" spans="3:9" ht="15.75" customHeight="1" x14ac:dyDescent="0.2">
      <c r="C322" s="16">
        <v>43318</v>
      </c>
      <c r="D322" s="185">
        <v>0.39583333333333331</v>
      </c>
      <c r="E322" s="3">
        <v>10</v>
      </c>
      <c r="F322">
        <v>8.67</v>
      </c>
      <c r="G322">
        <v>89.8</v>
      </c>
      <c r="H322">
        <v>17</v>
      </c>
      <c r="I322" s="13"/>
    </row>
    <row r="323" spans="3:9" ht="15.75" customHeight="1" x14ac:dyDescent="0.2">
      <c r="C323" s="16">
        <v>43318</v>
      </c>
      <c r="D323" s="185">
        <v>0.39583333333333331</v>
      </c>
      <c r="E323" s="3">
        <v>12</v>
      </c>
      <c r="F323">
        <v>9.34</v>
      </c>
      <c r="G323">
        <v>85.3</v>
      </c>
      <c r="H323">
        <v>11.4</v>
      </c>
      <c r="I323" s="13"/>
    </row>
    <row r="324" spans="3:9" ht="15.75" customHeight="1" x14ac:dyDescent="0.2">
      <c r="C324" s="16">
        <v>43318</v>
      </c>
      <c r="D324" s="185">
        <v>0.39583333333333331</v>
      </c>
      <c r="E324" s="3">
        <v>14</v>
      </c>
      <c r="F324">
        <v>9.48</v>
      </c>
      <c r="G324">
        <v>81.3</v>
      </c>
      <c r="H324">
        <v>8.6</v>
      </c>
      <c r="I324" s="13"/>
    </row>
    <row r="325" spans="3:9" ht="15.75" customHeight="1" x14ac:dyDescent="0.2">
      <c r="C325" s="16">
        <v>43318</v>
      </c>
      <c r="D325" s="185">
        <v>0.39583333333333331</v>
      </c>
      <c r="E325" s="3">
        <v>16</v>
      </c>
      <c r="F325">
        <v>9.49</v>
      </c>
      <c r="G325">
        <v>79.3</v>
      </c>
      <c r="H325">
        <v>7.6</v>
      </c>
      <c r="I325" s="13"/>
    </row>
    <row r="326" spans="3:9" ht="15.75" customHeight="1" x14ac:dyDescent="0.2">
      <c r="C326" s="16">
        <v>43318</v>
      </c>
      <c r="D326" s="185">
        <v>0.39583333333333331</v>
      </c>
      <c r="E326" s="3">
        <v>18</v>
      </c>
      <c r="F326">
        <v>9.4499999999999993</v>
      </c>
      <c r="G326">
        <v>77.5</v>
      </c>
      <c r="H326">
        <v>7</v>
      </c>
      <c r="I326" s="13"/>
    </row>
    <row r="327" spans="3:9" ht="15.75" customHeight="1" x14ac:dyDescent="0.2">
      <c r="C327" s="16">
        <v>43318</v>
      </c>
      <c r="D327" s="185">
        <v>0.39583333333333331</v>
      </c>
      <c r="E327" s="3">
        <v>20</v>
      </c>
      <c r="F327">
        <v>9.31</v>
      </c>
      <c r="G327">
        <v>75.599999999999994</v>
      </c>
      <c r="H327">
        <v>6.4</v>
      </c>
      <c r="I327" s="13"/>
    </row>
    <row r="328" spans="3:9" ht="15.75" customHeight="1" x14ac:dyDescent="0.2">
      <c r="C328" s="16">
        <v>43318</v>
      </c>
      <c r="D328" s="185">
        <v>0.39583333333333331</v>
      </c>
      <c r="E328" s="3">
        <v>22</v>
      </c>
      <c r="F328">
        <v>9.26</v>
      </c>
      <c r="G328">
        <v>74.3</v>
      </c>
      <c r="H328">
        <v>6.1</v>
      </c>
      <c r="I328" s="13"/>
    </row>
    <row r="329" spans="3:9" ht="15.75" customHeight="1" x14ac:dyDescent="0.2">
      <c r="C329" s="16">
        <v>43318</v>
      </c>
      <c r="D329" s="185">
        <v>0.39583333333333331</v>
      </c>
      <c r="E329" s="3">
        <v>24</v>
      </c>
      <c r="F329">
        <v>9.18</v>
      </c>
      <c r="G329">
        <v>73.3</v>
      </c>
      <c r="H329">
        <v>5.8</v>
      </c>
      <c r="I329" s="13"/>
    </row>
    <row r="330" spans="3:9" ht="15.75" customHeight="1" x14ac:dyDescent="0.2">
      <c r="C330" s="16">
        <v>43318</v>
      </c>
      <c r="D330" s="185">
        <v>0.39583333333333331</v>
      </c>
      <c r="E330" s="3">
        <v>26</v>
      </c>
      <c r="F330">
        <v>9.1</v>
      </c>
      <c r="G330">
        <v>72.3</v>
      </c>
      <c r="H330">
        <v>5.6</v>
      </c>
      <c r="I330" s="13"/>
    </row>
    <row r="331" spans="3:9" ht="15.75" customHeight="1" x14ac:dyDescent="0.2">
      <c r="C331" s="16">
        <v>43318</v>
      </c>
      <c r="D331" s="185">
        <v>0.39583333333333331</v>
      </c>
      <c r="E331" s="3">
        <v>28</v>
      </c>
      <c r="F331">
        <v>9.09</v>
      </c>
      <c r="G331">
        <v>71.8</v>
      </c>
      <c r="H331">
        <v>5.4</v>
      </c>
      <c r="I331" s="13"/>
    </row>
    <row r="332" spans="3:9" ht="15.75" customHeight="1" x14ac:dyDescent="0.2">
      <c r="C332" s="16">
        <v>43318</v>
      </c>
      <c r="D332" s="185">
        <v>0.39583333333333331</v>
      </c>
      <c r="E332" s="3">
        <v>30</v>
      </c>
      <c r="F332">
        <v>9.0399999999999991</v>
      </c>
      <c r="G332">
        <v>71.3</v>
      </c>
      <c r="H332">
        <v>5.3</v>
      </c>
      <c r="I332" s="13"/>
    </row>
    <row r="333" spans="3:9" ht="15.75" customHeight="1" x14ac:dyDescent="0.2">
      <c r="C333" s="16">
        <v>43318</v>
      </c>
      <c r="D333" s="185">
        <v>0.39583333333333331</v>
      </c>
      <c r="E333" s="3">
        <v>32</v>
      </c>
      <c r="F333">
        <v>9.01</v>
      </c>
      <c r="G333">
        <v>70.900000000000006</v>
      </c>
      <c r="H333">
        <v>5.2</v>
      </c>
      <c r="I333" s="13"/>
    </row>
    <row r="334" spans="3:9" ht="15.75" customHeight="1" x14ac:dyDescent="0.2">
      <c r="C334" s="16">
        <v>43318</v>
      </c>
      <c r="D334" s="185">
        <v>0.39583333333333331</v>
      </c>
      <c r="E334" s="3">
        <v>34</v>
      </c>
      <c r="F334">
        <v>8.9700000000000006</v>
      </c>
      <c r="G334">
        <v>70.400000000000006</v>
      </c>
      <c r="H334">
        <v>5.0999999999999996</v>
      </c>
      <c r="I334" s="13"/>
    </row>
    <row r="335" spans="3:9" ht="15.75" customHeight="1" x14ac:dyDescent="0.2">
      <c r="C335" s="16">
        <v>43318</v>
      </c>
      <c r="D335" s="185">
        <v>0.39583333333333331</v>
      </c>
      <c r="E335" s="3">
        <v>36</v>
      </c>
      <c r="F335">
        <v>8.9</v>
      </c>
      <c r="G335">
        <v>69.8</v>
      </c>
      <c r="H335">
        <v>5.0999999999999996</v>
      </c>
      <c r="I335" s="13"/>
    </row>
    <row r="336" spans="3:9" ht="15.75" customHeight="1" x14ac:dyDescent="0.2">
      <c r="C336" s="16">
        <v>43318</v>
      </c>
      <c r="D336" s="185">
        <v>0.39583333333333331</v>
      </c>
      <c r="E336" s="3">
        <v>38</v>
      </c>
      <c r="F336">
        <v>8.86</v>
      </c>
      <c r="G336">
        <v>69.5</v>
      </c>
      <c r="H336">
        <v>5.0999999999999996</v>
      </c>
      <c r="I336" s="13"/>
    </row>
    <row r="337" spans="3:11" ht="15.75" customHeight="1" x14ac:dyDescent="0.2">
      <c r="C337" s="16">
        <v>43318</v>
      </c>
      <c r="D337" s="185">
        <v>0.39583333333333331</v>
      </c>
      <c r="E337" s="3">
        <v>40</v>
      </c>
      <c r="F337">
        <v>8.7799999999999994</v>
      </c>
      <c r="G337">
        <v>68.599999999999994</v>
      </c>
      <c r="H337">
        <v>5</v>
      </c>
      <c r="I337" s="13"/>
    </row>
    <row r="338" spans="3:11" ht="15.75" customHeight="1" x14ac:dyDescent="0.2">
      <c r="C338" s="16">
        <v>43318</v>
      </c>
      <c r="D338" s="185">
        <v>0.39583333333333331</v>
      </c>
      <c r="E338" s="3">
        <v>42</v>
      </c>
      <c r="F338">
        <v>8.56</v>
      </c>
      <c r="G338">
        <v>66.7</v>
      </c>
      <c r="H338">
        <v>4.9000000000000004</v>
      </c>
      <c r="I338" s="13"/>
    </row>
    <row r="339" spans="3:11" ht="15.75" customHeight="1" x14ac:dyDescent="0.2">
      <c r="C339" s="16">
        <v>43318</v>
      </c>
      <c r="D339" s="185">
        <v>0.39583333333333331</v>
      </c>
      <c r="E339" s="3">
        <v>44</v>
      </c>
      <c r="F339">
        <v>8.3800000000000008</v>
      </c>
      <c r="G339">
        <v>64</v>
      </c>
      <c r="H339">
        <v>4.9000000000000004</v>
      </c>
      <c r="I339" s="13"/>
    </row>
    <row r="340" spans="3:11" ht="15.75" customHeight="1" x14ac:dyDescent="0.2">
      <c r="C340" s="16">
        <v>43318</v>
      </c>
      <c r="D340" s="185">
        <v>0.39583333333333331</v>
      </c>
      <c r="E340" s="3">
        <v>46</v>
      </c>
      <c r="F340">
        <v>7.14</v>
      </c>
      <c r="G340">
        <v>55</v>
      </c>
      <c r="H340">
        <v>4.9000000000000004</v>
      </c>
      <c r="I340" s="13"/>
    </row>
    <row r="341" spans="3:11" ht="15.75" customHeight="1" x14ac:dyDescent="0.2">
      <c r="C341" s="16"/>
      <c r="D341" s="185"/>
      <c r="E341" s="3"/>
      <c r="I341" s="13"/>
    </row>
    <row r="342" spans="3:11" ht="15.75" customHeight="1" x14ac:dyDescent="0.2">
      <c r="C342" s="16">
        <v>43352</v>
      </c>
      <c r="D342" s="185">
        <v>0.4236111111111111</v>
      </c>
      <c r="E342" s="3"/>
      <c r="I342" s="13"/>
      <c r="J342">
        <v>9</v>
      </c>
      <c r="K342">
        <v>13.5</v>
      </c>
    </row>
    <row r="343" spans="3:11" ht="15.75" customHeight="1" x14ac:dyDescent="0.2">
      <c r="C343" s="16">
        <v>43352</v>
      </c>
      <c r="D343" s="185">
        <v>0.43055555555555558</v>
      </c>
      <c r="E343" s="3">
        <v>0.1</v>
      </c>
      <c r="F343">
        <v>7.72</v>
      </c>
      <c r="G343">
        <v>83.2</v>
      </c>
      <c r="H343">
        <v>19</v>
      </c>
      <c r="I343" s="13"/>
    </row>
    <row r="344" spans="3:11" ht="15.75" customHeight="1" x14ac:dyDescent="0.2">
      <c r="C344" s="16">
        <v>43352</v>
      </c>
      <c r="D344" s="185">
        <v>0.43055555555555558</v>
      </c>
      <c r="E344" s="3">
        <v>1</v>
      </c>
      <c r="F344">
        <v>7.69</v>
      </c>
      <c r="G344">
        <v>83.1</v>
      </c>
      <c r="H344">
        <v>19.100000000000001</v>
      </c>
      <c r="I344" s="13"/>
    </row>
    <row r="345" spans="3:11" ht="15.75" customHeight="1" x14ac:dyDescent="0.2">
      <c r="C345" s="16">
        <v>43352</v>
      </c>
      <c r="D345" s="185">
        <v>0.43055555555555558</v>
      </c>
      <c r="E345" s="3">
        <v>2</v>
      </c>
      <c r="F345">
        <v>7.68</v>
      </c>
      <c r="G345">
        <v>82.9</v>
      </c>
      <c r="H345">
        <v>19.100000000000001</v>
      </c>
      <c r="I345" s="13"/>
    </row>
    <row r="346" spans="3:11" ht="15.75" customHeight="1" x14ac:dyDescent="0.2">
      <c r="C346" s="16">
        <v>43352</v>
      </c>
      <c r="D346" s="185">
        <v>0.43055555555555558</v>
      </c>
      <c r="E346" s="3">
        <v>3</v>
      </c>
      <c r="F346">
        <v>7.67</v>
      </c>
      <c r="G346">
        <v>82.8</v>
      </c>
      <c r="H346">
        <v>19.100000000000001</v>
      </c>
      <c r="I346" s="13"/>
    </row>
    <row r="347" spans="3:11" ht="15.75" customHeight="1" x14ac:dyDescent="0.2">
      <c r="C347" s="16">
        <v>43352</v>
      </c>
      <c r="D347" s="185">
        <v>0.43055555555555558</v>
      </c>
      <c r="E347" s="3">
        <v>4</v>
      </c>
      <c r="F347">
        <v>7.66</v>
      </c>
      <c r="G347">
        <v>82.6</v>
      </c>
      <c r="H347">
        <v>19</v>
      </c>
      <c r="I347" s="13"/>
    </row>
    <row r="348" spans="3:11" ht="15.75" customHeight="1" x14ac:dyDescent="0.2">
      <c r="C348" s="16">
        <v>43352</v>
      </c>
      <c r="D348" s="185">
        <v>0.43055555555555558</v>
      </c>
      <c r="E348" s="3">
        <v>5</v>
      </c>
      <c r="F348">
        <v>7.65</v>
      </c>
      <c r="G348">
        <v>82.4</v>
      </c>
      <c r="H348">
        <v>19</v>
      </c>
      <c r="I348" s="13"/>
    </row>
    <row r="349" spans="3:11" ht="15.75" customHeight="1" x14ac:dyDescent="0.2">
      <c r="C349" s="16">
        <v>43352</v>
      </c>
      <c r="D349" s="185">
        <v>0.43055555555555558</v>
      </c>
      <c r="E349" s="3">
        <v>6</v>
      </c>
      <c r="F349">
        <v>7.63</v>
      </c>
      <c r="G349">
        <v>82.3</v>
      </c>
      <c r="H349">
        <v>19</v>
      </c>
      <c r="I349" s="13"/>
    </row>
    <row r="350" spans="3:11" ht="15.75" customHeight="1" x14ac:dyDescent="0.2">
      <c r="C350" s="16">
        <v>43352</v>
      </c>
      <c r="D350" s="185">
        <v>0.43055555555555558</v>
      </c>
      <c r="E350" s="3">
        <v>7</v>
      </c>
      <c r="F350">
        <v>7.62</v>
      </c>
      <c r="G350">
        <v>82.1</v>
      </c>
      <c r="H350">
        <v>19</v>
      </c>
      <c r="I350" s="13"/>
    </row>
    <row r="351" spans="3:11" ht="15.75" customHeight="1" x14ac:dyDescent="0.2">
      <c r="C351" s="16">
        <v>43352</v>
      </c>
      <c r="D351" s="185">
        <v>0.43055555555555558</v>
      </c>
      <c r="E351" s="3">
        <v>8</v>
      </c>
      <c r="F351">
        <v>7.6</v>
      </c>
      <c r="G351">
        <v>82</v>
      </c>
      <c r="H351">
        <v>19</v>
      </c>
      <c r="I351" s="13"/>
    </row>
    <row r="352" spans="3:11" ht="15.75" customHeight="1" x14ac:dyDescent="0.2">
      <c r="C352" s="16">
        <v>43352</v>
      </c>
      <c r="D352" s="185">
        <v>0.43055555555555558</v>
      </c>
      <c r="E352" s="3">
        <v>9</v>
      </c>
      <c r="F352">
        <v>7.59</v>
      </c>
      <c r="G352">
        <v>81.8</v>
      </c>
      <c r="H352">
        <v>19</v>
      </c>
      <c r="I352" s="13"/>
    </row>
    <row r="353" spans="3:9" ht="15.75" customHeight="1" x14ac:dyDescent="0.2">
      <c r="C353" s="16">
        <v>43352</v>
      </c>
      <c r="D353" s="185">
        <v>0.43055555555555558</v>
      </c>
      <c r="E353" s="3">
        <v>10</v>
      </c>
      <c r="F353">
        <v>7.6</v>
      </c>
      <c r="G353">
        <v>81.5</v>
      </c>
      <c r="H353">
        <v>18.7</v>
      </c>
      <c r="I353" s="13"/>
    </row>
    <row r="354" spans="3:9" ht="15.75" customHeight="1" x14ac:dyDescent="0.2">
      <c r="C354" s="16">
        <v>43352</v>
      </c>
      <c r="D354" s="185">
        <v>0.43055555555555558</v>
      </c>
      <c r="E354" s="3">
        <v>11</v>
      </c>
      <c r="F354">
        <v>7.83</v>
      </c>
      <c r="G354">
        <v>82.1</v>
      </c>
      <c r="H354">
        <v>17.600000000000001</v>
      </c>
      <c r="I354" s="13"/>
    </row>
    <row r="355" spans="3:9" ht="15.75" customHeight="1" x14ac:dyDescent="0.2">
      <c r="C355" s="16">
        <v>43352</v>
      </c>
      <c r="D355" s="185">
        <v>0.43055555555555558</v>
      </c>
      <c r="E355" s="3">
        <v>13</v>
      </c>
      <c r="F355">
        <v>8.99</v>
      </c>
      <c r="G355">
        <v>86.2</v>
      </c>
      <c r="H355">
        <v>13.3</v>
      </c>
      <c r="I355" s="13"/>
    </row>
    <row r="356" spans="3:9" ht="15.75" customHeight="1" x14ac:dyDescent="0.2">
      <c r="C356" s="16">
        <v>43352</v>
      </c>
      <c r="D356" s="185">
        <v>0.43055555555555558</v>
      </c>
      <c r="E356" s="3">
        <v>15</v>
      </c>
      <c r="F356">
        <v>9.3000000000000007</v>
      </c>
      <c r="G356">
        <v>81.599999999999994</v>
      </c>
      <c r="H356">
        <v>9.5</v>
      </c>
      <c r="I356" s="13"/>
    </row>
    <row r="357" spans="3:9" ht="15.75" customHeight="1" x14ac:dyDescent="0.2">
      <c r="C357" s="16">
        <v>43352</v>
      </c>
      <c r="D357" s="185">
        <v>0.43055555555555558</v>
      </c>
      <c r="E357" s="3">
        <v>17</v>
      </c>
      <c r="F357">
        <v>9.17</v>
      </c>
      <c r="G357">
        <v>76.099999999999994</v>
      </c>
      <c r="H357">
        <v>7.5</v>
      </c>
      <c r="I357" s="13"/>
    </row>
    <row r="358" spans="3:9" ht="15.75" customHeight="1" x14ac:dyDescent="0.2">
      <c r="C358" s="16">
        <v>43352</v>
      </c>
      <c r="D358" s="185">
        <v>0.43055555555555558</v>
      </c>
      <c r="E358" s="3">
        <v>19</v>
      </c>
      <c r="F358">
        <v>9</v>
      </c>
      <c r="G358">
        <v>73.400000000000006</v>
      </c>
      <c r="H358">
        <v>6.7</v>
      </c>
      <c r="I358" s="13"/>
    </row>
    <row r="359" spans="3:9" ht="15.75" customHeight="1" x14ac:dyDescent="0.2">
      <c r="C359" s="16">
        <v>43352</v>
      </c>
      <c r="D359" s="185">
        <v>0.43055555555555558</v>
      </c>
      <c r="E359" s="3">
        <v>21</v>
      </c>
      <c r="F359">
        <v>8.93</v>
      </c>
      <c r="G359">
        <v>72.2</v>
      </c>
      <c r="H359">
        <v>6.4</v>
      </c>
      <c r="I359" s="13"/>
    </row>
    <row r="360" spans="3:9" ht="15.75" customHeight="1" x14ac:dyDescent="0.2">
      <c r="C360" s="16">
        <v>43352</v>
      </c>
      <c r="D360" s="185">
        <v>0.43055555555555558</v>
      </c>
      <c r="E360" s="3">
        <v>23</v>
      </c>
      <c r="F360">
        <v>8.7799999999999994</v>
      </c>
      <c r="G360">
        <v>70.599999999999994</v>
      </c>
      <c r="H360">
        <v>6.1</v>
      </c>
      <c r="I360" s="13"/>
    </row>
    <row r="361" spans="3:9" ht="15.75" customHeight="1" x14ac:dyDescent="0.2">
      <c r="C361" s="16">
        <v>43352</v>
      </c>
      <c r="D361" s="185">
        <v>0.43055555555555558</v>
      </c>
      <c r="E361" s="3">
        <v>25</v>
      </c>
      <c r="F361">
        <v>8.73</v>
      </c>
      <c r="G361">
        <v>69.900000000000006</v>
      </c>
      <c r="H361">
        <v>6</v>
      </c>
      <c r="I361" s="13"/>
    </row>
    <row r="362" spans="3:9" ht="15.75" customHeight="1" x14ac:dyDescent="0.2">
      <c r="C362" s="16">
        <v>43352</v>
      </c>
      <c r="D362" s="185">
        <v>0.43055555555555558</v>
      </c>
      <c r="E362" s="3">
        <v>27</v>
      </c>
      <c r="F362">
        <v>8.69</v>
      </c>
      <c r="G362">
        <v>69.599999999999994</v>
      </c>
      <c r="H362">
        <v>5.8</v>
      </c>
      <c r="I362" s="13"/>
    </row>
    <row r="363" spans="3:9" ht="15.75" customHeight="1" x14ac:dyDescent="0.2">
      <c r="C363" s="16">
        <v>43352</v>
      </c>
      <c r="D363" s="185">
        <v>0.43055555555555558</v>
      </c>
      <c r="E363" s="3">
        <v>29</v>
      </c>
      <c r="F363">
        <v>8.6999999999999993</v>
      </c>
      <c r="G363">
        <v>69.2</v>
      </c>
      <c r="H363">
        <v>5.6</v>
      </c>
      <c r="I363" s="13"/>
    </row>
    <row r="364" spans="3:9" ht="15.75" customHeight="1" x14ac:dyDescent="0.2">
      <c r="C364" s="16">
        <v>43352</v>
      </c>
      <c r="D364" s="185">
        <v>0.43055555555555558</v>
      </c>
      <c r="E364" s="3">
        <v>31</v>
      </c>
      <c r="F364">
        <v>8.68</v>
      </c>
      <c r="G364">
        <v>68.900000000000006</v>
      </c>
      <c r="H364">
        <v>5.5</v>
      </c>
      <c r="I364" s="13"/>
    </row>
    <row r="365" spans="3:9" ht="15.75" customHeight="1" x14ac:dyDescent="0.2">
      <c r="C365" s="16">
        <v>43352</v>
      </c>
      <c r="D365" s="185">
        <v>0.43055555555555558</v>
      </c>
      <c r="E365" s="3">
        <v>33</v>
      </c>
      <c r="F365">
        <v>8.68</v>
      </c>
      <c r="G365">
        <v>68.599999999999994</v>
      </c>
      <c r="H365">
        <v>5.4</v>
      </c>
      <c r="I365" s="13"/>
    </row>
    <row r="366" spans="3:9" ht="15.75" customHeight="1" x14ac:dyDescent="0.2">
      <c r="C366" s="16">
        <v>43352</v>
      </c>
      <c r="D366" s="185">
        <v>0.43055555555555558</v>
      </c>
      <c r="E366" s="3">
        <v>35</v>
      </c>
      <c r="F366">
        <v>8.68</v>
      </c>
      <c r="G366">
        <v>68.5</v>
      </c>
      <c r="H366">
        <v>5.3</v>
      </c>
      <c r="I366" s="13"/>
    </row>
    <row r="367" spans="3:9" ht="15.75" customHeight="1" x14ac:dyDescent="0.2">
      <c r="C367" s="16">
        <v>43352</v>
      </c>
      <c r="D367" s="185">
        <v>0.43055555555555558</v>
      </c>
      <c r="E367" s="3">
        <v>37</v>
      </c>
      <c r="F367">
        <v>8.6199999999999992</v>
      </c>
      <c r="G367">
        <v>67.599999999999994</v>
      </c>
      <c r="H367">
        <v>5.2</v>
      </c>
      <c r="I367" s="13"/>
    </row>
    <row r="368" spans="3:9" ht="15.75" customHeight="1" x14ac:dyDescent="0.2">
      <c r="C368" s="16">
        <v>43352</v>
      </c>
      <c r="D368" s="185">
        <v>0.43055555555555558</v>
      </c>
      <c r="E368" s="3">
        <v>39</v>
      </c>
      <c r="F368">
        <v>8.49</v>
      </c>
      <c r="G368">
        <v>66.599999999999994</v>
      </c>
      <c r="H368">
        <v>5.0999999999999996</v>
      </c>
      <c r="I368" s="13"/>
    </row>
    <row r="369" spans="3:11" ht="15.75" customHeight="1" x14ac:dyDescent="0.2">
      <c r="C369" s="16">
        <v>43352</v>
      </c>
      <c r="D369" s="185">
        <v>0.43055555555555558</v>
      </c>
      <c r="E369" s="3">
        <v>41</v>
      </c>
      <c r="F369">
        <v>8.3800000000000008</v>
      </c>
      <c r="G369">
        <v>65.8</v>
      </c>
      <c r="H369">
        <v>5.0999999999999996</v>
      </c>
      <c r="I369" s="13"/>
    </row>
    <row r="370" spans="3:11" ht="15.75" customHeight="1" x14ac:dyDescent="0.2">
      <c r="C370" s="16">
        <v>43352</v>
      </c>
      <c r="D370" s="185">
        <v>0.43055555555555558</v>
      </c>
      <c r="E370" s="3">
        <v>43</v>
      </c>
      <c r="F370">
        <v>8.23</v>
      </c>
      <c r="G370">
        <v>64.2</v>
      </c>
      <c r="H370">
        <v>5</v>
      </c>
      <c r="I370" s="13"/>
    </row>
    <row r="371" spans="3:11" ht="15.75" customHeight="1" x14ac:dyDescent="0.2">
      <c r="C371" s="16"/>
      <c r="D371" s="185"/>
      <c r="E371" s="3"/>
      <c r="I371" s="13"/>
    </row>
    <row r="372" spans="3:11" ht="15.75" customHeight="1" x14ac:dyDescent="0.2">
      <c r="E372" s="3"/>
      <c r="H372" s="1"/>
      <c r="I372" s="13"/>
    </row>
    <row r="373" spans="3:11" ht="15.75" customHeight="1" x14ac:dyDescent="0.2">
      <c r="C373" s="16">
        <v>42870</v>
      </c>
      <c r="D373" s="185">
        <v>0.47916666666666669</v>
      </c>
      <c r="E373" s="3"/>
      <c r="H373" s="1"/>
      <c r="I373" s="13"/>
      <c r="J373">
        <v>9</v>
      </c>
      <c r="K373">
        <v>11</v>
      </c>
    </row>
    <row r="374" spans="3:11" ht="15.75" customHeight="1" x14ac:dyDescent="0.2">
      <c r="C374" s="16">
        <v>42870</v>
      </c>
      <c r="D374" s="185">
        <v>0.4861111111111111</v>
      </c>
      <c r="E374" s="3">
        <v>0.1</v>
      </c>
      <c r="F374">
        <v>9.56</v>
      </c>
      <c r="G374">
        <v>85.6</v>
      </c>
      <c r="H374">
        <v>10.5</v>
      </c>
      <c r="I374" s="13"/>
    </row>
    <row r="375" spans="3:11" ht="15.75" customHeight="1" x14ac:dyDescent="0.2">
      <c r="C375" s="16">
        <v>42870</v>
      </c>
      <c r="D375" s="185">
        <v>0.4861111111111111</v>
      </c>
      <c r="E375" s="3">
        <v>1</v>
      </c>
      <c r="F375">
        <v>9.6300000000000008</v>
      </c>
      <c r="G375">
        <v>84.3</v>
      </c>
      <c r="H375" s="1">
        <v>9.5</v>
      </c>
      <c r="I375" s="13"/>
    </row>
    <row r="376" spans="3:11" ht="15.75" customHeight="1" x14ac:dyDescent="0.2">
      <c r="C376" s="16">
        <v>42870</v>
      </c>
      <c r="D376" s="185">
        <v>0.4861111111111111</v>
      </c>
      <c r="E376" s="3">
        <v>2</v>
      </c>
      <c r="F376">
        <v>9.65</v>
      </c>
      <c r="G376">
        <v>84</v>
      </c>
      <c r="H376" s="1">
        <v>9.1999999999999993</v>
      </c>
      <c r="I376" s="13"/>
    </row>
    <row r="377" spans="3:11" ht="15.75" customHeight="1" x14ac:dyDescent="0.2">
      <c r="C377" s="16">
        <v>42870</v>
      </c>
      <c r="D377" s="185">
        <v>0.4861111111111111</v>
      </c>
      <c r="E377" s="3">
        <v>3</v>
      </c>
      <c r="F377">
        <v>9.68</v>
      </c>
      <c r="G377">
        <v>83.7</v>
      </c>
      <c r="H377">
        <v>9</v>
      </c>
      <c r="I377" s="13"/>
    </row>
    <row r="378" spans="3:11" ht="15.75" customHeight="1" x14ac:dyDescent="0.2">
      <c r="C378" s="16">
        <v>42870</v>
      </c>
      <c r="D378" s="185">
        <v>0.4861111111111111</v>
      </c>
      <c r="E378" s="3">
        <v>4</v>
      </c>
      <c r="F378">
        <v>9.65</v>
      </c>
      <c r="G378">
        <v>83.3</v>
      </c>
      <c r="H378">
        <v>8.9</v>
      </c>
      <c r="I378" s="13"/>
    </row>
    <row r="379" spans="3:11" ht="15.75" customHeight="1" x14ac:dyDescent="0.2">
      <c r="C379" s="16">
        <v>42870</v>
      </c>
      <c r="D379" s="185">
        <v>0.4861111111111111</v>
      </c>
      <c r="E379" s="3">
        <v>5</v>
      </c>
      <c r="F379">
        <v>9.64</v>
      </c>
      <c r="G379">
        <v>83</v>
      </c>
      <c r="H379">
        <v>8.8000000000000007</v>
      </c>
      <c r="I379" s="13"/>
    </row>
    <row r="380" spans="3:11" ht="15.75" customHeight="1" x14ac:dyDescent="0.2">
      <c r="C380" s="16">
        <v>42870</v>
      </c>
      <c r="D380" s="185">
        <v>0.4861111111111111</v>
      </c>
      <c r="E380" s="3">
        <v>6</v>
      </c>
      <c r="F380">
        <v>9.6199999999999992</v>
      </c>
      <c r="G380">
        <v>82.8</v>
      </c>
      <c r="H380">
        <v>8.8000000000000007</v>
      </c>
      <c r="I380" s="13"/>
    </row>
    <row r="381" spans="3:11" ht="15.75" customHeight="1" x14ac:dyDescent="0.2">
      <c r="C381" s="16">
        <v>42870</v>
      </c>
      <c r="D381" s="185">
        <v>0.4861111111111111</v>
      </c>
      <c r="E381" s="3">
        <v>7</v>
      </c>
      <c r="F381">
        <v>9.6199999999999992</v>
      </c>
      <c r="G381">
        <v>82.6</v>
      </c>
      <c r="H381">
        <v>8.6999999999999993</v>
      </c>
      <c r="I381" s="13"/>
    </row>
    <row r="382" spans="3:11" ht="15.75" customHeight="1" x14ac:dyDescent="0.2">
      <c r="C382" s="16">
        <v>42870</v>
      </c>
      <c r="D382" s="185">
        <v>0.4861111111111111</v>
      </c>
      <c r="E382" s="3">
        <v>8</v>
      </c>
      <c r="F382">
        <v>9.65</v>
      </c>
      <c r="G382">
        <v>82.3</v>
      </c>
      <c r="H382">
        <v>8.4</v>
      </c>
      <c r="I382" s="13"/>
    </row>
    <row r="383" spans="3:11" ht="15.75" customHeight="1" x14ac:dyDescent="0.2">
      <c r="C383" s="16">
        <v>42870</v>
      </c>
      <c r="D383" s="185">
        <v>0.4861111111111111</v>
      </c>
      <c r="E383" s="3">
        <v>9</v>
      </c>
      <c r="F383">
        <v>9.66</v>
      </c>
      <c r="G383">
        <v>82.2</v>
      </c>
      <c r="H383">
        <v>8.3000000000000007</v>
      </c>
      <c r="I383" s="13"/>
    </row>
    <row r="384" spans="3:11" ht="15.75" customHeight="1" x14ac:dyDescent="0.2">
      <c r="C384" s="16">
        <v>42870</v>
      </c>
      <c r="D384" s="185">
        <v>0.4861111111111111</v>
      </c>
      <c r="E384" s="3">
        <v>10</v>
      </c>
      <c r="F384">
        <v>9.76</v>
      </c>
      <c r="G384">
        <v>81.3</v>
      </c>
      <c r="H384">
        <v>7.3</v>
      </c>
      <c r="I384" s="13"/>
    </row>
    <row r="385" spans="3:11" ht="15.75" customHeight="1" x14ac:dyDescent="0.2">
      <c r="C385" s="16">
        <v>42870</v>
      </c>
      <c r="D385" s="185">
        <v>0.4861111111111111</v>
      </c>
      <c r="E385" s="3">
        <v>11</v>
      </c>
      <c r="F385">
        <v>9.81</v>
      </c>
      <c r="G385">
        <v>80.400000000000006</v>
      </c>
      <c r="H385">
        <v>6.8</v>
      </c>
      <c r="I385" s="13"/>
    </row>
    <row r="386" spans="3:11" ht="15.75" customHeight="1" x14ac:dyDescent="0.2">
      <c r="C386" s="16">
        <v>42870</v>
      </c>
      <c r="D386" s="185">
        <v>0.4861111111111111</v>
      </c>
      <c r="E386" s="3">
        <v>12</v>
      </c>
      <c r="F386">
        <v>9.77</v>
      </c>
      <c r="G386">
        <v>79.099999999999994</v>
      </c>
      <c r="H386">
        <v>6.3</v>
      </c>
      <c r="I386" s="13"/>
    </row>
    <row r="387" spans="3:11" ht="15.75" customHeight="1" x14ac:dyDescent="0.2">
      <c r="C387" s="16">
        <v>42870</v>
      </c>
      <c r="D387" s="185">
        <v>0.4861111111111111</v>
      </c>
      <c r="E387" s="3">
        <v>13</v>
      </c>
      <c r="F387">
        <v>9.73</v>
      </c>
      <c r="G387">
        <v>78.2</v>
      </c>
      <c r="H387">
        <v>6</v>
      </c>
      <c r="I387" s="13"/>
    </row>
    <row r="388" spans="3:11" ht="15.75" customHeight="1" x14ac:dyDescent="0.2">
      <c r="C388" s="16">
        <v>42870</v>
      </c>
      <c r="D388" s="185">
        <v>0.4861111111111111</v>
      </c>
      <c r="E388" s="3">
        <v>14</v>
      </c>
      <c r="F388">
        <v>9.61</v>
      </c>
      <c r="G388">
        <v>76.5</v>
      </c>
      <c r="H388">
        <v>5.7</v>
      </c>
      <c r="I388" s="13"/>
    </row>
    <row r="389" spans="3:11" ht="15.75" customHeight="1" x14ac:dyDescent="0.2">
      <c r="C389" s="16">
        <v>42870</v>
      </c>
      <c r="D389" s="185">
        <v>0.4861111111111111</v>
      </c>
      <c r="E389" s="3">
        <v>15</v>
      </c>
      <c r="F389">
        <v>9.5299999999999994</v>
      </c>
      <c r="G389">
        <v>75.7</v>
      </c>
      <c r="H389">
        <v>5.6</v>
      </c>
      <c r="I389" s="13"/>
    </row>
    <row r="390" spans="3:11" ht="15.75" customHeight="1" x14ac:dyDescent="0.2">
      <c r="C390" s="16">
        <v>42870</v>
      </c>
      <c r="D390" s="185">
        <v>0.4861111111111111</v>
      </c>
      <c r="E390" s="3">
        <v>20</v>
      </c>
      <c r="F390">
        <v>9.4</v>
      </c>
      <c r="G390">
        <v>74.099999999999994</v>
      </c>
      <c r="H390">
        <v>5.4</v>
      </c>
      <c r="I390" s="13"/>
    </row>
    <row r="391" spans="3:11" ht="15.75" customHeight="1" x14ac:dyDescent="0.2">
      <c r="C391" s="16">
        <v>42870</v>
      </c>
      <c r="D391" s="185">
        <v>0.4861111111111111</v>
      </c>
      <c r="E391" s="3">
        <v>25</v>
      </c>
      <c r="F391">
        <v>9.2799999999999994</v>
      </c>
      <c r="G391">
        <v>73</v>
      </c>
      <c r="H391">
        <v>5.2</v>
      </c>
      <c r="I391" s="13"/>
    </row>
    <row r="392" spans="3:11" ht="15.75" customHeight="1" x14ac:dyDescent="0.2">
      <c r="C392" s="16">
        <v>42870</v>
      </c>
      <c r="D392" s="185">
        <v>0.4861111111111111</v>
      </c>
      <c r="E392" s="3">
        <v>30</v>
      </c>
      <c r="F392">
        <v>9.08</v>
      </c>
      <c r="G392">
        <v>71</v>
      </c>
      <c r="H392">
        <v>5.0999999999999996</v>
      </c>
      <c r="I392" s="13"/>
    </row>
    <row r="393" spans="3:11" ht="15.75" customHeight="1" x14ac:dyDescent="0.2">
      <c r="C393" s="16">
        <v>42870</v>
      </c>
      <c r="D393" s="185">
        <v>0.4861111111111111</v>
      </c>
      <c r="E393" s="3">
        <v>35</v>
      </c>
      <c r="F393">
        <v>8.9499999999999993</v>
      </c>
      <c r="G393">
        <v>69.8</v>
      </c>
      <c r="H393">
        <v>5</v>
      </c>
      <c r="I393" s="13"/>
    </row>
    <row r="394" spans="3:11" ht="15.75" customHeight="1" x14ac:dyDescent="0.2">
      <c r="C394" s="16">
        <v>42870</v>
      </c>
      <c r="D394" s="185">
        <v>0.4861111111111111</v>
      </c>
      <c r="E394" s="3">
        <v>40</v>
      </c>
      <c r="F394">
        <v>8.75</v>
      </c>
      <c r="G394">
        <v>67.900000000000006</v>
      </c>
      <c r="H394">
        <v>4.8</v>
      </c>
      <c r="I394" s="13"/>
    </row>
    <row r="395" spans="3:11" ht="15.75" customHeight="1" x14ac:dyDescent="0.2">
      <c r="C395" s="16">
        <v>42870</v>
      </c>
      <c r="D395" s="185">
        <v>0.4861111111111111</v>
      </c>
      <c r="E395" s="3">
        <v>45</v>
      </c>
      <c r="F395">
        <v>8.9</v>
      </c>
      <c r="G395">
        <v>69</v>
      </c>
      <c r="H395">
        <v>4.8</v>
      </c>
      <c r="I395" s="13"/>
    </row>
    <row r="396" spans="3:11" ht="15.75" customHeight="1" x14ac:dyDescent="0.2">
      <c r="C396" s="16">
        <v>42870</v>
      </c>
      <c r="D396" s="185">
        <v>0.4861111111111111</v>
      </c>
      <c r="E396" s="3">
        <v>50</v>
      </c>
      <c r="F396">
        <v>7.52</v>
      </c>
      <c r="G396">
        <v>58.4</v>
      </c>
      <c r="H396">
        <v>4.8</v>
      </c>
      <c r="I396" s="13"/>
    </row>
    <row r="397" spans="3:11" ht="15.75" customHeight="1" x14ac:dyDescent="0.2">
      <c r="C397" s="16"/>
      <c r="E397" s="3"/>
      <c r="H397" s="1"/>
      <c r="I397" s="13"/>
    </row>
    <row r="398" spans="3:11" ht="15.75" customHeight="1" x14ac:dyDescent="0.2">
      <c r="C398" s="16">
        <v>42898</v>
      </c>
      <c r="D398" s="185">
        <v>0.47569444444444442</v>
      </c>
      <c r="E398" s="3"/>
      <c r="H398" s="1"/>
      <c r="I398" s="13"/>
      <c r="J398">
        <v>8</v>
      </c>
      <c r="K398">
        <v>9.5</v>
      </c>
    </row>
    <row r="399" spans="3:11" ht="15.75" customHeight="1" x14ac:dyDescent="0.2">
      <c r="C399" s="16">
        <v>42898</v>
      </c>
      <c r="D399" s="185">
        <v>0.4826388888888889</v>
      </c>
      <c r="E399" s="3">
        <v>0.1</v>
      </c>
      <c r="F399">
        <v>8.7799999999999994</v>
      </c>
      <c r="G399">
        <v>88</v>
      </c>
      <c r="H399">
        <v>15.95</v>
      </c>
      <c r="I399" s="13"/>
    </row>
    <row r="400" spans="3:11" ht="15.75" customHeight="1" x14ac:dyDescent="0.2">
      <c r="C400" s="16">
        <v>42898</v>
      </c>
      <c r="D400" s="185">
        <v>0.4826388888888889</v>
      </c>
      <c r="E400" s="3">
        <v>1</v>
      </c>
      <c r="F400">
        <v>8.89</v>
      </c>
      <c r="G400">
        <v>87.6</v>
      </c>
      <c r="H400">
        <v>14.7</v>
      </c>
      <c r="I400" s="13"/>
    </row>
    <row r="401" spans="3:9" ht="15.75" customHeight="1" x14ac:dyDescent="0.2">
      <c r="C401" s="16">
        <v>42898</v>
      </c>
      <c r="D401" s="185">
        <v>0.4826388888888889</v>
      </c>
      <c r="E401" s="3">
        <v>2</v>
      </c>
      <c r="F401">
        <v>8.93</v>
      </c>
      <c r="G401">
        <v>87.4</v>
      </c>
      <c r="H401">
        <v>14.3</v>
      </c>
      <c r="I401" s="13"/>
    </row>
    <row r="402" spans="3:9" ht="15.75" customHeight="1" x14ac:dyDescent="0.2">
      <c r="C402" s="16">
        <v>42898</v>
      </c>
      <c r="D402" s="185">
        <v>0.4826388888888889</v>
      </c>
      <c r="E402" s="3">
        <v>3</v>
      </c>
      <c r="F402">
        <v>9.0500000000000007</v>
      </c>
      <c r="G402">
        <v>87.6</v>
      </c>
      <c r="H402">
        <v>13.8</v>
      </c>
      <c r="I402" s="13"/>
    </row>
    <row r="403" spans="3:9" ht="15.75" customHeight="1" x14ac:dyDescent="0.2">
      <c r="C403" s="16">
        <v>42898</v>
      </c>
      <c r="D403" s="185">
        <v>0.4826388888888889</v>
      </c>
      <c r="E403" s="3">
        <v>4</v>
      </c>
      <c r="F403">
        <v>9.1300000000000008</v>
      </c>
      <c r="G403">
        <v>87.5</v>
      </c>
      <c r="H403">
        <v>13.5</v>
      </c>
      <c r="I403" s="13"/>
    </row>
    <row r="404" spans="3:9" ht="15.75" customHeight="1" x14ac:dyDescent="0.2">
      <c r="C404" s="16">
        <v>42898</v>
      </c>
      <c r="D404" s="185">
        <v>0.4826388888888889</v>
      </c>
      <c r="E404" s="3">
        <v>5</v>
      </c>
      <c r="F404">
        <v>9.19</v>
      </c>
      <c r="G404">
        <v>87.6</v>
      </c>
      <c r="H404">
        <v>13.2</v>
      </c>
      <c r="I404" s="13"/>
    </row>
    <row r="405" spans="3:9" ht="15.75" customHeight="1" x14ac:dyDescent="0.2">
      <c r="C405" s="16">
        <v>42898</v>
      </c>
      <c r="D405" s="185">
        <v>0.4826388888888889</v>
      </c>
      <c r="E405" s="3">
        <v>6</v>
      </c>
      <c r="F405">
        <v>9.1999999999999993</v>
      </c>
      <c r="G405">
        <v>87.1</v>
      </c>
      <c r="H405">
        <v>13</v>
      </c>
      <c r="I405" s="13"/>
    </row>
    <row r="406" spans="3:9" ht="15.75" customHeight="1" x14ac:dyDescent="0.2">
      <c r="C406" s="16">
        <v>42898</v>
      </c>
      <c r="D406" s="185">
        <v>0.4826388888888889</v>
      </c>
      <c r="E406" s="3">
        <v>7</v>
      </c>
      <c r="F406">
        <v>9.23</v>
      </c>
      <c r="G406">
        <v>87</v>
      </c>
      <c r="H406">
        <v>12.8</v>
      </c>
      <c r="I406" s="13"/>
    </row>
    <row r="407" spans="3:9" ht="15.75" customHeight="1" x14ac:dyDescent="0.2">
      <c r="C407" s="16">
        <v>42898</v>
      </c>
      <c r="D407" s="185">
        <v>0.4826388888888889</v>
      </c>
      <c r="E407" s="3">
        <v>8</v>
      </c>
      <c r="F407">
        <v>9.24</v>
      </c>
      <c r="G407">
        <v>86.6</v>
      </c>
      <c r="H407">
        <v>12.5</v>
      </c>
      <c r="I407" s="13"/>
    </row>
    <row r="408" spans="3:9" ht="15.75" customHeight="1" x14ac:dyDescent="0.2">
      <c r="C408" s="16">
        <v>42898</v>
      </c>
      <c r="D408" s="185">
        <v>0.4826388888888889</v>
      </c>
      <c r="E408" s="3">
        <v>9</v>
      </c>
      <c r="F408">
        <v>9.26</v>
      </c>
      <c r="G408">
        <v>86.1</v>
      </c>
      <c r="H408">
        <v>12.1</v>
      </c>
      <c r="I408" s="13"/>
    </row>
    <row r="409" spans="3:9" ht="15.75" customHeight="1" x14ac:dyDescent="0.2">
      <c r="C409" s="16">
        <v>42898</v>
      </c>
      <c r="D409" s="185">
        <v>0.4826388888888889</v>
      </c>
      <c r="E409" s="3">
        <v>10</v>
      </c>
      <c r="F409">
        <v>9.2799999999999994</v>
      </c>
      <c r="G409">
        <v>85.6</v>
      </c>
      <c r="H409">
        <v>11.8</v>
      </c>
      <c r="I409" s="13"/>
    </row>
    <row r="410" spans="3:9" ht="15.75" customHeight="1" x14ac:dyDescent="0.2">
      <c r="C410" s="16">
        <v>42898</v>
      </c>
      <c r="D410" s="185">
        <v>0.4826388888888889</v>
      </c>
      <c r="E410" s="3">
        <v>11</v>
      </c>
      <c r="F410">
        <v>9.49</v>
      </c>
      <c r="G410">
        <v>83.7</v>
      </c>
      <c r="H410">
        <v>9.9</v>
      </c>
      <c r="I410" s="13"/>
    </row>
    <row r="411" spans="3:9" ht="15.75" customHeight="1" x14ac:dyDescent="0.2">
      <c r="C411" s="16">
        <v>42898</v>
      </c>
      <c r="D411" s="185">
        <v>0.4826388888888889</v>
      </c>
      <c r="E411" s="3">
        <v>13</v>
      </c>
      <c r="F411">
        <v>9.5500000000000007</v>
      </c>
      <c r="G411">
        <v>83.5</v>
      </c>
      <c r="H411">
        <v>9.4</v>
      </c>
      <c r="I411" s="13"/>
    </row>
    <row r="412" spans="3:9" ht="15.75" customHeight="1" x14ac:dyDescent="0.2">
      <c r="C412" s="16">
        <v>42898</v>
      </c>
      <c r="D412" s="185">
        <v>0.4826388888888889</v>
      </c>
      <c r="E412" s="3">
        <v>15</v>
      </c>
      <c r="F412">
        <v>9.85</v>
      </c>
      <c r="G412">
        <v>82.8</v>
      </c>
      <c r="H412">
        <v>9.1999999999999993</v>
      </c>
      <c r="I412" s="13"/>
    </row>
    <row r="413" spans="3:9" ht="15.75" customHeight="1" x14ac:dyDescent="0.2">
      <c r="C413" s="16">
        <v>42898</v>
      </c>
      <c r="D413" s="185">
        <v>0.4826388888888889</v>
      </c>
      <c r="E413" s="3">
        <v>17</v>
      </c>
      <c r="F413">
        <v>9.59</v>
      </c>
      <c r="G413">
        <v>80.900000000000006</v>
      </c>
      <c r="H413">
        <v>8.1</v>
      </c>
      <c r="I413" s="13"/>
    </row>
    <row r="414" spans="3:9" ht="15.75" customHeight="1" x14ac:dyDescent="0.2">
      <c r="C414" s="16">
        <v>42898</v>
      </c>
      <c r="D414" s="185">
        <v>0.4826388888888889</v>
      </c>
      <c r="E414" s="3">
        <v>19</v>
      </c>
      <c r="F414">
        <v>9.5500000000000007</v>
      </c>
      <c r="G414">
        <v>78.8</v>
      </c>
      <c r="H414">
        <v>7.3</v>
      </c>
      <c r="I414" s="13"/>
    </row>
    <row r="415" spans="3:9" ht="15.75" customHeight="1" x14ac:dyDescent="0.2">
      <c r="C415" s="16">
        <v>42898</v>
      </c>
      <c r="D415" s="185">
        <v>0.4826388888888889</v>
      </c>
      <c r="E415" s="3">
        <v>21</v>
      </c>
      <c r="F415">
        <v>9.41</v>
      </c>
      <c r="G415">
        <v>76.8</v>
      </c>
      <c r="H415">
        <v>6.7</v>
      </c>
      <c r="I415" s="13"/>
    </row>
    <row r="416" spans="3:9" ht="15.75" customHeight="1" x14ac:dyDescent="0.2">
      <c r="C416" s="16">
        <v>42898</v>
      </c>
      <c r="D416" s="185">
        <v>0.4826388888888889</v>
      </c>
      <c r="E416" s="3">
        <v>23</v>
      </c>
      <c r="F416">
        <v>9.3000000000000007</v>
      </c>
      <c r="G416">
        <v>75.3</v>
      </c>
      <c r="H416">
        <v>6.4</v>
      </c>
      <c r="I416" s="13"/>
    </row>
    <row r="417" spans="3:11" ht="15.75" customHeight="1" x14ac:dyDescent="0.2">
      <c r="C417" s="16">
        <v>42898</v>
      </c>
      <c r="D417" s="185">
        <v>0.4826388888888889</v>
      </c>
      <c r="E417" s="3">
        <v>25</v>
      </c>
      <c r="F417">
        <v>9.2100000000000009</v>
      </c>
      <c r="G417">
        <v>74.099999999999994</v>
      </c>
      <c r="H417">
        <v>6.1</v>
      </c>
      <c r="I417" s="13"/>
    </row>
    <row r="418" spans="3:11" ht="15.75" customHeight="1" x14ac:dyDescent="0.2">
      <c r="C418" s="16">
        <v>42898</v>
      </c>
      <c r="D418" s="185">
        <v>0.4826388888888889</v>
      </c>
      <c r="E418" s="3">
        <v>27</v>
      </c>
      <c r="F418">
        <v>9.1300000000000008</v>
      </c>
      <c r="G418">
        <v>73.3</v>
      </c>
      <c r="H418">
        <v>6</v>
      </c>
      <c r="I418" s="13"/>
    </row>
    <row r="419" spans="3:11" ht="15.75" customHeight="1" x14ac:dyDescent="0.2">
      <c r="C419" s="16">
        <v>42898</v>
      </c>
      <c r="D419" s="185">
        <v>0.4826388888888889</v>
      </c>
      <c r="E419" s="3">
        <v>29</v>
      </c>
      <c r="F419">
        <v>9.06</v>
      </c>
      <c r="G419">
        <v>72.2</v>
      </c>
      <c r="H419">
        <v>5.7</v>
      </c>
      <c r="I419" s="13"/>
    </row>
    <row r="420" spans="3:11" ht="15.75" customHeight="1" x14ac:dyDescent="0.2">
      <c r="C420" s="16">
        <v>42898</v>
      </c>
      <c r="D420" s="185">
        <v>0.4826388888888889</v>
      </c>
      <c r="E420" s="3">
        <v>31</v>
      </c>
      <c r="F420">
        <v>9</v>
      </c>
      <c r="G420">
        <v>71.400000000000006</v>
      </c>
      <c r="H420">
        <v>5.6</v>
      </c>
      <c r="I420" s="13"/>
    </row>
    <row r="421" spans="3:11" ht="15.75" customHeight="1" x14ac:dyDescent="0.2">
      <c r="C421" s="16">
        <v>42898</v>
      </c>
      <c r="D421" s="185">
        <v>0.4826388888888889</v>
      </c>
      <c r="E421" s="3">
        <v>33</v>
      </c>
      <c r="F421">
        <v>8.9499999999999993</v>
      </c>
      <c r="G421">
        <v>70.900000000000006</v>
      </c>
      <c r="H421">
        <v>5.5</v>
      </c>
      <c r="I421" s="13"/>
    </row>
    <row r="422" spans="3:11" ht="15.75" customHeight="1" x14ac:dyDescent="0.2">
      <c r="C422" s="16">
        <v>42898</v>
      </c>
      <c r="D422" s="185">
        <v>0.4826388888888889</v>
      </c>
      <c r="E422" s="3">
        <v>35</v>
      </c>
      <c r="F422">
        <v>8.89</v>
      </c>
      <c r="G422">
        <v>70.099999999999994</v>
      </c>
      <c r="H422">
        <v>5.3</v>
      </c>
      <c r="I422" s="13"/>
    </row>
    <row r="423" spans="3:11" ht="15.75" customHeight="1" x14ac:dyDescent="0.2">
      <c r="C423" s="16">
        <v>42898</v>
      </c>
      <c r="D423" s="185">
        <v>0.4826388888888889</v>
      </c>
      <c r="E423" s="3">
        <v>37</v>
      </c>
      <c r="F423">
        <v>8.83</v>
      </c>
      <c r="G423">
        <v>69.400000000000006</v>
      </c>
      <c r="H423">
        <v>5.2</v>
      </c>
      <c r="I423" s="13"/>
    </row>
    <row r="424" spans="3:11" ht="15.75" customHeight="1" x14ac:dyDescent="0.2">
      <c r="C424" s="16">
        <v>42898</v>
      </c>
      <c r="D424" s="185">
        <v>0.4826388888888889</v>
      </c>
      <c r="E424" s="3">
        <v>39</v>
      </c>
      <c r="F424">
        <v>8.7799999999999994</v>
      </c>
      <c r="G424">
        <v>69.099999999999994</v>
      </c>
      <c r="H424">
        <v>5.2</v>
      </c>
      <c r="I424" s="13"/>
    </row>
    <row r="425" spans="3:11" ht="15.75" customHeight="1" x14ac:dyDescent="0.2">
      <c r="C425" s="16">
        <v>42898</v>
      </c>
      <c r="D425" s="185">
        <v>0.4826388888888889</v>
      </c>
      <c r="E425" s="3">
        <v>41</v>
      </c>
      <c r="F425">
        <v>8.74</v>
      </c>
      <c r="G425">
        <v>68.5</v>
      </c>
      <c r="H425">
        <v>5.0999999999999996</v>
      </c>
      <c r="I425" s="13"/>
    </row>
    <row r="426" spans="3:11" ht="15.75" customHeight="1" x14ac:dyDescent="0.2">
      <c r="C426" s="16">
        <v>42898</v>
      </c>
      <c r="D426" s="185">
        <v>0.4826388888888889</v>
      </c>
      <c r="E426" s="3">
        <v>43</v>
      </c>
      <c r="F426">
        <v>8.67</v>
      </c>
      <c r="G426">
        <v>67.599999999999994</v>
      </c>
      <c r="H426">
        <v>5</v>
      </c>
      <c r="I426" s="13"/>
    </row>
    <row r="427" spans="3:11" ht="15.75" customHeight="1" x14ac:dyDescent="0.2">
      <c r="C427" s="16">
        <v>42898</v>
      </c>
      <c r="D427" s="185">
        <v>0.4826388888888889</v>
      </c>
      <c r="E427" s="3">
        <v>45</v>
      </c>
      <c r="F427">
        <v>8.5</v>
      </c>
      <c r="G427">
        <v>66.2</v>
      </c>
      <c r="H427">
        <v>4.9000000000000004</v>
      </c>
      <c r="I427" s="13"/>
    </row>
    <row r="428" spans="3:11" ht="15.75" customHeight="1" x14ac:dyDescent="0.2">
      <c r="C428" s="16">
        <v>42898</v>
      </c>
      <c r="D428" s="185">
        <v>0.4826388888888889</v>
      </c>
      <c r="E428" s="3">
        <v>47</v>
      </c>
      <c r="F428">
        <v>8.33</v>
      </c>
      <c r="G428">
        <v>65</v>
      </c>
      <c r="H428">
        <v>4.9000000000000004</v>
      </c>
      <c r="I428" s="13"/>
    </row>
    <row r="429" spans="3:11" ht="15.75" customHeight="1" x14ac:dyDescent="0.2">
      <c r="C429" s="16">
        <v>42898</v>
      </c>
      <c r="D429" s="185">
        <v>0.4826388888888889</v>
      </c>
      <c r="E429" s="3">
        <v>49</v>
      </c>
      <c r="F429">
        <v>8.24</v>
      </c>
      <c r="G429">
        <v>64.3</v>
      </c>
      <c r="H429">
        <v>4.9000000000000004</v>
      </c>
      <c r="I429" s="13"/>
    </row>
    <row r="430" spans="3:11" ht="15.75" customHeight="1" x14ac:dyDescent="0.2">
      <c r="C430" s="16">
        <v>42898</v>
      </c>
      <c r="D430" s="185">
        <v>0.4826388888888889</v>
      </c>
      <c r="E430" s="3">
        <v>51</v>
      </c>
      <c r="F430">
        <v>8.18</v>
      </c>
      <c r="G430">
        <v>63.8</v>
      </c>
      <c r="H430">
        <v>4.9000000000000004</v>
      </c>
      <c r="I430" s="13"/>
    </row>
    <row r="431" spans="3:11" ht="15.75" customHeight="1" x14ac:dyDescent="0.2">
      <c r="C431" s="16"/>
      <c r="E431" s="3"/>
      <c r="H431" s="1"/>
      <c r="I431" s="13"/>
    </row>
    <row r="432" spans="3:11" ht="15.75" customHeight="1" x14ac:dyDescent="0.2">
      <c r="C432" s="16">
        <v>42928</v>
      </c>
      <c r="D432" s="185">
        <v>0.43402777777777773</v>
      </c>
      <c r="E432" s="3"/>
      <c r="H432" s="1"/>
      <c r="I432" s="13"/>
      <c r="J432">
        <v>11.5</v>
      </c>
      <c r="K432">
        <v>13</v>
      </c>
    </row>
    <row r="433" spans="3:9" ht="15.75" customHeight="1" x14ac:dyDescent="0.2">
      <c r="C433" s="16">
        <v>42928</v>
      </c>
      <c r="D433" s="185">
        <v>0.44444444444444442</v>
      </c>
      <c r="E433" s="3">
        <v>0.1</v>
      </c>
      <c r="F433">
        <v>7.57</v>
      </c>
      <c r="G433">
        <v>86.9</v>
      </c>
      <c r="H433">
        <v>22.2</v>
      </c>
      <c r="I433" s="13"/>
    </row>
    <row r="434" spans="3:9" ht="15.75" customHeight="1" x14ac:dyDescent="0.2">
      <c r="C434" s="16">
        <v>42928</v>
      </c>
      <c r="D434" s="185">
        <v>0.44444444444444442</v>
      </c>
      <c r="E434" s="3">
        <v>1</v>
      </c>
      <c r="F434">
        <v>7.61</v>
      </c>
      <c r="G434">
        <v>86.9</v>
      </c>
      <c r="H434">
        <v>22</v>
      </c>
      <c r="I434" s="13"/>
    </row>
    <row r="435" spans="3:9" ht="15.75" customHeight="1" x14ac:dyDescent="0.2">
      <c r="C435" s="16">
        <v>42928</v>
      </c>
      <c r="D435" s="185">
        <v>0.44444444444444442</v>
      </c>
      <c r="E435" s="3">
        <v>2</v>
      </c>
      <c r="F435">
        <v>7.63</v>
      </c>
      <c r="G435">
        <v>86.8</v>
      </c>
      <c r="H435">
        <v>21.7</v>
      </c>
      <c r="I435" s="13"/>
    </row>
    <row r="436" spans="3:9" ht="15.75" customHeight="1" x14ac:dyDescent="0.2">
      <c r="C436" s="16">
        <v>42928</v>
      </c>
      <c r="D436" s="185">
        <v>0.44444444444444442</v>
      </c>
      <c r="E436" s="3">
        <v>3</v>
      </c>
      <c r="F436">
        <v>7.64</v>
      </c>
      <c r="G436">
        <v>86.7</v>
      </c>
      <c r="H436">
        <v>21.6</v>
      </c>
      <c r="I436" s="13"/>
    </row>
    <row r="437" spans="3:9" ht="15.75" customHeight="1" x14ac:dyDescent="0.2">
      <c r="C437" s="16">
        <v>42928</v>
      </c>
      <c r="D437" s="185">
        <v>0.44444444444444442</v>
      </c>
      <c r="E437" s="3">
        <v>4</v>
      </c>
      <c r="F437">
        <v>7.66</v>
      </c>
      <c r="G437">
        <v>86.7</v>
      </c>
      <c r="H437">
        <v>21.5</v>
      </c>
      <c r="I437" s="13"/>
    </row>
    <row r="438" spans="3:9" ht="15.75" customHeight="1" x14ac:dyDescent="0.2">
      <c r="C438" s="16">
        <v>42928</v>
      </c>
      <c r="D438" s="185">
        <v>0.44444444444444442</v>
      </c>
      <c r="E438" s="3">
        <v>5</v>
      </c>
      <c r="F438">
        <v>7.65</v>
      </c>
      <c r="G438">
        <v>86.6</v>
      </c>
      <c r="H438">
        <v>21.5</v>
      </c>
      <c r="I438" s="13"/>
    </row>
    <row r="439" spans="3:9" ht="15.75" customHeight="1" x14ac:dyDescent="0.2">
      <c r="C439" s="16">
        <v>42928</v>
      </c>
      <c r="D439" s="185">
        <v>0.44444444444444442</v>
      </c>
      <c r="E439" s="3">
        <v>6</v>
      </c>
      <c r="F439">
        <v>7.79</v>
      </c>
      <c r="G439">
        <v>87.4</v>
      </c>
      <c r="H439">
        <v>21</v>
      </c>
      <c r="I439" s="13"/>
    </row>
    <row r="440" spans="3:9" ht="15.75" customHeight="1" x14ac:dyDescent="0.2">
      <c r="C440" s="16">
        <v>42928</v>
      </c>
      <c r="D440" s="185">
        <v>0.44444444444444442</v>
      </c>
      <c r="E440" s="3">
        <v>7</v>
      </c>
      <c r="F440">
        <v>8.31</v>
      </c>
      <c r="G440">
        <v>89.6</v>
      </c>
      <c r="H440">
        <v>19.100000000000001</v>
      </c>
      <c r="I440" s="13"/>
    </row>
    <row r="441" spans="3:9" ht="15.75" customHeight="1" x14ac:dyDescent="0.2">
      <c r="C441" s="16">
        <v>42928</v>
      </c>
      <c r="D441" s="185">
        <v>0.44444444444444442</v>
      </c>
      <c r="E441" s="3">
        <v>8</v>
      </c>
      <c r="F441">
        <v>8.7899999999999991</v>
      </c>
      <c r="G441">
        <v>91.6</v>
      </c>
      <c r="H441">
        <v>17.3</v>
      </c>
      <c r="I441" s="13"/>
    </row>
    <row r="442" spans="3:9" ht="15.75" customHeight="1" x14ac:dyDescent="0.2">
      <c r="C442" s="16">
        <v>42928</v>
      </c>
      <c r="D442" s="185">
        <v>0.44444444444444442</v>
      </c>
      <c r="E442" s="3">
        <v>10</v>
      </c>
      <c r="F442">
        <v>9.01</v>
      </c>
      <c r="G442">
        <v>90.1</v>
      </c>
      <c r="H442">
        <v>15.4</v>
      </c>
      <c r="I442" s="13"/>
    </row>
    <row r="443" spans="3:9" ht="15.75" customHeight="1" x14ac:dyDescent="0.2">
      <c r="C443" s="16">
        <v>42928</v>
      </c>
      <c r="D443" s="185">
        <v>0.44444444444444442</v>
      </c>
      <c r="E443" s="3">
        <v>12</v>
      </c>
      <c r="F443">
        <v>9</v>
      </c>
      <c r="G443">
        <v>86.5</v>
      </c>
      <c r="H443">
        <v>12.6</v>
      </c>
      <c r="I443" s="13"/>
    </row>
    <row r="444" spans="3:9" ht="15.75" customHeight="1" x14ac:dyDescent="0.2">
      <c r="C444" s="16">
        <v>42928</v>
      </c>
      <c r="D444" s="185">
        <v>0.44444444444444442</v>
      </c>
      <c r="E444" s="3">
        <v>14</v>
      </c>
      <c r="F444">
        <v>9.35</v>
      </c>
      <c r="G444">
        <v>82.2</v>
      </c>
      <c r="H444">
        <v>9.6999999999999993</v>
      </c>
      <c r="I444" s="13"/>
    </row>
    <row r="445" spans="3:9" ht="15.75" customHeight="1" x14ac:dyDescent="0.2">
      <c r="C445" s="16">
        <v>42928</v>
      </c>
      <c r="D445" s="185">
        <v>0.44444444444444442</v>
      </c>
      <c r="E445" s="3">
        <v>16</v>
      </c>
      <c r="F445">
        <v>9.35</v>
      </c>
      <c r="G445">
        <v>80.2</v>
      </c>
      <c r="H445">
        <v>8.8000000000000007</v>
      </c>
      <c r="I445" s="13"/>
    </row>
    <row r="446" spans="3:9" ht="15.75" customHeight="1" x14ac:dyDescent="0.2">
      <c r="C446" s="16">
        <v>42928</v>
      </c>
      <c r="D446" s="185">
        <v>0.44444444444444442</v>
      </c>
      <c r="E446" s="3">
        <v>18</v>
      </c>
      <c r="F446">
        <v>9.25</v>
      </c>
      <c r="G446">
        <v>77.3</v>
      </c>
      <c r="H446">
        <v>7.6</v>
      </c>
      <c r="I446" s="13"/>
    </row>
    <row r="447" spans="3:9" ht="15.75" customHeight="1" x14ac:dyDescent="0.2">
      <c r="C447" s="16">
        <v>42928</v>
      </c>
      <c r="D447" s="185">
        <v>0.44444444444444442</v>
      </c>
      <c r="E447" s="3">
        <v>20</v>
      </c>
      <c r="F447">
        <v>9.1300000000000008</v>
      </c>
      <c r="G447">
        <v>75.400000000000006</v>
      </c>
      <c r="H447">
        <v>7.2</v>
      </c>
      <c r="I447" s="13"/>
    </row>
    <row r="448" spans="3:9" ht="15.75" customHeight="1" x14ac:dyDescent="0.2">
      <c r="C448" s="16">
        <v>42928</v>
      </c>
      <c r="D448" s="185">
        <v>0.44444444444444442</v>
      </c>
      <c r="E448" s="3">
        <v>22</v>
      </c>
      <c r="F448">
        <v>8.94</v>
      </c>
      <c r="G448">
        <v>73.099999999999994</v>
      </c>
      <c r="H448">
        <v>6.7</v>
      </c>
      <c r="I448" s="13"/>
    </row>
    <row r="449" spans="3:11" ht="15.75" customHeight="1" x14ac:dyDescent="0.2">
      <c r="C449" s="16">
        <v>42928</v>
      </c>
      <c r="D449" s="185">
        <v>0.44444444444444442</v>
      </c>
      <c r="E449" s="3">
        <v>24</v>
      </c>
      <c r="F449">
        <v>8.85</v>
      </c>
      <c r="G449">
        <v>71.8</v>
      </c>
      <c r="H449">
        <v>6.4</v>
      </c>
      <c r="I449" s="13"/>
    </row>
    <row r="450" spans="3:11" ht="15.75" customHeight="1" x14ac:dyDescent="0.2">
      <c r="C450" s="16">
        <v>42928</v>
      </c>
      <c r="D450" s="185">
        <v>0.44444444444444442</v>
      </c>
      <c r="E450" s="3">
        <v>26</v>
      </c>
      <c r="F450">
        <v>8.81</v>
      </c>
      <c r="G450">
        <v>71.099999999999994</v>
      </c>
      <c r="H450">
        <v>6.3</v>
      </c>
      <c r="I450" s="13"/>
    </row>
    <row r="451" spans="3:11" ht="15.75" customHeight="1" x14ac:dyDescent="0.2">
      <c r="C451" s="16">
        <v>42928</v>
      </c>
      <c r="D451" s="185">
        <v>0.44444444444444442</v>
      </c>
      <c r="E451" s="3">
        <v>28</v>
      </c>
      <c r="F451">
        <v>8.7100000000000009</v>
      </c>
      <c r="G451">
        <v>69.900000000000006</v>
      </c>
      <c r="H451">
        <v>6</v>
      </c>
      <c r="I451" s="13"/>
    </row>
    <row r="452" spans="3:11" ht="15.75" customHeight="1" x14ac:dyDescent="0.2">
      <c r="C452" s="16">
        <v>42928</v>
      </c>
      <c r="D452" s="185">
        <v>0.44444444444444442</v>
      </c>
      <c r="E452" s="3">
        <v>30</v>
      </c>
      <c r="F452">
        <v>8.6300000000000008</v>
      </c>
      <c r="G452">
        <v>68.8</v>
      </c>
      <c r="H452">
        <v>5.7</v>
      </c>
      <c r="I452" s="13"/>
    </row>
    <row r="453" spans="3:11" ht="15.75" customHeight="1" x14ac:dyDescent="0.2">
      <c r="C453" s="16">
        <v>42928</v>
      </c>
      <c r="D453" s="185">
        <v>0.44444444444444442</v>
      </c>
      <c r="E453" s="3">
        <v>32</v>
      </c>
      <c r="F453">
        <v>8.57</v>
      </c>
      <c r="G453">
        <v>68.099999999999994</v>
      </c>
      <c r="H453">
        <v>5.6</v>
      </c>
      <c r="I453" s="13"/>
    </row>
    <row r="454" spans="3:11" ht="15.75" customHeight="1" x14ac:dyDescent="0.2">
      <c r="C454" s="16">
        <v>42928</v>
      </c>
      <c r="D454" s="185">
        <v>0.44444444444444442</v>
      </c>
      <c r="E454" s="3">
        <v>34</v>
      </c>
      <c r="F454">
        <v>8.5299999999999994</v>
      </c>
      <c r="G454">
        <v>67.3</v>
      </c>
      <c r="H454">
        <v>5.5</v>
      </c>
      <c r="I454" s="13"/>
    </row>
    <row r="455" spans="3:11" ht="15.75" customHeight="1" x14ac:dyDescent="0.2">
      <c r="C455" s="16">
        <v>42928</v>
      </c>
      <c r="D455" s="185">
        <v>0.44444444444444442</v>
      </c>
      <c r="E455" s="3">
        <v>36</v>
      </c>
      <c r="F455">
        <v>8.43</v>
      </c>
      <c r="G455">
        <v>66.5</v>
      </c>
      <c r="H455">
        <v>5.3</v>
      </c>
      <c r="I455" s="13"/>
    </row>
    <row r="456" spans="3:11" ht="15.75" customHeight="1" x14ac:dyDescent="0.2">
      <c r="C456" s="16">
        <v>42928</v>
      </c>
      <c r="D456" s="185">
        <v>0.44444444444444442</v>
      </c>
      <c r="E456" s="3">
        <v>38</v>
      </c>
      <c r="F456">
        <v>8.4</v>
      </c>
      <c r="G456">
        <v>66</v>
      </c>
      <c r="H456">
        <v>5.2</v>
      </c>
      <c r="I456" s="13"/>
    </row>
    <row r="457" spans="3:11" ht="15.75" customHeight="1" x14ac:dyDescent="0.2">
      <c r="C457" s="16">
        <v>42928</v>
      </c>
      <c r="D457" s="185">
        <v>0.44444444444444442</v>
      </c>
      <c r="E457" s="3">
        <v>40</v>
      </c>
      <c r="F457">
        <v>8.1199999999999992</v>
      </c>
      <c r="G457">
        <v>63.6</v>
      </c>
      <c r="H457">
        <v>5</v>
      </c>
      <c r="I457" s="13"/>
    </row>
    <row r="458" spans="3:11" ht="15.75" customHeight="1" x14ac:dyDescent="0.2">
      <c r="C458" s="16">
        <v>42928</v>
      </c>
      <c r="D458" s="185">
        <v>0.44444444444444442</v>
      </c>
      <c r="E458" s="3">
        <v>42</v>
      </c>
      <c r="F458">
        <v>8.06</v>
      </c>
      <c r="G458">
        <v>63.1</v>
      </c>
      <c r="H458">
        <v>5</v>
      </c>
      <c r="I458" s="13"/>
    </row>
    <row r="459" spans="3:11" ht="15.75" customHeight="1" x14ac:dyDescent="0.2">
      <c r="C459" s="16">
        <v>42928</v>
      </c>
      <c r="D459" s="185">
        <v>0.44444444444444442</v>
      </c>
      <c r="E459" s="3">
        <v>44</v>
      </c>
      <c r="F459">
        <v>7.83</v>
      </c>
      <c r="G459">
        <v>61.2</v>
      </c>
      <c r="H459">
        <v>5</v>
      </c>
      <c r="I459" s="13"/>
    </row>
    <row r="460" spans="3:11" ht="15.75" customHeight="1" x14ac:dyDescent="0.2">
      <c r="C460" s="16">
        <v>42928</v>
      </c>
      <c r="D460" s="185">
        <v>0.44444444444444442</v>
      </c>
      <c r="E460" s="3">
        <v>46</v>
      </c>
      <c r="F460">
        <v>7.6</v>
      </c>
      <c r="G460">
        <v>59.5</v>
      </c>
      <c r="H460">
        <v>5</v>
      </c>
      <c r="I460" s="13"/>
    </row>
    <row r="461" spans="3:11" ht="15.75" customHeight="1" x14ac:dyDescent="0.2">
      <c r="C461" s="16"/>
      <c r="E461" s="3"/>
      <c r="H461" s="1"/>
      <c r="I461" s="13"/>
    </row>
    <row r="462" spans="3:11" ht="15.75" customHeight="1" x14ac:dyDescent="0.2">
      <c r="C462" s="16">
        <v>42954</v>
      </c>
      <c r="D462" s="185">
        <v>0.49652777777777773</v>
      </c>
      <c r="E462" s="3"/>
      <c r="H462" s="1"/>
      <c r="I462" s="13"/>
      <c r="J462">
        <v>12</v>
      </c>
      <c r="K462">
        <v>15</v>
      </c>
    </row>
    <row r="463" spans="3:11" ht="15.75" customHeight="1" x14ac:dyDescent="0.2">
      <c r="C463" s="16">
        <v>42954</v>
      </c>
      <c r="D463" s="185">
        <v>0.50694444444444442</v>
      </c>
      <c r="E463" s="3">
        <v>0.1</v>
      </c>
      <c r="F463">
        <v>7.19</v>
      </c>
      <c r="G463">
        <v>85.9</v>
      </c>
      <c r="H463">
        <v>24.3</v>
      </c>
      <c r="I463" s="13"/>
    </row>
    <row r="464" spans="3:11" ht="15.75" customHeight="1" x14ac:dyDescent="0.2">
      <c r="C464" s="16">
        <v>42954</v>
      </c>
      <c r="D464" s="185">
        <v>0.50694444444444442</v>
      </c>
      <c r="E464" s="3">
        <v>1</v>
      </c>
      <c r="F464">
        <v>7.21</v>
      </c>
      <c r="G464">
        <v>85.5</v>
      </c>
      <c r="H464">
        <v>23.9</v>
      </c>
      <c r="I464" s="13"/>
    </row>
    <row r="465" spans="3:9" ht="15.75" customHeight="1" x14ac:dyDescent="0.2">
      <c r="C465" s="16">
        <v>42954</v>
      </c>
      <c r="D465" s="185">
        <v>0.50694444444444442</v>
      </c>
      <c r="E465" s="3">
        <v>2</v>
      </c>
      <c r="F465">
        <v>7.23</v>
      </c>
      <c r="G465">
        <v>85.3</v>
      </c>
      <c r="H465">
        <v>23.8</v>
      </c>
      <c r="I465" s="13"/>
    </row>
    <row r="466" spans="3:9" ht="15.75" customHeight="1" x14ac:dyDescent="0.2">
      <c r="C466" s="16">
        <v>42954</v>
      </c>
      <c r="D466" s="185">
        <v>0.50694444444444442</v>
      </c>
      <c r="E466" s="3">
        <v>3</v>
      </c>
      <c r="F466">
        <v>7.22</v>
      </c>
      <c r="G466">
        <v>86.2</v>
      </c>
      <c r="H466">
        <v>23.7</v>
      </c>
      <c r="I466" s="13"/>
    </row>
    <row r="467" spans="3:9" ht="15.75" customHeight="1" x14ac:dyDescent="0.2">
      <c r="C467" s="16">
        <v>42954</v>
      </c>
      <c r="D467" s="185">
        <v>0.50694444444444442</v>
      </c>
      <c r="E467" s="3">
        <v>4</v>
      </c>
      <c r="F467">
        <v>7.21</v>
      </c>
      <c r="G467">
        <v>85</v>
      </c>
      <c r="H467">
        <v>23.6</v>
      </c>
      <c r="I467" s="13"/>
    </row>
    <row r="468" spans="3:9" ht="15.75" customHeight="1" x14ac:dyDescent="0.2">
      <c r="C468" s="16">
        <v>42954</v>
      </c>
      <c r="D468" s="185">
        <v>0.50694444444444442</v>
      </c>
      <c r="E468" s="3">
        <v>5</v>
      </c>
      <c r="F468">
        <v>7.22</v>
      </c>
      <c r="G468">
        <v>85</v>
      </c>
      <c r="H468">
        <v>23.5</v>
      </c>
      <c r="I468" s="13"/>
    </row>
    <row r="469" spans="3:9" ht="15.75" customHeight="1" x14ac:dyDescent="0.2">
      <c r="C469" s="16">
        <v>42954</v>
      </c>
      <c r="D469" s="185">
        <v>0.50694444444444442</v>
      </c>
      <c r="E469" s="3">
        <v>6</v>
      </c>
      <c r="F469">
        <v>7.2</v>
      </c>
      <c r="G469">
        <v>84.7</v>
      </c>
      <c r="H469">
        <v>23.5</v>
      </c>
      <c r="I469" s="13"/>
    </row>
    <row r="470" spans="3:9" ht="15.75" customHeight="1" x14ac:dyDescent="0.2">
      <c r="C470" s="16">
        <v>42954</v>
      </c>
      <c r="D470" s="185">
        <v>0.50694444444444442</v>
      </c>
      <c r="E470" s="3">
        <v>7</v>
      </c>
      <c r="F470">
        <v>7.21</v>
      </c>
      <c r="G470">
        <v>84.7</v>
      </c>
      <c r="H470">
        <v>23.4</v>
      </c>
      <c r="I470" s="13"/>
    </row>
    <row r="471" spans="3:9" ht="15.75" customHeight="1" x14ac:dyDescent="0.2">
      <c r="C471" s="16">
        <v>42954</v>
      </c>
      <c r="D471" s="185">
        <v>0.50694444444444442</v>
      </c>
      <c r="E471" s="3">
        <v>8</v>
      </c>
      <c r="F471">
        <v>7.28</v>
      </c>
      <c r="G471">
        <v>85</v>
      </c>
      <c r="H471">
        <v>23.1</v>
      </c>
      <c r="I471" s="13"/>
    </row>
    <row r="472" spans="3:9" ht="15.75" customHeight="1" x14ac:dyDescent="0.2">
      <c r="C472" s="16">
        <v>42954</v>
      </c>
      <c r="D472" s="185">
        <v>0.50694444444444442</v>
      </c>
      <c r="E472" s="3">
        <v>9</v>
      </c>
      <c r="F472">
        <v>8.4600000000000009</v>
      </c>
      <c r="G472">
        <v>90.6</v>
      </c>
      <c r="H472">
        <v>18.7</v>
      </c>
      <c r="I472" s="13"/>
    </row>
    <row r="473" spans="3:9" ht="15.75" customHeight="1" x14ac:dyDescent="0.2">
      <c r="C473" s="16">
        <v>42954</v>
      </c>
      <c r="D473" s="185">
        <v>0.50694444444444442</v>
      </c>
      <c r="E473" s="3">
        <v>11</v>
      </c>
      <c r="F473">
        <v>9.2100000000000009</v>
      </c>
      <c r="G473">
        <v>89.4</v>
      </c>
      <c r="H473">
        <v>14</v>
      </c>
      <c r="I473" s="13"/>
    </row>
    <row r="474" spans="3:9" ht="15.75" customHeight="1" x14ac:dyDescent="0.2">
      <c r="C474" s="16">
        <v>42954</v>
      </c>
      <c r="D474" s="185">
        <v>0.50694444444444442</v>
      </c>
      <c r="E474" s="3">
        <v>13</v>
      </c>
      <c r="F474">
        <v>9.34</v>
      </c>
      <c r="G474">
        <v>83.3</v>
      </c>
      <c r="H474">
        <v>10.3</v>
      </c>
      <c r="I474" s="13"/>
    </row>
    <row r="475" spans="3:9" ht="15.75" customHeight="1" x14ac:dyDescent="0.2">
      <c r="C475" s="16">
        <v>42954</v>
      </c>
      <c r="D475" s="185">
        <v>0.50694444444444442</v>
      </c>
      <c r="E475" s="3">
        <v>15</v>
      </c>
      <c r="F475">
        <v>9.2799999999999994</v>
      </c>
      <c r="G475">
        <v>79.099999999999994</v>
      </c>
      <c r="H475">
        <v>8.4</v>
      </c>
      <c r="I475" s="13"/>
    </row>
    <row r="476" spans="3:9" ht="15.75" customHeight="1" x14ac:dyDescent="0.2">
      <c r="C476" s="16">
        <v>42954</v>
      </c>
      <c r="D476" s="185">
        <v>0.50694444444444442</v>
      </c>
      <c r="E476" s="3">
        <v>17</v>
      </c>
      <c r="F476">
        <v>9.08</v>
      </c>
      <c r="G476">
        <v>76</v>
      </c>
      <c r="H476">
        <v>7.6</v>
      </c>
      <c r="I476" s="13"/>
    </row>
    <row r="477" spans="3:9" ht="15.75" customHeight="1" x14ac:dyDescent="0.2">
      <c r="C477" s="16">
        <v>42954</v>
      </c>
      <c r="D477" s="185">
        <v>0.50694444444444442</v>
      </c>
      <c r="E477" s="3">
        <v>19</v>
      </c>
      <c r="F477">
        <v>9.0299999999999994</v>
      </c>
      <c r="G477">
        <v>74.400000000000006</v>
      </c>
      <c r="H477">
        <v>7</v>
      </c>
      <c r="I477" s="13"/>
    </row>
    <row r="478" spans="3:9" ht="15.75" customHeight="1" x14ac:dyDescent="0.2">
      <c r="C478" s="16">
        <v>42954</v>
      </c>
      <c r="D478" s="185">
        <v>0.50694444444444442</v>
      </c>
      <c r="E478" s="3">
        <v>21</v>
      </c>
      <c r="F478">
        <v>8.92</v>
      </c>
      <c r="G478">
        <v>72.7</v>
      </c>
      <c r="H478">
        <v>6.6</v>
      </c>
      <c r="I478" s="13"/>
    </row>
    <row r="479" spans="3:9" ht="15.75" customHeight="1" x14ac:dyDescent="0.2">
      <c r="C479" s="16">
        <v>42954</v>
      </c>
      <c r="D479" s="185">
        <v>0.50694444444444442</v>
      </c>
      <c r="E479" s="3">
        <v>23</v>
      </c>
      <c r="F479">
        <v>8.7799999999999994</v>
      </c>
      <c r="G479">
        <v>70.7</v>
      </c>
      <c r="H479">
        <v>6.2</v>
      </c>
      <c r="I479" s="13"/>
    </row>
    <row r="480" spans="3:9" ht="15.75" customHeight="1" x14ac:dyDescent="0.2">
      <c r="C480" s="16">
        <v>42954</v>
      </c>
      <c r="D480" s="185">
        <v>0.50694444444444442</v>
      </c>
      <c r="E480" s="3">
        <v>25</v>
      </c>
      <c r="F480">
        <v>8.67</v>
      </c>
      <c r="G480">
        <v>69.400000000000006</v>
      </c>
      <c r="H480">
        <v>5.9</v>
      </c>
      <c r="I480" s="13"/>
    </row>
    <row r="481" spans="3:11" ht="15.75" customHeight="1" x14ac:dyDescent="0.2">
      <c r="C481" s="16">
        <v>42954</v>
      </c>
      <c r="D481" s="185">
        <v>0.50694444444444442</v>
      </c>
      <c r="E481" s="3">
        <v>27</v>
      </c>
      <c r="F481">
        <v>8.6199999999999992</v>
      </c>
      <c r="G481">
        <v>68.7</v>
      </c>
      <c r="H481">
        <v>5.7</v>
      </c>
      <c r="I481" s="13"/>
    </row>
    <row r="482" spans="3:11" ht="15.75" customHeight="1" x14ac:dyDescent="0.2">
      <c r="C482" s="16">
        <v>42954</v>
      </c>
      <c r="D482" s="185">
        <v>0.50694444444444442</v>
      </c>
      <c r="E482" s="3">
        <v>29</v>
      </c>
      <c r="F482">
        <v>8.56</v>
      </c>
      <c r="G482">
        <v>68</v>
      </c>
      <c r="H482">
        <v>5.6</v>
      </c>
      <c r="I482" s="13"/>
    </row>
    <row r="483" spans="3:11" ht="15.75" customHeight="1" x14ac:dyDescent="0.2">
      <c r="C483" s="16">
        <v>42954</v>
      </c>
      <c r="D483" s="185">
        <v>0.50694444444444442</v>
      </c>
      <c r="E483" s="3">
        <v>31</v>
      </c>
      <c r="F483">
        <v>8.51</v>
      </c>
      <c r="G483">
        <v>67.5</v>
      </c>
      <c r="H483">
        <v>5.5</v>
      </c>
      <c r="I483" s="13"/>
    </row>
    <row r="484" spans="3:11" ht="15.75" customHeight="1" x14ac:dyDescent="0.2">
      <c r="C484" s="16">
        <v>42954</v>
      </c>
      <c r="D484" s="185">
        <v>0.50694444444444442</v>
      </c>
      <c r="E484" s="3">
        <v>33</v>
      </c>
      <c r="F484">
        <v>8.4600000000000009</v>
      </c>
      <c r="G484">
        <v>66.900000000000006</v>
      </c>
      <c r="H484">
        <v>5.4</v>
      </c>
      <c r="I484" s="13"/>
    </row>
    <row r="485" spans="3:11" ht="15.75" customHeight="1" x14ac:dyDescent="0.2">
      <c r="C485" s="16">
        <v>42954</v>
      </c>
      <c r="D485" s="185">
        <v>0.50694444444444442</v>
      </c>
      <c r="E485" s="3">
        <v>35</v>
      </c>
      <c r="F485">
        <v>8.42</v>
      </c>
      <c r="G485">
        <v>66.400000000000006</v>
      </c>
      <c r="H485">
        <v>5.3</v>
      </c>
      <c r="I485" s="13"/>
    </row>
    <row r="486" spans="3:11" ht="15.75" customHeight="1" x14ac:dyDescent="0.2">
      <c r="C486" s="16">
        <v>42954</v>
      </c>
      <c r="D486" s="185">
        <v>0.50694444444444442</v>
      </c>
      <c r="E486" s="3">
        <v>37</v>
      </c>
      <c r="F486">
        <v>8.39</v>
      </c>
      <c r="G486">
        <v>66</v>
      </c>
      <c r="H486">
        <v>5.2</v>
      </c>
      <c r="I486" s="13"/>
    </row>
    <row r="487" spans="3:11" ht="15.75" customHeight="1" x14ac:dyDescent="0.2">
      <c r="C487" s="16">
        <v>42954</v>
      </c>
      <c r="D487" s="185">
        <v>0.50694444444444442</v>
      </c>
      <c r="E487" s="3">
        <v>39</v>
      </c>
      <c r="F487">
        <v>8.33</v>
      </c>
      <c r="G487">
        <v>65.5</v>
      </c>
      <c r="H487">
        <v>5.2</v>
      </c>
      <c r="I487" s="13"/>
    </row>
    <row r="488" spans="3:11" ht="15.75" customHeight="1" x14ac:dyDescent="0.2">
      <c r="C488" s="16">
        <v>42954</v>
      </c>
      <c r="D488" s="185">
        <v>0.50694444444444442</v>
      </c>
      <c r="E488" s="3">
        <v>41</v>
      </c>
      <c r="F488">
        <v>8.2200000000000006</v>
      </c>
      <c r="G488">
        <v>64.400000000000006</v>
      </c>
      <c r="H488">
        <v>5.0999999999999996</v>
      </c>
      <c r="I488" s="13"/>
    </row>
    <row r="489" spans="3:11" ht="15.75" customHeight="1" x14ac:dyDescent="0.2">
      <c r="C489" s="16"/>
      <c r="E489" s="3"/>
      <c r="H489" s="1"/>
      <c r="I489" s="13"/>
    </row>
    <row r="490" spans="3:11" ht="15.75" customHeight="1" x14ac:dyDescent="0.2">
      <c r="C490" s="16">
        <v>42989</v>
      </c>
      <c r="D490" s="185">
        <v>0.48958333333333331</v>
      </c>
      <c r="E490" s="3"/>
      <c r="H490" s="1"/>
      <c r="I490" s="13"/>
      <c r="J490">
        <v>12</v>
      </c>
      <c r="K490">
        <v>13.75</v>
      </c>
    </row>
    <row r="491" spans="3:11" ht="15.75" customHeight="1" x14ac:dyDescent="0.2">
      <c r="C491" s="16">
        <v>42989</v>
      </c>
      <c r="D491" s="185">
        <v>0.48958333333333331</v>
      </c>
      <c r="E491" s="3">
        <v>0.1</v>
      </c>
      <c r="F491">
        <v>7.65</v>
      </c>
      <c r="G491">
        <v>85.4</v>
      </c>
      <c r="H491">
        <v>20.8</v>
      </c>
      <c r="I491" s="13"/>
    </row>
    <row r="492" spans="3:11" ht="15.75" customHeight="1" x14ac:dyDescent="0.2">
      <c r="C492" s="16">
        <v>42989</v>
      </c>
      <c r="D492" s="185">
        <v>0.48958333333333331</v>
      </c>
      <c r="E492" s="3">
        <v>1</v>
      </c>
      <c r="F492">
        <v>7.64</v>
      </c>
      <c r="G492">
        <v>85.2</v>
      </c>
      <c r="H492">
        <v>20.7</v>
      </c>
      <c r="I492" s="13"/>
    </row>
    <row r="493" spans="3:11" ht="15.75" customHeight="1" x14ac:dyDescent="0.2">
      <c r="C493" s="16">
        <v>42989</v>
      </c>
      <c r="D493" s="185">
        <v>0.48958333333333331</v>
      </c>
      <c r="E493" s="3">
        <v>2</v>
      </c>
      <c r="F493">
        <v>7.66</v>
      </c>
      <c r="G493">
        <v>85.1</v>
      </c>
      <c r="H493">
        <v>20.5</v>
      </c>
      <c r="I493" s="13"/>
    </row>
    <row r="494" spans="3:11" ht="15.75" customHeight="1" x14ac:dyDescent="0.2">
      <c r="C494" s="16">
        <v>42989</v>
      </c>
      <c r="D494" s="185">
        <v>0.48958333333333331</v>
      </c>
      <c r="E494" s="3">
        <v>3</v>
      </c>
      <c r="F494">
        <v>7.65</v>
      </c>
      <c r="G494">
        <v>85</v>
      </c>
      <c r="H494">
        <v>20.5</v>
      </c>
      <c r="I494" s="13"/>
    </row>
    <row r="495" spans="3:11" ht="15.75" customHeight="1" x14ac:dyDescent="0.2">
      <c r="C495" s="16">
        <v>42989</v>
      </c>
      <c r="D495" s="185">
        <v>0.48958333333333331</v>
      </c>
      <c r="E495" s="3">
        <v>4</v>
      </c>
      <c r="F495">
        <v>7.64</v>
      </c>
      <c r="G495">
        <v>84.8</v>
      </c>
      <c r="H495">
        <v>20.5</v>
      </c>
      <c r="I495" s="13"/>
    </row>
    <row r="496" spans="3:11" ht="15.75" customHeight="1" x14ac:dyDescent="0.2">
      <c r="C496" s="16">
        <v>42989</v>
      </c>
      <c r="D496" s="185">
        <v>0.48958333333333331</v>
      </c>
      <c r="E496" s="3">
        <v>5</v>
      </c>
      <c r="F496">
        <v>7.64</v>
      </c>
      <c r="G496">
        <v>84.7</v>
      </c>
      <c r="H496">
        <v>20.399999999999999</v>
      </c>
      <c r="I496" s="13"/>
    </row>
    <row r="497" spans="3:9" ht="15.75" customHeight="1" x14ac:dyDescent="0.2">
      <c r="C497" s="16">
        <v>42989</v>
      </c>
      <c r="D497" s="185">
        <v>0.48958333333333331</v>
      </c>
      <c r="E497" s="3">
        <v>6</v>
      </c>
      <c r="F497">
        <v>7.63</v>
      </c>
      <c r="G497">
        <v>84.5</v>
      </c>
      <c r="H497">
        <v>20.399999999999999</v>
      </c>
      <c r="I497" s="13"/>
    </row>
    <row r="498" spans="3:9" ht="15.75" customHeight="1" x14ac:dyDescent="0.2">
      <c r="C498" s="16">
        <v>42989</v>
      </c>
      <c r="D498" s="185">
        <v>0.48958333333333331</v>
      </c>
      <c r="E498" s="3">
        <v>7</v>
      </c>
      <c r="F498">
        <v>7.61</v>
      </c>
      <c r="G498">
        <v>84.4</v>
      </c>
      <c r="H498">
        <v>20.399999999999999</v>
      </c>
      <c r="I498" s="13"/>
    </row>
    <row r="499" spans="3:9" ht="15.75" customHeight="1" x14ac:dyDescent="0.2">
      <c r="C499" s="16">
        <v>42989</v>
      </c>
      <c r="D499" s="185">
        <v>0.48958333333333331</v>
      </c>
      <c r="E499" s="3">
        <v>8</v>
      </c>
      <c r="F499">
        <v>7.59</v>
      </c>
      <c r="G499">
        <v>84.2</v>
      </c>
      <c r="H499">
        <v>20.399999999999999</v>
      </c>
      <c r="I499" s="13"/>
    </row>
    <row r="500" spans="3:9" ht="15.75" customHeight="1" x14ac:dyDescent="0.2">
      <c r="C500" s="16">
        <v>42989</v>
      </c>
      <c r="D500" s="185">
        <v>0.48958333333333331</v>
      </c>
      <c r="E500" s="3">
        <v>9</v>
      </c>
      <c r="F500">
        <v>7.74</v>
      </c>
      <c r="G500">
        <v>85</v>
      </c>
      <c r="H500">
        <v>19.899999999999999</v>
      </c>
      <c r="I500" s="13"/>
    </row>
    <row r="501" spans="3:9" ht="15.75" customHeight="1" x14ac:dyDescent="0.2">
      <c r="C501" s="16">
        <v>42989</v>
      </c>
      <c r="D501" s="185">
        <v>0.48958333333333331</v>
      </c>
      <c r="E501" s="3">
        <v>10</v>
      </c>
      <c r="F501">
        <v>8.0500000000000007</v>
      </c>
      <c r="G501">
        <v>86.7</v>
      </c>
      <c r="H501">
        <v>18.899999999999999</v>
      </c>
      <c r="I501" s="13"/>
    </row>
    <row r="502" spans="3:9" ht="15.75" customHeight="1" x14ac:dyDescent="0.2">
      <c r="C502" s="16">
        <v>42989</v>
      </c>
      <c r="D502" s="185">
        <v>0.48958333333333331</v>
      </c>
      <c r="E502" s="3">
        <v>11</v>
      </c>
      <c r="F502">
        <v>8.92</v>
      </c>
      <c r="G502">
        <v>91.4</v>
      </c>
      <c r="H502">
        <v>16.600000000000001</v>
      </c>
      <c r="I502" s="13"/>
    </row>
    <row r="503" spans="3:9" ht="15.75" customHeight="1" x14ac:dyDescent="0.2">
      <c r="C503" s="16">
        <v>42989</v>
      </c>
      <c r="D503" s="185">
        <v>0.48958333333333331</v>
      </c>
      <c r="E503" s="3">
        <v>13</v>
      </c>
      <c r="F503">
        <v>9.6300000000000008</v>
      </c>
      <c r="G503">
        <v>87.3</v>
      </c>
      <c r="H503">
        <v>11</v>
      </c>
      <c r="I503" s="13"/>
    </row>
    <row r="504" spans="3:9" ht="15.75" customHeight="1" x14ac:dyDescent="0.2">
      <c r="C504" s="16">
        <v>42989</v>
      </c>
      <c r="D504" s="185">
        <v>0.48958333333333331</v>
      </c>
      <c r="E504" s="3">
        <v>15</v>
      </c>
      <c r="F504">
        <v>9.36</v>
      </c>
      <c r="G504">
        <v>80.2</v>
      </c>
      <c r="H504">
        <v>8.6999999999999993</v>
      </c>
      <c r="I504" s="13"/>
    </row>
    <row r="505" spans="3:9" ht="15.75" customHeight="1" x14ac:dyDescent="0.2">
      <c r="C505" s="16">
        <v>42989</v>
      </c>
      <c r="D505" s="185">
        <v>0.48958333333333331</v>
      </c>
      <c r="E505" s="3">
        <v>17</v>
      </c>
      <c r="F505">
        <v>9.23</v>
      </c>
      <c r="G505">
        <v>77.3</v>
      </c>
      <c r="H505">
        <v>7.7</v>
      </c>
      <c r="I505" s="13"/>
    </row>
    <row r="506" spans="3:9" ht="15.75" customHeight="1" x14ac:dyDescent="0.2">
      <c r="C506" s="16">
        <v>42989</v>
      </c>
      <c r="D506" s="185">
        <v>0.48958333333333331</v>
      </c>
      <c r="E506" s="3">
        <v>19</v>
      </c>
      <c r="F506">
        <v>9.01</v>
      </c>
      <c r="G506">
        <v>74.400000000000006</v>
      </c>
      <c r="H506">
        <v>7.2</v>
      </c>
      <c r="I506" s="13"/>
    </row>
    <row r="507" spans="3:9" ht="15.75" customHeight="1" x14ac:dyDescent="0.2">
      <c r="C507" s="16">
        <v>42989</v>
      </c>
      <c r="D507" s="185">
        <v>0.48958333333333331</v>
      </c>
      <c r="E507" s="3">
        <v>21</v>
      </c>
      <c r="F507">
        <v>8.84</v>
      </c>
      <c r="G507">
        <v>72.5</v>
      </c>
      <c r="H507">
        <v>6.9</v>
      </c>
      <c r="I507" s="13"/>
    </row>
    <row r="508" spans="3:9" ht="15.75" customHeight="1" x14ac:dyDescent="0.2">
      <c r="C508" s="16">
        <v>42989</v>
      </c>
      <c r="D508" s="185">
        <v>0.48958333333333331</v>
      </c>
      <c r="E508" s="3">
        <v>23</v>
      </c>
      <c r="F508">
        <v>8.51</v>
      </c>
      <c r="G508">
        <v>69.400000000000006</v>
      </c>
      <c r="H508">
        <v>6.6</v>
      </c>
      <c r="I508" s="13"/>
    </row>
    <row r="509" spans="3:9" ht="15.75" customHeight="1" x14ac:dyDescent="0.2">
      <c r="C509" s="16">
        <v>42989</v>
      </c>
      <c r="D509" s="185">
        <v>0.48958333333333331</v>
      </c>
      <c r="E509" s="3">
        <v>25</v>
      </c>
      <c r="F509">
        <v>8.3800000000000008</v>
      </c>
      <c r="G509">
        <v>68</v>
      </c>
      <c r="H509">
        <v>6.4</v>
      </c>
      <c r="I509" s="13"/>
    </row>
    <row r="510" spans="3:9" ht="15.75" customHeight="1" x14ac:dyDescent="0.2">
      <c r="C510" s="16">
        <v>42989</v>
      </c>
      <c r="D510" s="185">
        <v>0.48958333333333331</v>
      </c>
      <c r="E510" s="3">
        <v>27</v>
      </c>
      <c r="F510">
        <v>8.36</v>
      </c>
      <c r="G510">
        <v>67.3</v>
      </c>
      <c r="H510">
        <v>6.1</v>
      </c>
      <c r="I510" s="13"/>
    </row>
    <row r="511" spans="3:9" ht="15.75" customHeight="1" x14ac:dyDescent="0.2">
      <c r="C511" s="16">
        <v>42989</v>
      </c>
      <c r="D511" s="185">
        <v>0.48958333333333331</v>
      </c>
      <c r="E511" s="3">
        <v>29</v>
      </c>
      <c r="F511">
        <v>8.31</v>
      </c>
      <c r="G511">
        <v>66.7</v>
      </c>
      <c r="H511">
        <v>6</v>
      </c>
      <c r="I511" s="13"/>
    </row>
    <row r="512" spans="3:9" ht="15.75" customHeight="1" x14ac:dyDescent="0.2">
      <c r="C512" s="16">
        <v>42989</v>
      </c>
      <c r="D512" s="185">
        <v>0.48958333333333331</v>
      </c>
      <c r="E512" s="3">
        <v>31</v>
      </c>
      <c r="F512">
        <v>8.2899999999999991</v>
      </c>
      <c r="G512">
        <v>66.2</v>
      </c>
      <c r="H512">
        <v>5.8</v>
      </c>
      <c r="I512" s="13"/>
    </row>
    <row r="513" spans="3:11" ht="15.75" customHeight="1" x14ac:dyDescent="0.2">
      <c r="C513" s="16">
        <v>42989</v>
      </c>
      <c r="D513" s="185">
        <v>0.48958333333333331</v>
      </c>
      <c r="E513" s="3">
        <v>33</v>
      </c>
      <c r="F513">
        <v>8.27</v>
      </c>
      <c r="G513">
        <v>65.900000000000006</v>
      </c>
      <c r="H513">
        <v>5.7</v>
      </c>
      <c r="I513" s="13"/>
    </row>
    <row r="514" spans="3:11" ht="15.75" customHeight="1" x14ac:dyDescent="0.2">
      <c r="C514" s="16">
        <v>42989</v>
      </c>
      <c r="D514" s="185">
        <v>0.48958333333333331</v>
      </c>
      <c r="E514" s="3">
        <v>35</v>
      </c>
      <c r="F514">
        <v>8.25</v>
      </c>
      <c r="G514">
        <v>65.5</v>
      </c>
      <c r="H514">
        <v>5.6</v>
      </c>
      <c r="I514" s="13"/>
    </row>
    <row r="515" spans="3:11" ht="15.75" customHeight="1" x14ac:dyDescent="0.2">
      <c r="C515" s="16">
        <v>42989</v>
      </c>
      <c r="D515" s="185">
        <v>0.48958333333333331</v>
      </c>
      <c r="E515" s="3">
        <v>37</v>
      </c>
      <c r="F515">
        <v>8.1999999999999993</v>
      </c>
      <c r="G515">
        <v>65</v>
      </c>
      <c r="H515">
        <v>5.5</v>
      </c>
      <c r="I515" s="13"/>
    </row>
    <row r="516" spans="3:11" ht="15.75" customHeight="1" x14ac:dyDescent="0.2">
      <c r="C516" s="16">
        <v>42989</v>
      </c>
      <c r="D516" s="185">
        <v>0.48958333333333331</v>
      </c>
      <c r="E516" s="3">
        <v>39</v>
      </c>
      <c r="F516">
        <v>8.15</v>
      </c>
      <c r="G516">
        <v>64.5</v>
      </c>
      <c r="H516">
        <v>5.4</v>
      </c>
      <c r="I516" s="13"/>
    </row>
    <row r="517" spans="3:11" ht="15.75" customHeight="1" x14ac:dyDescent="0.2">
      <c r="C517" s="16">
        <v>42989</v>
      </c>
      <c r="D517" s="185">
        <v>0.48958333333333331</v>
      </c>
      <c r="E517" s="3">
        <v>41</v>
      </c>
      <c r="F517">
        <v>8.1</v>
      </c>
      <c r="G517">
        <v>63.9</v>
      </c>
      <c r="H517">
        <v>5.3</v>
      </c>
      <c r="I517" s="13"/>
    </row>
    <row r="518" spans="3:11" ht="15.75" customHeight="1" x14ac:dyDescent="0.2">
      <c r="C518" s="16">
        <v>42989</v>
      </c>
      <c r="D518" s="185">
        <v>0.48958333333333331</v>
      </c>
      <c r="E518" s="3">
        <v>43</v>
      </c>
      <c r="F518">
        <v>7.53</v>
      </c>
      <c r="G518">
        <v>59.3</v>
      </c>
      <c r="H518">
        <v>5.2</v>
      </c>
      <c r="I518" s="13"/>
    </row>
    <row r="519" spans="3:11" ht="15.75" customHeight="1" x14ac:dyDescent="0.2">
      <c r="C519" s="16"/>
      <c r="E519" s="3"/>
      <c r="H519" s="1"/>
      <c r="I519" s="13"/>
    </row>
    <row r="520" spans="3:11" ht="15.75" customHeight="1" x14ac:dyDescent="0.2">
      <c r="C520" s="16">
        <v>43018</v>
      </c>
      <c r="D520" s="185">
        <v>0.49305555555555558</v>
      </c>
      <c r="E520" s="3"/>
      <c r="H520" s="1"/>
      <c r="I520" s="13"/>
      <c r="J520">
        <v>10</v>
      </c>
      <c r="K520">
        <v>14</v>
      </c>
    </row>
    <row r="521" spans="3:11" ht="15.75" customHeight="1" x14ac:dyDescent="0.2">
      <c r="C521" s="16">
        <v>43018</v>
      </c>
      <c r="D521" s="185">
        <v>0.5</v>
      </c>
      <c r="E521" s="3">
        <v>0.1</v>
      </c>
      <c r="F521">
        <v>8.7100000000000009</v>
      </c>
      <c r="G521">
        <v>83.9</v>
      </c>
      <c r="H521">
        <v>13.7</v>
      </c>
      <c r="I521" s="13"/>
    </row>
    <row r="522" spans="3:11" ht="15.75" customHeight="1" x14ac:dyDescent="0.2">
      <c r="C522" s="16">
        <v>43018</v>
      </c>
      <c r="D522" s="185">
        <v>0.5</v>
      </c>
      <c r="E522" s="3">
        <v>1</v>
      </c>
      <c r="F522">
        <v>8.64</v>
      </c>
      <c r="G522">
        <v>83.4</v>
      </c>
      <c r="H522">
        <v>13.8</v>
      </c>
      <c r="I522" s="13"/>
    </row>
    <row r="523" spans="3:11" ht="15.75" customHeight="1" x14ac:dyDescent="0.2">
      <c r="C523" s="16">
        <v>43018</v>
      </c>
      <c r="D523" s="185">
        <v>0.5</v>
      </c>
      <c r="E523" s="3">
        <v>2</v>
      </c>
      <c r="F523">
        <v>8.61</v>
      </c>
      <c r="G523">
        <v>83.2</v>
      </c>
      <c r="H523">
        <v>13.8</v>
      </c>
      <c r="I523" s="13"/>
    </row>
    <row r="524" spans="3:11" ht="15.75" customHeight="1" x14ac:dyDescent="0.2">
      <c r="C524" s="16">
        <v>43018</v>
      </c>
      <c r="D524" s="185">
        <v>0.5</v>
      </c>
      <c r="E524" s="3">
        <v>3</v>
      </c>
      <c r="F524">
        <v>8.59</v>
      </c>
      <c r="G524">
        <v>83</v>
      </c>
      <c r="H524">
        <v>13.8</v>
      </c>
      <c r="I524" s="13"/>
    </row>
    <row r="525" spans="3:11" ht="15.75" customHeight="1" x14ac:dyDescent="0.2">
      <c r="C525" s="16">
        <v>43018</v>
      </c>
      <c r="D525" s="185">
        <v>0.5</v>
      </c>
      <c r="E525" s="3">
        <v>4</v>
      </c>
      <c r="F525">
        <v>8.56</v>
      </c>
      <c r="G525">
        <v>82.9</v>
      </c>
      <c r="H525">
        <v>13.9</v>
      </c>
      <c r="I525" s="13"/>
    </row>
    <row r="526" spans="3:11" ht="15.75" customHeight="1" x14ac:dyDescent="0.2">
      <c r="C526" s="16">
        <v>43018</v>
      </c>
      <c r="D526" s="185">
        <v>0.5</v>
      </c>
      <c r="E526" s="3">
        <v>5</v>
      </c>
      <c r="F526">
        <v>8.56</v>
      </c>
      <c r="G526">
        <v>82.6</v>
      </c>
      <c r="H526">
        <v>13.8</v>
      </c>
      <c r="I526" s="13"/>
    </row>
    <row r="527" spans="3:11" ht="15.75" customHeight="1" x14ac:dyDescent="0.2">
      <c r="C527" s="16">
        <v>43018</v>
      </c>
      <c r="D527" s="185">
        <v>0.5</v>
      </c>
      <c r="E527" s="3">
        <v>6</v>
      </c>
      <c r="F527">
        <v>8.5399999999999991</v>
      </c>
      <c r="G527">
        <v>82.5</v>
      </c>
      <c r="H527">
        <v>13.8</v>
      </c>
      <c r="I527" s="13"/>
    </row>
    <row r="528" spans="3:11" ht="15.75" customHeight="1" x14ac:dyDescent="0.2">
      <c r="C528" s="16">
        <v>43018</v>
      </c>
      <c r="D528" s="185">
        <v>0.5</v>
      </c>
      <c r="E528" s="3">
        <v>7</v>
      </c>
      <c r="F528">
        <v>8.52</v>
      </c>
      <c r="G528">
        <v>82.3</v>
      </c>
      <c r="H528">
        <v>13.9</v>
      </c>
      <c r="I528" s="13"/>
    </row>
    <row r="529" spans="3:9" ht="15.75" customHeight="1" x14ac:dyDescent="0.2">
      <c r="C529" s="16">
        <v>43018</v>
      </c>
      <c r="D529" s="185">
        <v>0.5</v>
      </c>
      <c r="E529" s="3">
        <v>8</v>
      </c>
      <c r="F529">
        <v>8.5</v>
      </c>
      <c r="G529">
        <v>82.1</v>
      </c>
      <c r="H529">
        <v>13.8</v>
      </c>
      <c r="I529" s="13"/>
    </row>
    <row r="530" spans="3:9" ht="15.75" customHeight="1" x14ac:dyDescent="0.2">
      <c r="C530" s="16">
        <v>43018</v>
      </c>
      <c r="D530" s="185">
        <v>0.5</v>
      </c>
      <c r="E530" s="3">
        <v>9</v>
      </c>
      <c r="F530">
        <v>8.49</v>
      </c>
      <c r="G530">
        <v>82</v>
      </c>
      <c r="H530">
        <v>13.8</v>
      </c>
      <c r="I530" s="13"/>
    </row>
    <row r="531" spans="3:9" ht="15.75" customHeight="1" x14ac:dyDescent="0.2">
      <c r="C531" s="16">
        <v>43018</v>
      </c>
      <c r="D531" s="185">
        <v>0.5</v>
      </c>
      <c r="E531" s="3">
        <v>10</v>
      </c>
      <c r="F531">
        <v>8.4700000000000006</v>
      </c>
      <c r="G531">
        <v>81.8</v>
      </c>
      <c r="H531">
        <v>13.8</v>
      </c>
      <c r="I531" s="13"/>
    </row>
    <row r="532" spans="3:9" ht="15.75" customHeight="1" x14ac:dyDescent="0.2">
      <c r="C532" s="16">
        <v>43018</v>
      </c>
      <c r="D532" s="185">
        <v>0.5</v>
      </c>
      <c r="E532" s="3">
        <v>11</v>
      </c>
      <c r="F532">
        <v>8.4600000000000009</v>
      </c>
      <c r="G532">
        <v>81.7</v>
      </c>
      <c r="H532">
        <v>13.8</v>
      </c>
      <c r="I532" s="13"/>
    </row>
    <row r="533" spans="3:9" ht="15.75" customHeight="1" x14ac:dyDescent="0.2">
      <c r="C533" s="16">
        <v>43018</v>
      </c>
      <c r="D533" s="185">
        <v>0.5</v>
      </c>
      <c r="E533" s="3">
        <v>12</v>
      </c>
      <c r="F533">
        <v>8.44</v>
      </c>
      <c r="G533">
        <v>81.5</v>
      </c>
      <c r="H533">
        <v>13.8</v>
      </c>
      <c r="I533" s="13"/>
    </row>
    <row r="534" spans="3:9" ht="15.75" customHeight="1" x14ac:dyDescent="0.2">
      <c r="C534" s="16">
        <v>43018</v>
      </c>
      <c r="D534" s="185">
        <v>0.5</v>
      </c>
      <c r="E534" s="3">
        <v>13</v>
      </c>
      <c r="F534">
        <v>8.42</v>
      </c>
      <c r="G534">
        <v>81.400000000000006</v>
      </c>
      <c r="H534">
        <v>13.8</v>
      </c>
      <c r="I534" s="13"/>
    </row>
    <row r="535" spans="3:9" ht="15.75" customHeight="1" x14ac:dyDescent="0.2">
      <c r="C535" s="16">
        <v>43018</v>
      </c>
      <c r="D535" s="185">
        <v>0.5</v>
      </c>
      <c r="E535" s="3">
        <v>14</v>
      </c>
      <c r="F535">
        <v>8.39</v>
      </c>
      <c r="G535">
        <v>81</v>
      </c>
      <c r="H535">
        <v>13.8</v>
      </c>
      <c r="I535" s="13"/>
    </row>
    <row r="536" spans="3:9" ht="15.75" customHeight="1" x14ac:dyDescent="0.2">
      <c r="C536" s="16">
        <v>43018</v>
      </c>
      <c r="D536" s="185">
        <v>0.5</v>
      </c>
      <c r="E536" s="3">
        <v>15</v>
      </c>
      <c r="F536">
        <v>8.6999999999999993</v>
      </c>
      <c r="G536">
        <v>80.8</v>
      </c>
      <c r="H536">
        <v>12</v>
      </c>
      <c r="I536" s="13"/>
    </row>
    <row r="537" spans="3:9" ht="15.75" customHeight="1" x14ac:dyDescent="0.2">
      <c r="C537" s="16">
        <v>43018</v>
      </c>
      <c r="D537" s="185">
        <v>0.5</v>
      </c>
      <c r="E537" s="3">
        <v>16</v>
      </c>
      <c r="F537">
        <v>8.86</v>
      </c>
      <c r="G537">
        <v>76.400000000000006</v>
      </c>
      <c r="H537">
        <v>8.8000000000000007</v>
      </c>
      <c r="I537" s="13"/>
    </row>
    <row r="538" spans="3:9" ht="15.75" customHeight="1" x14ac:dyDescent="0.2">
      <c r="C538" s="16">
        <v>43018</v>
      </c>
      <c r="D538" s="185">
        <v>0.5</v>
      </c>
      <c r="E538" s="3">
        <v>18</v>
      </c>
      <c r="F538">
        <v>8.76</v>
      </c>
      <c r="G538">
        <v>73</v>
      </c>
      <c r="H538">
        <v>7.6</v>
      </c>
      <c r="I538" s="13"/>
    </row>
    <row r="539" spans="3:9" ht="15.75" customHeight="1" x14ac:dyDescent="0.2">
      <c r="C539" s="16">
        <v>43018</v>
      </c>
      <c r="D539" s="185">
        <v>0.5</v>
      </c>
      <c r="E539" s="3">
        <v>20</v>
      </c>
      <c r="F539">
        <v>8.6</v>
      </c>
      <c r="G539">
        <v>70.900000000000006</v>
      </c>
      <c r="H539">
        <v>7.1</v>
      </c>
      <c r="I539" s="13"/>
    </row>
    <row r="540" spans="3:9" ht="15.75" customHeight="1" x14ac:dyDescent="0.2">
      <c r="C540" s="16">
        <v>43018</v>
      </c>
      <c r="D540" s="185">
        <v>0.5</v>
      </c>
      <c r="E540" s="3">
        <v>22</v>
      </c>
      <c r="F540">
        <v>8.4700000000000006</v>
      </c>
      <c r="G540">
        <v>69.2</v>
      </c>
      <c r="H540">
        <v>6.7</v>
      </c>
      <c r="I540" s="13"/>
    </row>
    <row r="541" spans="3:9" ht="15.75" customHeight="1" x14ac:dyDescent="0.2">
      <c r="C541" s="16">
        <v>43018</v>
      </c>
      <c r="D541" s="185">
        <v>0.5</v>
      </c>
      <c r="E541" s="3">
        <v>24</v>
      </c>
      <c r="F541">
        <v>8.41</v>
      </c>
      <c r="G541">
        <v>68.5</v>
      </c>
      <c r="H541">
        <v>6.6</v>
      </c>
      <c r="I541" s="13"/>
    </row>
    <row r="542" spans="3:9" ht="15.75" customHeight="1" x14ac:dyDescent="0.2">
      <c r="C542" s="16">
        <v>43018</v>
      </c>
      <c r="D542" s="185">
        <v>0.5</v>
      </c>
      <c r="E542" s="3">
        <v>26</v>
      </c>
      <c r="F542">
        <v>8.34</v>
      </c>
      <c r="G542">
        <v>67.5</v>
      </c>
      <c r="H542">
        <v>6.4</v>
      </c>
      <c r="I542" s="13"/>
    </row>
    <row r="543" spans="3:9" ht="15.75" customHeight="1" x14ac:dyDescent="0.2">
      <c r="C543" s="16">
        <v>43018</v>
      </c>
      <c r="D543" s="185">
        <v>0.5</v>
      </c>
      <c r="E543" s="3">
        <v>28</v>
      </c>
      <c r="F543">
        <v>8.2799999999999994</v>
      </c>
      <c r="G543">
        <v>66.8</v>
      </c>
      <c r="H543">
        <v>6.2</v>
      </c>
      <c r="I543" s="13"/>
    </row>
    <row r="544" spans="3:9" ht="15.75" customHeight="1" x14ac:dyDescent="0.2">
      <c r="C544" s="16">
        <v>43018</v>
      </c>
      <c r="D544" s="185">
        <v>0.5</v>
      </c>
      <c r="E544" s="3">
        <v>30</v>
      </c>
      <c r="F544">
        <v>8.2200000000000006</v>
      </c>
      <c r="G544">
        <v>66.2</v>
      </c>
      <c r="H544">
        <v>6.1</v>
      </c>
      <c r="I544" s="13"/>
    </row>
    <row r="545" spans="3:9" ht="15.75" customHeight="1" x14ac:dyDescent="0.2">
      <c r="C545" s="16">
        <v>43018</v>
      </c>
      <c r="D545" s="185">
        <v>0.5</v>
      </c>
      <c r="E545" s="3">
        <v>32</v>
      </c>
      <c r="F545">
        <v>8.17</v>
      </c>
      <c r="G545">
        <v>65.3</v>
      </c>
      <c r="H545">
        <v>5.9</v>
      </c>
      <c r="I545" s="13"/>
    </row>
    <row r="546" spans="3:9" ht="15.75" customHeight="1" x14ac:dyDescent="0.2">
      <c r="C546" s="16">
        <v>43018</v>
      </c>
      <c r="D546" s="185">
        <v>0.5</v>
      </c>
      <c r="E546" s="3">
        <v>34</v>
      </c>
      <c r="F546">
        <v>8.09</v>
      </c>
      <c r="G546">
        <v>64.599999999999994</v>
      </c>
      <c r="H546">
        <v>5.8</v>
      </c>
      <c r="I546" s="13"/>
    </row>
    <row r="547" spans="3:9" ht="15.75" customHeight="1" x14ac:dyDescent="0.2">
      <c r="C547" s="16">
        <v>43018</v>
      </c>
      <c r="D547" s="185">
        <v>0.5</v>
      </c>
      <c r="E547" s="3">
        <v>36</v>
      </c>
      <c r="F547">
        <v>8.07</v>
      </c>
      <c r="G547">
        <v>64.3</v>
      </c>
      <c r="H547">
        <v>5.7</v>
      </c>
      <c r="I547" s="13"/>
    </row>
    <row r="548" spans="3:9" ht="15.75" customHeight="1" x14ac:dyDescent="0.2">
      <c r="C548" s="16">
        <v>43018</v>
      </c>
      <c r="D548" s="185">
        <v>0.5</v>
      </c>
      <c r="E548" s="3">
        <v>38</v>
      </c>
      <c r="F548">
        <v>8.0399999999999991</v>
      </c>
      <c r="G548">
        <v>64.099999999999994</v>
      </c>
      <c r="H548">
        <v>5.7</v>
      </c>
      <c r="I548" s="13"/>
    </row>
    <row r="549" spans="3:9" ht="15.75" customHeight="1" x14ac:dyDescent="0.2">
      <c r="C549" s="16">
        <v>43018</v>
      </c>
      <c r="D549" s="185">
        <v>0.5</v>
      </c>
      <c r="E549" s="3">
        <v>40</v>
      </c>
      <c r="F549">
        <v>8.0399999999999991</v>
      </c>
      <c r="G549">
        <v>63.7</v>
      </c>
      <c r="H549">
        <v>5.5</v>
      </c>
      <c r="I549" s="13"/>
    </row>
    <row r="550" spans="3:9" ht="15.75" customHeight="1" x14ac:dyDescent="0.2">
      <c r="C550" s="16">
        <v>43018</v>
      </c>
      <c r="D550" s="185">
        <v>0.5</v>
      </c>
      <c r="E550" s="3">
        <v>42</v>
      </c>
      <c r="F550">
        <v>7.99</v>
      </c>
      <c r="G550">
        <v>63.1</v>
      </c>
      <c r="H550">
        <v>5.4</v>
      </c>
      <c r="I550" s="13"/>
    </row>
    <row r="551" spans="3:9" ht="15.75" customHeight="1" x14ac:dyDescent="0.2">
      <c r="C551" s="16">
        <v>43018</v>
      </c>
      <c r="D551" s="185">
        <v>0.5</v>
      </c>
      <c r="E551" s="3">
        <v>44</v>
      </c>
      <c r="F551">
        <v>7.6</v>
      </c>
      <c r="G551">
        <v>61</v>
      </c>
      <c r="H551">
        <v>5.4</v>
      </c>
      <c r="I551" s="13"/>
    </row>
    <row r="552" spans="3:9" ht="15.75" customHeight="1" x14ac:dyDescent="0.2">
      <c r="C552" s="16"/>
      <c r="E552" s="3"/>
      <c r="H552" s="1"/>
      <c r="I552" s="13"/>
    </row>
    <row r="553" spans="3:9" ht="15.75" customHeight="1" x14ac:dyDescent="0.2">
      <c r="C553" s="16"/>
      <c r="E553" s="3"/>
      <c r="H553" s="1"/>
      <c r="I553" s="13"/>
    </row>
    <row r="554" spans="3:9" ht="15.75" customHeight="1" x14ac:dyDescent="0.2">
      <c r="C554" s="16"/>
      <c r="E554" s="3"/>
      <c r="H554" s="1"/>
      <c r="I554" s="13"/>
    </row>
    <row r="555" spans="3:9" ht="15.75" customHeight="1" x14ac:dyDescent="0.2">
      <c r="C555" s="16"/>
      <c r="E555" s="3"/>
      <c r="H555" s="1"/>
      <c r="I555" s="13"/>
    </row>
    <row r="556" spans="3:9" ht="15.75" customHeight="1" x14ac:dyDescent="0.2">
      <c r="C556" s="16"/>
      <c r="E556" s="3"/>
      <c r="H556" s="1"/>
      <c r="I556" s="13"/>
    </row>
    <row r="557" spans="3:9" ht="15.75" customHeight="1" x14ac:dyDescent="0.2">
      <c r="C557" s="16"/>
      <c r="E557" s="3"/>
      <c r="H557" s="1"/>
      <c r="I557" s="13"/>
    </row>
    <row r="558" spans="3:9" ht="15.75" customHeight="1" x14ac:dyDescent="0.2">
      <c r="C558" s="16"/>
      <c r="E558" s="3"/>
      <c r="H558" s="1"/>
      <c r="I558" s="13"/>
    </row>
    <row r="559" spans="3:9" ht="15.75" customHeight="1" x14ac:dyDescent="0.2">
      <c r="C559" s="16"/>
      <c r="E559" s="3"/>
      <c r="H559" s="1"/>
      <c r="I559" s="13"/>
    </row>
    <row r="560" spans="3:9" ht="15.75" customHeight="1" x14ac:dyDescent="0.2">
      <c r="C560" s="16"/>
      <c r="E560" s="3"/>
      <c r="H560" s="1"/>
      <c r="I560" s="13"/>
    </row>
    <row r="561" spans="3:11" ht="15.75" customHeight="1" x14ac:dyDescent="0.2">
      <c r="C561" s="16"/>
      <c r="E561" s="3"/>
      <c r="H561" s="1"/>
      <c r="I561" s="13"/>
    </row>
    <row r="562" spans="3:11" ht="15.75" customHeight="1" x14ac:dyDescent="0.2">
      <c r="C562" s="16"/>
      <c r="E562" s="3"/>
      <c r="H562" s="1"/>
      <c r="I562" s="13"/>
    </row>
    <row r="563" spans="3:11" ht="15.75" customHeight="1" x14ac:dyDescent="0.2">
      <c r="C563" s="16"/>
      <c r="E563" s="3"/>
      <c r="H563" s="1"/>
      <c r="I563" s="13"/>
    </row>
    <row r="564" spans="3:11" ht="15.75" customHeight="1" x14ac:dyDescent="0.2">
      <c r="C564" s="16"/>
      <c r="E564" s="3"/>
      <c r="H564" s="1"/>
      <c r="I564" s="13"/>
    </row>
    <row r="565" spans="3:11" ht="15.75" customHeight="1" x14ac:dyDescent="0.2">
      <c r="C565" s="16"/>
      <c r="E565" s="3"/>
      <c r="H565" s="1"/>
      <c r="I565" s="13"/>
    </row>
    <row r="566" spans="3:11" ht="15.75" customHeight="1" x14ac:dyDescent="0.2">
      <c r="C566" s="205">
        <v>42569</v>
      </c>
      <c r="D566" s="185">
        <v>0.51388888888888895</v>
      </c>
      <c r="E566" s="3"/>
      <c r="H566" s="1"/>
      <c r="I566" s="13"/>
      <c r="J566">
        <v>14</v>
      </c>
      <c r="K566">
        <v>15</v>
      </c>
    </row>
    <row r="567" spans="3:11" ht="15.75" customHeight="1" x14ac:dyDescent="0.2">
      <c r="C567" s="205">
        <v>42569</v>
      </c>
      <c r="D567" s="185">
        <v>0.51388888888888895</v>
      </c>
      <c r="E567" s="3">
        <v>0.1</v>
      </c>
      <c r="F567">
        <v>7.9</v>
      </c>
      <c r="G567">
        <v>88.9</v>
      </c>
      <c r="H567">
        <v>20.9</v>
      </c>
      <c r="I567" s="13"/>
    </row>
    <row r="568" spans="3:11" ht="15.75" customHeight="1" x14ac:dyDescent="0.2">
      <c r="C568" s="205">
        <v>42569</v>
      </c>
      <c r="D568" s="185">
        <v>0.51388888888888895</v>
      </c>
      <c r="E568" s="3">
        <v>1</v>
      </c>
      <c r="F568">
        <v>7.93</v>
      </c>
      <c r="G568">
        <v>87.2</v>
      </c>
      <c r="H568" s="1">
        <v>20</v>
      </c>
      <c r="I568" s="13"/>
    </row>
    <row r="569" spans="3:11" ht="15.75" customHeight="1" x14ac:dyDescent="0.2">
      <c r="C569" s="205">
        <v>42569</v>
      </c>
      <c r="D569" s="185">
        <v>0.51388888888888895</v>
      </c>
      <c r="E569" s="3">
        <v>2</v>
      </c>
      <c r="F569">
        <v>7.96</v>
      </c>
      <c r="G569">
        <v>86.7</v>
      </c>
      <c r="H569" s="1">
        <v>19.5</v>
      </c>
      <c r="I569" s="13"/>
    </row>
    <row r="570" spans="3:11" ht="15.75" customHeight="1" x14ac:dyDescent="0.2">
      <c r="C570" s="205">
        <v>42569</v>
      </c>
      <c r="D570" s="185">
        <v>0.51388888888888895</v>
      </c>
      <c r="E570" s="3">
        <v>3</v>
      </c>
      <c r="F570">
        <v>7.98</v>
      </c>
      <c r="G570">
        <v>86.5</v>
      </c>
      <c r="H570">
        <v>19.3</v>
      </c>
      <c r="I570" s="13"/>
    </row>
    <row r="571" spans="3:11" ht="15.75" customHeight="1" x14ac:dyDescent="0.2">
      <c r="C571" s="205">
        <v>42569</v>
      </c>
      <c r="D571" s="185">
        <v>0.51388888888888895</v>
      </c>
      <c r="E571" s="3">
        <v>4</v>
      </c>
      <c r="F571">
        <v>8.01</v>
      </c>
      <c r="G571">
        <v>86.4</v>
      </c>
      <c r="H571">
        <v>19.100000000000001</v>
      </c>
      <c r="I571" s="13"/>
    </row>
    <row r="572" spans="3:11" ht="15.75" customHeight="1" x14ac:dyDescent="0.2">
      <c r="C572" s="205">
        <v>42569</v>
      </c>
      <c r="D572" s="185">
        <v>0.51388888888888895</v>
      </c>
      <c r="E572" s="3">
        <v>5</v>
      </c>
      <c r="F572">
        <v>8.0299999999999994</v>
      </c>
      <c r="G572">
        <v>86.3</v>
      </c>
      <c r="H572">
        <v>18.899999999999999</v>
      </c>
      <c r="I572" s="13"/>
    </row>
    <row r="573" spans="3:11" ht="15.75" customHeight="1" x14ac:dyDescent="0.2">
      <c r="C573" s="205">
        <v>42569</v>
      </c>
      <c r="D573" s="185">
        <v>0.51388888888888895</v>
      </c>
      <c r="E573" s="3">
        <v>6</v>
      </c>
      <c r="F573">
        <v>8.0299999999999994</v>
      </c>
      <c r="G573">
        <v>86.2</v>
      </c>
      <c r="H573">
        <v>18.899999999999999</v>
      </c>
      <c r="I573" s="13"/>
    </row>
    <row r="574" spans="3:11" ht="15.75" customHeight="1" x14ac:dyDescent="0.2">
      <c r="C574" s="205">
        <v>42569</v>
      </c>
      <c r="D574" s="185">
        <v>0.51388888888888895</v>
      </c>
      <c r="E574" s="3">
        <v>7</v>
      </c>
      <c r="F574">
        <v>8.01</v>
      </c>
      <c r="G574">
        <v>86</v>
      </c>
      <c r="H574">
        <v>18.8</v>
      </c>
      <c r="I574" s="13"/>
    </row>
    <row r="575" spans="3:11" ht="15.75" customHeight="1" x14ac:dyDescent="0.2">
      <c r="C575" s="205">
        <v>42569</v>
      </c>
      <c r="D575" s="185">
        <v>0.51388888888888895</v>
      </c>
      <c r="E575" s="3">
        <v>8</v>
      </c>
      <c r="F575">
        <v>7.98</v>
      </c>
      <c r="G575">
        <v>85.7</v>
      </c>
      <c r="H575">
        <v>18.8</v>
      </c>
      <c r="I575" s="13"/>
    </row>
    <row r="576" spans="3:11" ht="15.75" customHeight="1" x14ac:dyDescent="0.2">
      <c r="C576" s="205">
        <v>42569</v>
      </c>
      <c r="D576" s="185">
        <v>0.51388888888888895</v>
      </c>
      <c r="E576" s="3">
        <v>9</v>
      </c>
      <c r="F576">
        <v>8.01</v>
      </c>
      <c r="G576">
        <v>84.8</v>
      </c>
      <c r="H576">
        <v>18.2</v>
      </c>
      <c r="I576" s="13"/>
    </row>
    <row r="577" spans="3:9" ht="15.75" customHeight="1" x14ac:dyDescent="0.2">
      <c r="C577" s="205">
        <v>42569</v>
      </c>
      <c r="D577" s="185">
        <v>0.51388888888888895</v>
      </c>
      <c r="E577" s="3">
        <v>10</v>
      </c>
      <c r="F577">
        <v>8.25</v>
      </c>
      <c r="G577">
        <v>86.1</v>
      </c>
      <c r="H577">
        <v>17.5</v>
      </c>
      <c r="I577" s="13"/>
    </row>
    <row r="578" spans="3:9" ht="15.75" customHeight="1" x14ac:dyDescent="0.2">
      <c r="C578" s="205">
        <v>42569</v>
      </c>
      <c r="D578" s="185">
        <v>0.51388888888888895</v>
      </c>
      <c r="E578" s="3">
        <v>11</v>
      </c>
      <c r="F578">
        <v>8.7100000000000009</v>
      </c>
      <c r="G578">
        <v>86.7</v>
      </c>
      <c r="H578">
        <v>15.3</v>
      </c>
      <c r="I578" s="13"/>
    </row>
    <row r="579" spans="3:9" ht="15.75" customHeight="1" x14ac:dyDescent="0.2">
      <c r="C579" s="205">
        <v>42569</v>
      </c>
      <c r="D579" s="185">
        <v>0.51388888888888895</v>
      </c>
      <c r="E579" s="3">
        <v>12</v>
      </c>
      <c r="F579">
        <v>8.81</v>
      </c>
      <c r="G579">
        <v>84.9</v>
      </c>
      <c r="H579">
        <v>13.7</v>
      </c>
      <c r="I579" s="13"/>
    </row>
    <row r="580" spans="3:9" ht="15.75" customHeight="1" x14ac:dyDescent="0.2">
      <c r="C580" s="205">
        <v>42569</v>
      </c>
      <c r="D580" s="185">
        <v>0.51388888888888895</v>
      </c>
      <c r="E580" s="3">
        <v>13</v>
      </c>
      <c r="F580">
        <v>8.83</v>
      </c>
      <c r="G580">
        <v>83.9</v>
      </c>
      <c r="H580">
        <v>13.1</v>
      </c>
      <c r="I580" s="13"/>
    </row>
    <row r="581" spans="3:9" ht="15.75" customHeight="1" x14ac:dyDescent="0.2">
      <c r="C581" s="205">
        <v>42569</v>
      </c>
      <c r="D581" s="185">
        <v>0.51388888888888895</v>
      </c>
      <c r="E581" s="3">
        <v>14</v>
      </c>
      <c r="F581">
        <v>8.9</v>
      </c>
      <c r="G581">
        <v>81.3</v>
      </c>
      <c r="H581">
        <v>11.3</v>
      </c>
      <c r="I581" s="13"/>
    </row>
    <row r="582" spans="3:9" ht="15.75" customHeight="1" x14ac:dyDescent="0.2">
      <c r="C582" s="205">
        <v>42569</v>
      </c>
      <c r="D582" s="185">
        <v>0.51388888888888895</v>
      </c>
      <c r="E582" s="3">
        <v>15</v>
      </c>
      <c r="F582">
        <v>8.9600000000000009</v>
      </c>
      <c r="G582">
        <v>78.400000000000006</v>
      </c>
      <c r="H582">
        <v>9.5</v>
      </c>
      <c r="I582" s="13"/>
    </row>
    <row r="583" spans="3:9" ht="15.75" customHeight="1" x14ac:dyDescent="0.2">
      <c r="C583" s="205">
        <v>42569</v>
      </c>
      <c r="D583" s="185">
        <v>0.51388888888888895</v>
      </c>
      <c r="E583" s="3">
        <v>16</v>
      </c>
      <c r="F583">
        <v>8.94</v>
      </c>
      <c r="G583">
        <v>77.7</v>
      </c>
      <c r="H583">
        <v>9.1999999999999993</v>
      </c>
      <c r="I583" s="13"/>
    </row>
    <row r="584" spans="3:9" ht="15.75" customHeight="1" x14ac:dyDescent="0.2">
      <c r="C584" s="205">
        <v>42569</v>
      </c>
      <c r="D584" s="185">
        <v>0.51388888888888895</v>
      </c>
      <c r="E584" s="3">
        <v>17</v>
      </c>
      <c r="F584">
        <v>8.93</v>
      </c>
      <c r="G584">
        <v>76.5</v>
      </c>
      <c r="H584">
        <v>8.6</v>
      </c>
      <c r="I584" s="13"/>
    </row>
    <row r="585" spans="3:9" ht="15.75" customHeight="1" x14ac:dyDescent="0.2">
      <c r="C585" s="205">
        <v>42569</v>
      </c>
      <c r="D585" s="185">
        <v>0.51388888888888895</v>
      </c>
      <c r="E585" s="3">
        <v>18</v>
      </c>
      <c r="F585">
        <v>8.92</v>
      </c>
      <c r="G585">
        <v>75.400000000000006</v>
      </c>
      <c r="H585">
        <v>8.1999999999999993</v>
      </c>
      <c r="I585" s="13"/>
    </row>
    <row r="586" spans="3:9" ht="15.75" customHeight="1" x14ac:dyDescent="0.2">
      <c r="C586" s="205">
        <v>42569</v>
      </c>
      <c r="D586" s="185">
        <v>0.51388888888888895</v>
      </c>
      <c r="E586" s="3">
        <v>19</v>
      </c>
      <c r="F586">
        <v>8.89</v>
      </c>
      <c r="G586">
        <v>74.7</v>
      </c>
      <c r="H586">
        <v>7.8</v>
      </c>
      <c r="I586" s="13"/>
    </row>
    <row r="587" spans="3:9" ht="15.75" customHeight="1" x14ac:dyDescent="0.2">
      <c r="C587" s="205">
        <v>42569</v>
      </c>
      <c r="D587" s="185">
        <v>0.51388888888888895</v>
      </c>
      <c r="E587" s="3">
        <v>20</v>
      </c>
      <c r="F587">
        <v>8.82</v>
      </c>
      <c r="G587">
        <v>73.8</v>
      </c>
      <c r="H587">
        <v>7.6</v>
      </c>
      <c r="I587" s="13"/>
    </row>
    <row r="588" spans="3:9" ht="15.75" customHeight="1" x14ac:dyDescent="0.2">
      <c r="C588" s="205">
        <v>42569</v>
      </c>
      <c r="D588" s="185">
        <v>0.51388888888888895</v>
      </c>
      <c r="E588" s="3">
        <v>21</v>
      </c>
      <c r="F588">
        <v>8.7799999999999994</v>
      </c>
      <c r="G588">
        <v>72.7</v>
      </c>
      <c r="H588">
        <v>7.2</v>
      </c>
      <c r="I588" s="13"/>
    </row>
    <row r="589" spans="3:9" ht="15.75" customHeight="1" x14ac:dyDescent="0.2">
      <c r="C589" s="205">
        <v>42569</v>
      </c>
      <c r="D589" s="185">
        <v>0.51388888888888895</v>
      </c>
      <c r="E589" s="3">
        <v>22</v>
      </c>
      <c r="F589">
        <v>8.77</v>
      </c>
      <c r="G589">
        <v>72.400000000000006</v>
      </c>
      <c r="H589">
        <v>7.1</v>
      </c>
      <c r="I589" s="13"/>
    </row>
    <row r="590" spans="3:9" ht="15.75" customHeight="1" x14ac:dyDescent="0.2">
      <c r="C590" s="205">
        <v>42569</v>
      </c>
      <c r="D590" s="185">
        <v>0.51388888888888895</v>
      </c>
      <c r="E590" s="3">
        <v>23</v>
      </c>
      <c r="F590">
        <v>8.74</v>
      </c>
      <c r="G590">
        <v>72.099999999999994</v>
      </c>
      <c r="H590">
        <v>7.1</v>
      </c>
      <c r="I590" s="13"/>
    </row>
    <row r="591" spans="3:9" ht="15.75" customHeight="1" x14ac:dyDescent="0.2">
      <c r="C591" s="205">
        <v>42569</v>
      </c>
      <c r="D591" s="185">
        <v>0.51388888888888895</v>
      </c>
      <c r="E591" s="3">
        <v>24</v>
      </c>
      <c r="F591">
        <v>8.73</v>
      </c>
      <c r="G591">
        <v>71.900000000000006</v>
      </c>
      <c r="H591">
        <v>7</v>
      </c>
      <c r="I591" s="13"/>
    </row>
    <row r="592" spans="3:9" ht="15.75" customHeight="1" x14ac:dyDescent="0.2">
      <c r="C592" s="205">
        <v>42569</v>
      </c>
      <c r="D592" s="185">
        <v>0.51388888888888895</v>
      </c>
      <c r="E592" s="3">
        <v>25</v>
      </c>
      <c r="F592">
        <v>8.7200000000000006</v>
      </c>
      <c r="G592">
        <v>71.5</v>
      </c>
      <c r="H592">
        <v>6.8</v>
      </c>
      <c r="I592" s="13"/>
    </row>
    <row r="593" spans="3:11" ht="15.75" customHeight="1" x14ac:dyDescent="0.2">
      <c r="C593" s="205">
        <v>42569</v>
      </c>
      <c r="D593" s="185">
        <v>0.51388888888888895</v>
      </c>
      <c r="E593" s="3">
        <v>26</v>
      </c>
      <c r="F593">
        <v>8.6999999999999993</v>
      </c>
      <c r="G593">
        <v>71.2</v>
      </c>
      <c r="H593">
        <v>6.7</v>
      </c>
      <c r="I593" s="13"/>
    </row>
    <row r="594" spans="3:11" ht="15.75" customHeight="1" x14ac:dyDescent="0.2">
      <c r="C594" s="205">
        <v>42569</v>
      </c>
      <c r="D594" s="185">
        <v>0.51388888888888895</v>
      </c>
      <c r="E594" s="3">
        <v>27</v>
      </c>
      <c r="F594">
        <v>8.66</v>
      </c>
      <c r="G594">
        <v>70.099999999999994</v>
      </c>
      <c r="H594">
        <v>6.3</v>
      </c>
      <c r="I594" s="13"/>
    </row>
    <row r="595" spans="3:11" ht="15.75" customHeight="1" x14ac:dyDescent="0.2">
      <c r="C595" s="205">
        <v>42569</v>
      </c>
      <c r="D595" s="185">
        <v>0.51388888888888895</v>
      </c>
      <c r="E595" s="3">
        <v>28</v>
      </c>
      <c r="F595">
        <v>8.64</v>
      </c>
      <c r="G595">
        <v>69.8</v>
      </c>
      <c r="H595">
        <v>6.2</v>
      </c>
      <c r="I595" s="13"/>
    </row>
    <row r="596" spans="3:11" ht="15.75" customHeight="1" x14ac:dyDescent="0.2">
      <c r="C596" s="205">
        <v>42569</v>
      </c>
      <c r="D596" s="185">
        <v>0.51388888888888895</v>
      </c>
      <c r="E596" s="3">
        <v>29</v>
      </c>
      <c r="F596">
        <v>8.6199999999999992</v>
      </c>
      <c r="G596">
        <v>69.599999999999994</v>
      </c>
      <c r="H596">
        <v>6.2</v>
      </c>
      <c r="I596" s="13"/>
    </row>
    <row r="597" spans="3:11" ht="15.75" customHeight="1" x14ac:dyDescent="0.2">
      <c r="C597" s="205">
        <v>42569</v>
      </c>
      <c r="D597" s="185">
        <v>0.51388888888888895</v>
      </c>
      <c r="E597" s="3">
        <v>30</v>
      </c>
      <c r="F597">
        <v>8.6300000000000008</v>
      </c>
      <c r="G597">
        <v>69.5</v>
      </c>
      <c r="H597">
        <v>6.1</v>
      </c>
      <c r="I597" s="13"/>
    </row>
    <row r="598" spans="3:11" ht="15.75" customHeight="1" x14ac:dyDescent="0.2">
      <c r="C598" s="205">
        <v>42569</v>
      </c>
      <c r="D598" s="185">
        <v>0.51388888888888895</v>
      </c>
      <c r="E598" s="3">
        <v>35</v>
      </c>
      <c r="F598">
        <v>8.5399999999999991</v>
      </c>
      <c r="G598">
        <v>68.599999999999994</v>
      </c>
      <c r="H598">
        <v>6</v>
      </c>
      <c r="I598" s="13"/>
    </row>
    <row r="599" spans="3:11" ht="15.75" customHeight="1" x14ac:dyDescent="0.2">
      <c r="C599" s="205">
        <v>42569</v>
      </c>
      <c r="D599" s="185">
        <v>0.51388888888888895</v>
      </c>
      <c r="E599" s="3">
        <v>40</v>
      </c>
      <c r="F599">
        <v>8.44</v>
      </c>
      <c r="G599">
        <v>67.400000000000006</v>
      </c>
      <c r="H599">
        <v>5.8</v>
      </c>
      <c r="I599" s="13"/>
    </row>
    <row r="600" spans="3:11" ht="15.75" customHeight="1" x14ac:dyDescent="0.2">
      <c r="C600" s="16"/>
      <c r="E600" s="3"/>
      <c r="H600" s="1"/>
      <c r="I600" s="13"/>
    </row>
    <row r="601" spans="3:11" ht="15.75" customHeight="1" x14ac:dyDescent="0.2">
      <c r="C601" s="16">
        <v>42604</v>
      </c>
      <c r="D601" s="185">
        <v>0.37847222222222227</v>
      </c>
      <c r="E601" s="3"/>
      <c r="H601" s="1"/>
      <c r="I601" s="13"/>
      <c r="J601">
        <v>11.5</v>
      </c>
      <c r="K601">
        <v>15.5</v>
      </c>
    </row>
    <row r="602" spans="3:11" ht="15.75" customHeight="1" x14ac:dyDescent="0.2">
      <c r="C602" s="16">
        <v>42604</v>
      </c>
      <c r="D602" s="185">
        <v>0.3888888888888889</v>
      </c>
      <c r="E602" s="3">
        <v>0.1</v>
      </c>
      <c r="F602">
        <v>7.44</v>
      </c>
      <c r="G602">
        <v>83.8</v>
      </c>
      <c r="H602">
        <v>21.3</v>
      </c>
      <c r="I602" s="13"/>
    </row>
    <row r="603" spans="3:11" ht="15.75" customHeight="1" x14ac:dyDescent="0.2">
      <c r="C603" s="16">
        <v>42604</v>
      </c>
      <c r="D603" s="185">
        <v>0.3888888888888889</v>
      </c>
      <c r="E603" s="3">
        <v>1</v>
      </c>
      <c r="F603">
        <v>7.42</v>
      </c>
      <c r="G603">
        <v>84</v>
      </c>
      <c r="H603">
        <v>21.5</v>
      </c>
      <c r="I603" s="13"/>
    </row>
    <row r="604" spans="3:11" ht="15.75" customHeight="1" x14ac:dyDescent="0.2">
      <c r="C604" s="16">
        <v>42604</v>
      </c>
      <c r="D604" s="185">
        <v>0.3888888888888889</v>
      </c>
      <c r="E604" s="3">
        <v>2</v>
      </c>
      <c r="F604">
        <v>7.42</v>
      </c>
      <c r="G604">
        <v>84</v>
      </c>
      <c r="H604">
        <v>21.5</v>
      </c>
      <c r="I604" s="13"/>
    </row>
    <row r="605" spans="3:11" ht="15.75" customHeight="1" x14ac:dyDescent="0.2">
      <c r="C605" s="16">
        <v>42604</v>
      </c>
      <c r="D605" s="185">
        <v>0.3888888888888889</v>
      </c>
      <c r="E605" s="3">
        <v>3</v>
      </c>
      <c r="F605">
        <v>7.41</v>
      </c>
      <c r="G605">
        <v>84.1</v>
      </c>
      <c r="H605">
        <v>21.6</v>
      </c>
      <c r="I605" s="13"/>
    </row>
    <row r="606" spans="3:11" ht="15.75" customHeight="1" x14ac:dyDescent="0.2">
      <c r="C606" s="16">
        <v>42604</v>
      </c>
      <c r="D606" s="185">
        <v>0.3888888888888889</v>
      </c>
      <c r="E606" s="3">
        <v>4</v>
      </c>
      <c r="F606">
        <v>7.4</v>
      </c>
      <c r="G606">
        <v>84</v>
      </c>
      <c r="H606">
        <v>21.6</v>
      </c>
      <c r="I606" s="13"/>
    </row>
    <row r="607" spans="3:11" ht="15.75" customHeight="1" x14ac:dyDescent="0.2">
      <c r="C607" s="16">
        <v>42604</v>
      </c>
      <c r="D607" s="185">
        <v>0.3888888888888889</v>
      </c>
      <c r="E607" s="3">
        <v>5</v>
      </c>
      <c r="F607">
        <v>7.4</v>
      </c>
      <c r="G607">
        <v>83.9</v>
      </c>
      <c r="H607">
        <v>21.6</v>
      </c>
      <c r="I607" s="13"/>
    </row>
    <row r="608" spans="3:11" ht="15.75" customHeight="1" x14ac:dyDescent="0.2">
      <c r="C608" s="16">
        <v>42604</v>
      </c>
      <c r="D608" s="185">
        <v>0.3888888888888889</v>
      </c>
      <c r="E608" s="3">
        <v>6</v>
      </c>
      <c r="F608">
        <v>7.43</v>
      </c>
      <c r="G608">
        <v>84.2</v>
      </c>
      <c r="H608">
        <v>21.5</v>
      </c>
      <c r="I608" s="13"/>
    </row>
    <row r="609" spans="3:9" ht="15.75" customHeight="1" x14ac:dyDescent="0.2">
      <c r="C609" s="16">
        <v>42604</v>
      </c>
      <c r="D609" s="185">
        <v>0.3888888888888889</v>
      </c>
      <c r="E609" s="3">
        <v>7</v>
      </c>
      <c r="F609">
        <v>7.47</v>
      </c>
      <c r="G609">
        <v>84.3</v>
      </c>
      <c r="H609">
        <v>21.4</v>
      </c>
      <c r="I609" s="13"/>
    </row>
    <row r="610" spans="3:9" ht="15.75" customHeight="1" x14ac:dyDescent="0.2">
      <c r="C610" s="16">
        <v>42604</v>
      </c>
      <c r="D610" s="185">
        <v>0.3888888888888889</v>
      </c>
      <c r="E610" s="3">
        <v>8</v>
      </c>
      <c r="F610">
        <v>7.5</v>
      </c>
      <c r="G610">
        <v>84.2</v>
      </c>
      <c r="H610">
        <v>21</v>
      </c>
      <c r="I610" s="13"/>
    </row>
    <row r="611" spans="3:9" ht="15.75" customHeight="1" x14ac:dyDescent="0.2">
      <c r="C611" s="16">
        <v>42604</v>
      </c>
      <c r="D611" s="185">
        <v>0.3888888888888889</v>
      </c>
      <c r="E611" s="3">
        <v>9</v>
      </c>
      <c r="F611">
        <v>7.54</v>
      </c>
      <c r="G611">
        <v>84.4</v>
      </c>
      <c r="H611">
        <v>20.9</v>
      </c>
      <c r="I611" s="13"/>
    </row>
    <row r="612" spans="3:9" ht="15.75" customHeight="1" x14ac:dyDescent="0.2">
      <c r="C612" s="16">
        <v>42604</v>
      </c>
      <c r="D612" s="185">
        <v>0.3888888888888889</v>
      </c>
      <c r="E612" s="3">
        <v>10</v>
      </c>
      <c r="F612">
        <v>7.8</v>
      </c>
      <c r="G612">
        <v>85.8</v>
      </c>
      <c r="H612">
        <v>20</v>
      </c>
      <c r="I612" s="13"/>
    </row>
    <row r="613" spans="3:9" ht="15.75" customHeight="1" x14ac:dyDescent="0.2">
      <c r="C613" s="16">
        <v>42604</v>
      </c>
      <c r="D613" s="185">
        <v>0.3888888888888889</v>
      </c>
      <c r="E613" s="3">
        <v>11</v>
      </c>
      <c r="F613">
        <v>8.6300000000000008</v>
      </c>
      <c r="G613">
        <v>89.7</v>
      </c>
      <c r="H613">
        <v>17.3</v>
      </c>
      <c r="I613" s="13"/>
    </row>
    <row r="614" spans="3:9" ht="15.75" customHeight="1" x14ac:dyDescent="0.2">
      <c r="C614" s="16">
        <v>42604</v>
      </c>
      <c r="D614" s="185">
        <v>0.3888888888888889</v>
      </c>
      <c r="E614" s="3">
        <v>12</v>
      </c>
      <c r="F614">
        <v>8.99</v>
      </c>
      <c r="G614">
        <v>87.7</v>
      </c>
      <c r="H614">
        <v>14.2</v>
      </c>
      <c r="I614" s="13"/>
    </row>
    <row r="615" spans="3:9" ht="15.75" customHeight="1" x14ac:dyDescent="0.2">
      <c r="C615" s="16">
        <v>42604</v>
      </c>
      <c r="D615" s="185">
        <v>0.3888888888888889</v>
      </c>
      <c r="E615" s="3">
        <v>13</v>
      </c>
      <c r="F615">
        <v>8.93</v>
      </c>
      <c r="G615">
        <v>84.8</v>
      </c>
      <c r="H615">
        <v>13.1</v>
      </c>
      <c r="I615" s="13"/>
    </row>
    <row r="616" spans="3:9" ht="15.75" customHeight="1" x14ac:dyDescent="0.2">
      <c r="C616" s="16">
        <v>42604</v>
      </c>
      <c r="D616" s="185">
        <v>0.3888888888888889</v>
      </c>
      <c r="E616" s="3">
        <v>14</v>
      </c>
      <c r="F616">
        <v>8.9</v>
      </c>
      <c r="G616">
        <v>83.5</v>
      </c>
      <c r="H616">
        <v>12.6</v>
      </c>
      <c r="I616" s="13"/>
    </row>
    <row r="617" spans="3:9" ht="15.75" customHeight="1" x14ac:dyDescent="0.2">
      <c r="C617" s="16">
        <v>42604</v>
      </c>
      <c r="D617" s="185">
        <v>0.3888888888888889</v>
      </c>
      <c r="E617" s="3">
        <v>15</v>
      </c>
      <c r="F617">
        <v>8.86</v>
      </c>
      <c r="G617">
        <v>82.8</v>
      </c>
      <c r="H617">
        <v>12.3</v>
      </c>
      <c r="I617" s="13"/>
    </row>
    <row r="618" spans="3:9" ht="15.75" customHeight="1" x14ac:dyDescent="0.2">
      <c r="C618" s="16">
        <v>42604</v>
      </c>
      <c r="D618" s="185">
        <v>0.3888888888888889</v>
      </c>
      <c r="E618" s="3">
        <v>16</v>
      </c>
      <c r="F618">
        <v>8.85</v>
      </c>
      <c r="G618">
        <v>81.7</v>
      </c>
      <c r="H618">
        <v>11.8</v>
      </c>
      <c r="I618" s="13"/>
    </row>
    <row r="619" spans="3:9" ht="15.75" customHeight="1" x14ac:dyDescent="0.2">
      <c r="C619" s="16">
        <v>42604</v>
      </c>
      <c r="D619" s="185">
        <v>0.3888888888888889</v>
      </c>
      <c r="E619" s="3">
        <v>17</v>
      </c>
      <c r="F619">
        <v>8.81</v>
      </c>
      <c r="G619">
        <v>79.2</v>
      </c>
      <c r="H619">
        <v>10.7</v>
      </c>
      <c r="I619" s="13"/>
    </row>
    <row r="620" spans="3:9" ht="15.75" customHeight="1" x14ac:dyDescent="0.2">
      <c r="C620" s="16">
        <v>42604</v>
      </c>
      <c r="D620" s="185">
        <v>0.3888888888888889</v>
      </c>
      <c r="E620" s="3">
        <v>18</v>
      </c>
      <c r="F620">
        <v>8.81</v>
      </c>
      <c r="G620">
        <v>77.7</v>
      </c>
      <c r="H620">
        <v>9.8000000000000007</v>
      </c>
      <c r="I620" s="13"/>
    </row>
    <row r="621" spans="3:9" ht="15.75" customHeight="1" x14ac:dyDescent="0.2">
      <c r="C621" s="16">
        <v>42604</v>
      </c>
      <c r="D621" s="185">
        <v>0.3888888888888889</v>
      </c>
      <c r="E621" s="3">
        <v>19</v>
      </c>
      <c r="F621">
        <v>8.7799999999999994</v>
      </c>
      <c r="G621">
        <v>76.5</v>
      </c>
      <c r="H621">
        <v>9.3000000000000007</v>
      </c>
      <c r="I621" s="13"/>
    </row>
    <row r="622" spans="3:9" ht="15.75" customHeight="1" x14ac:dyDescent="0.2">
      <c r="C622" s="16">
        <v>42604</v>
      </c>
      <c r="D622" s="185">
        <v>0.3888888888888889</v>
      </c>
      <c r="E622" s="3">
        <v>20</v>
      </c>
      <c r="F622">
        <v>8.7899999999999991</v>
      </c>
      <c r="G622">
        <v>75.599999999999994</v>
      </c>
      <c r="H622">
        <v>8.8000000000000007</v>
      </c>
      <c r="I622" s="13"/>
    </row>
    <row r="623" spans="3:9" ht="15.75" customHeight="1" x14ac:dyDescent="0.2">
      <c r="C623" s="16">
        <v>42604</v>
      </c>
      <c r="D623" s="185">
        <v>0.3888888888888889</v>
      </c>
      <c r="E623" s="3">
        <v>21</v>
      </c>
      <c r="F623">
        <v>8.76</v>
      </c>
      <c r="G623">
        <v>75.2</v>
      </c>
      <c r="H623">
        <v>8.6999999999999993</v>
      </c>
      <c r="I623" s="13"/>
    </row>
    <row r="624" spans="3:9" ht="15.75" customHeight="1" x14ac:dyDescent="0.2">
      <c r="C624" s="16">
        <v>42604</v>
      </c>
      <c r="D624" s="185">
        <v>0.3888888888888889</v>
      </c>
      <c r="E624" s="3">
        <v>22</v>
      </c>
      <c r="F624">
        <v>8.7100000000000009</v>
      </c>
      <c r="G624">
        <v>74</v>
      </c>
      <c r="H624">
        <v>8.3000000000000007</v>
      </c>
      <c r="I624" s="13"/>
    </row>
    <row r="625" spans="3:9" ht="15.75" customHeight="1" x14ac:dyDescent="0.2">
      <c r="C625" s="16">
        <v>42604</v>
      </c>
      <c r="D625" s="185">
        <v>0.3888888888888889</v>
      </c>
      <c r="E625" s="3">
        <v>23</v>
      </c>
      <c r="F625">
        <v>8.65</v>
      </c>
      <c r="G625">
        <v>72.900000000000006</v>
      </c>
      <c r="H625">
        <v>7.9</v>
      </c>
      <c r="I625" s="13"/>
    </row>
    <row r="626" spans="3:9" ht="15.75" customHeight="1" x14ac:dyDescent="0.2">
      <c r="C626" s="16">
        <v>42604</v>
      </c>
      <c r="D626" s="185">
        <v>0.3888888888888889</v>
      </c>
      <c r="E626" s="3">
        <v>24</v>
      </c>
      <c r="F626">
        <v>8.6</v>
      </c>
      <c r="G626">
        <v>71.900000000000006</v>
      </c>
      <c r="H626">
        <v>7.7</v>
      </c>
      <c r="I626" s="13"/>
    </row>
    <row r="627" spans="3:9" ht="15.75" customHeight="1" x14ac:dyDescent="0.2">
      <c r="C627" s="16">
        <v>42604</v>
      </c>
      <c r="D627" s="185">
        <v>0.3888888888888889</v>
      </c>
      <c r="E627" s="3">
        <v>25</v>
      </c>
      <c r="F627">
        <v>8.5299999999999994</v>
      </c>
      <c r="G627">
        <v>71.099999999999994</v>
      </c>
      <c r="H627">
        <v>7.5</v>
      </c>
      <c r="I627" s="13"/>
    </row>
    <row r="628" spans="3:9" ht="15.75" customHeight="1" x14ac:dyDescent="0.2">
      <c r="C628" s="16">
        <v>42604</v>
      </c>
      <c r="D628" s="185">
        <v>0.3888888888888889</v>
      </c>
      <c r="E628" s="3">
        <v>26</v>
      </c>
      <c r="F628">
        <v>8.44</v>
      </c>
      <c r="G628">
        <v>69.7</v>
      </c>
      <c r="H628">
        <v>7.2</v>
      </c>
      <c r="I628" s="13"/>
    </row>
    <row r="629" spans="3:9" ht="15.75" customHeight="1" x14ac:dyDescent="0.2">
      <c r="C629" s="16">
        <v>42604</v>
      </c>
      <c r="D629" s="185">
        <v>0.3888888888888889</v>
      </c>
      <c r="E629" s="3">
        <v>27</v>
      </c>
      <c r="F629">
        <v>8.4</v>
      </c>
      <c r="G629">
        <v>69.3</v>
      </c>
      <c r="H629">
        <v>7.1</v>
      </c>
      <c r="I629" s="13"/>
    </row>
    <row r="630" spans="3:9" ht="15.75" customHeight="1" x14ac:dyDescent="0.2">
      <c r="C630" s="16">
        <v>42604</v>
      </c>
      <c r="D630" s="185">
        <v>0.3888888888888889</v>
      </c>
      <c r="E630" s="3">
        <v>28</v>
      </c>
      <c r="F630">
        <v>8.36</v>
      </c>
      <c r="G630">
        <v>68.900000000000006</v>
      </c>
      <c r="H630">
        <v>7</v>
      </c>
      <c r="I630" s="13"/>
    </row>
    <row r="631" spans="3:9" ht="15.75" customHeight="1" x14ac:dyDescent="0.2">
      <c r="C631" s="16">
        <v>42604</v>
      </c>
      <c r="D631" s="185">
        <v>0.3888888888888889</v>
      </c>
      <c r="E631" s="3">
        <v>29</v>
      </c>
      <c r="F631">
        <v>8.34</v>
      </c>
      <c r="G631">
        <v>68.5</v>
      </c>
      <c r="H631">
        <v>6.9</v>
      </c>
      <c r="I631" s="13"/>
    </row>
    <row r="632" spans="3:9" ht="15.75" customHeight="1" x14ac:dyDescent="0.2">
      <c r="C632" s="16">
        <v>42604</v>
      </c>
      <c r="D632" s="185">
        <v>0.3888888888888889</v>
      </c>
      <c r="E632" s="3">
        <v>30</v>
      </c>
      <c r="F632">
        <v>8.31</v>
      </c>
      <c r="G632">
        <v>68.099999999999994</v>
      </c>
      <c r="H632">
        <v>6.8</v>
      </c>
      <c r="I632" s="13"/>
    </row>
    <row r="633" spans="3:9" ht="15.75" customHeight="1" x14ac:dyDescent="0.2">
      <c r="C633" s="16">
        <v>42604</v>
      </c>
      <c r="D633" s="185">
        <v>0.3888888888888889</v>
      </c>
      <c r="E633" s="3">
        <v>32</v>
      </c>
      <c r="F633">
        <v>8.2899999999999991</v>
      </c>
      <c r="G633">
        <v>67.400000000000006</v>
      </c>
      <c r="H633">
        <v>6.5</v>
      </c>
      <c r="I633" s="13"/>
    </row>
    <row r="634" spans="3:9" ht="15.75" customHeight="1" x14ac:dyDescent="0.2">
      <c r="C634" s="16">
        <v>42604</v>
      </c>
      <c r="D634" s="185">
        <v>0.3888888888888889</v>
      </c>
      <c r="E634" s="3">
        <v>34</v>
      </c>
      <c r="F634">
        <v>8.27</v>
      </c>
      <c r="G634">
        <v>67.099999999999994</v>
      </c>
      <c r="H634">
        <v>6.4</v>
      </c>
      <c r="I634" s="13"/>
    </row>
    <row r="635" spans="3:9" ht="15.75" customHeight="1" x14ac:dyDescent="0.2">
      <c r="C635" s="16">
        <v>42604</v>
      </c>
      <c r="D635" s="185">
        <v>0.3888888888888889</v>
      </c>
      <c r="E635" s="3">
        <v>36</v>
      </c>
      <c r="F635">
        <v>8.23</v>
      </c>
      <c r="G635">
        <v>66.599999999999994</v>
      </c>
      <c r="H635">
        <v>6.3</v>
      </c>
      <c r="I635" s="13"/>
    </row>
    <row r="636" spans="3:9" ht="15.75" customHeight="1" x14ac:dyDescent="0.2">
      <c r="C636" s="16">
        <v>42604</v>
      </c>
      <c r="D636" s="185">
        <v>0.3888888888888889</v>
      </c>
      <c r="E636" s="3">
        <v>38</v>
      </c>
      <c r="F636">
        <v>8.09</v>
      </c>
      <c r="G636">
        <v>65.2</v>
      </c>
      <c r="H636">
        <v>6.1</v>
      </c>
      <c r="I636" s="13"/>
    </row>
    <row r="637" spans="3:9" ht="15.75" customHeight="1" x14ac:dyDescent="0.2">
      <c r="C637" s="16">
        <v>42604</v>
      </c>
      <c r="D637" s="185">
        <v>0.3888888888888889</v>
      </c>
      <c r="E637" s="3">
        <v>40</v>
      </c>
      <c r="F637">
        <v>7.82</v>
      </c>
      <c r="G637">
        <v>62.8</v>
      </c>
      <c r="H637">
        <v>6</v>
      </c>
      <c r="I637" s="13"/>
    </row>
    <row r="638" spans="3:9" ht="15.75" customHeight="1" x14ac:dyDescent="0.2">
      <c r="C638" s="16">
        <v>42604</v>
      </c>
      <c r="D638" s="185">
        <v>0.3888888888888889</v>
      </c>
      <c r="E638" s="3">
        <v>42</v>
      </c>
      <c r="F638">
        <v>7.82</v>
      </c>
      <c r="G638">
        <v>62.6</v>
      </c>
      <c r="H638">
        <v>5.9</v>
      </c>
      <c r="I638" s="13"/>
    </row>
    <row r="639" spans="3:9" ht="15.75" customHeight="1" x14ac:dyDescent="0.2">
      <c r="C639" s="16">
        <v>42604</v>
      </c>
      <c r="D639" s="185">
        <v>0.3888888888888889</v>
      </c>
      <c r="E639" s="3">
        <v>44</v>
      </c>
      <c r="F639">
        <v>7.79</v>
      </c>
      <c r="G639">
        <v>62.3</v>
      </c>
      <c r="H639">
        <v>5.8</v>
      </c>
      <c r="I639" s="13"/>
    </row>
    <row r="640" spans="3:9" ht="15.75" customHeight="1" x14ac:dyDescent="0.2">
      <c r="C640" s="16"/>
      <c r="E640" s="3"/>
      <c r="H640" s="1"/>
      <c r="I640" s="13"/>
    </row>
    <row r="641" spans="3:11" ht="15.75" customHeight="1" x14ac:dyDescent="0.2">
      <c r="C641" s="205">
        <v>42214</v>
      </c>
      <c r="D641" s="185">
        <v>0.46875</v>
      </c>
      <c r="E641" s="3"/>
      <c r="H641" s="1"/>
      <c r="I641" s="13"/>
      <c r="J641">
        <v>12</v>
      </c>
      <c r="K641">
        <v>13</v>
      </c>
    </row>
    <row r="642" spans="3:11" ht="15.75" customHeight="1" x14ac:dyDescent="0.2">
      <c r="C642" s="205">
        <v>42214</v>
      </c>
      <c r="D642" s="185">
        <v>0.46875</v>
      </c>
      <c r="E642" s="3">
        <v>0.1</v>
      </c>
      <c r="F642">
        <v>7.6</v>
      </c>
      <c r="G642">
        <v>86</v>
      </c>
      <c r="H642">
        <v>21.5</v>
      </c>
      <c r="I642" s="13"/>
    </row>
    <row r="643" spans="3:11" ht="15.75" customHeight="1" x14ac:dyDescent="0.2">
      <c r="C643" s="205">
        <v>42214</v>
      </c>
      <c r="D643" s="185">
        <v>0.46875</v>
      </c>
      <c r="E643" s="3">
        <v>1</v>
      </c>
      <c r="F643">
        <v>7.56</v>
      </c>
      <c r="G643">
        <v>85</v>
      </c>
      <c r="H643">
        <v>21.4</v>
      </c>
    </row>
    <row r="644" spans="3:11" ht="15.75" customHeight="1" x14ac:dyDescent="0.2">
      <c r="C644" s="205">
        <v>42214</v>
      </c>
      <c r="D644" s="185">
        <v>0.46875</v>
      </c>
      <c r="E644" s="3">
        <v>2</v>
      </c>
      <c r="F644">
        <v>7.58</v>
      </c>
      <c r="G644">
        <v>84.7</v>
      </c>
      <c r="H644">
        <v>21</v>
      </c>
    </row>
    <row r="645" spans="3:11" ht="15.75" customHeight="1" x14ac:dyDescent="0.2">
      <c r="C645" s="205">
        <v>42214</v>
      </c>
      <c r="D645" s="185">
        <v>0.46875</v>
      </c>
      <c r="E645" s="3">
        <v>3</v>
      </c>
      <c r="F645">
        <v>7.57</v>
      </c>
      <c r="G645">
        <v>84.5</v>
      </c>
      <c r="H645">
        <v>20.8</v>
      </c>
    </row>
    <row r="646" spans="3:11" ht="15.75" customHeight="1" x14ac:dyDescent="0.2">
      <c r="C646" s="205">
        <v>42214</v>
      </c>
      <c r="D646" s="185">
        <v>0.46875</v>
      </c>
      <c r="E646" s="3">
        <v>4</v>
      </c>
      <c r="F646">
        <v>7.57</v>
      </c>
      <c r="G646">
        <v>84.4</v>
      </c>
      <c r="H646">
        <v>20.8</v>
      </c>
    </row>
    <row r="647" spans="3:11" ht="15.75" customHeight="1" x14ac:dyDescent="0.2">
      <c r="C647" s="205">
        <v>42214</v>
      </c>
      <c r="D647" s="185">
        <v>0.46875</v>
      </c>
      <c r="E647" s="3">
        <v>5</v>
      </c>
      <c r="F647">
        <v>7.56</v>
      </c>
      <c r="G647">
        <v>84.2</v>
      </c>
      <c r="H647">
        <v>20.7</v>
      </c>
    </row>
    <row r="648" spans="3:11" ht="15.75" customHeight="1" x14ac:dyDescent="0.2">
      <c r="C648" s="205">
        <v>42214</v>
      </c>
      <c r="D648" s="185">
        <v>0.46875</v>
      </c>
      <c r="E648" s="3">
        <v>6</v>
      </c>
      <c r="F648">
        <v>7.56</v>
      </c>
      <c r="G648">
        <v>84.1</v>
      </c>
      <c r="H648">
        <v>20.7</v>
      </c>
    </row>
    <row r="649" spans="3:11" ht="15.75" customHeight="1" x14ac:dyDescent="0.2">
      <c r="C649" s="205">
        <v>42214</v>
      </c>
      <c r="D649" s="185">
        <v>0.46875</v>
      </c>
      <c r="E649" s="3">
        <v>7</v>
      </c>
      <c r="F649">
        <v>7.54</v>
      </c>
      <c r="G649">
        <v>83.8</v>
      </c>
      <c r="H649">
        <v>20.6</v>
      </c>
    </row>
    <row r="650" spans="3:11" ht="15.75" customHeight="1" x14ac:dyDescent="0.2">
      <c r="C650" s="205">
        <v>42214</v>
      </c>
      <c r="D650" s="185">
        <v>0.46875</v>
      </c>
      <c r="E650" s="3">
        <v>8</v>
      </c>
      <c r="F650">
        <v>7.52</v>
      </c>
      <c r="G650">
        <v>83.7</v>
      </c>
      <c r="H650">
        <v>20.6</v>
      </c>
    </row>
    <row r="651" spans="3:11" ht="15.75" customHeight="1" x14ac:dyDescent="0.2">
      <c r="C651" s="205">
        <v>42214</v>
      </c>
      <c r="D651" s="185">
        <v>0.46875</v>
      </c>
      <c r="E651" s="3">
        <v>9</v>
      </c>
      <c r="F651">
        <v>7.53</v>
      </c>
      <c r="G651">
        <v>83.7</v>
      </c>
      <c r="H651">
        <v>20.5</v>
      </c>
    </row>
    <row r="652" spans="3:11" ht="15.75" customHeight="1" x14ac:dyDescent="0.2">
      <c r="C652" s="205">
        <v>42214</v>
      </c>
      <c r="D652" s="185">
        <v>0.46875</v>
      </c>
      <c r="E652" s="3">
        <v>10</v>
      </c>
      <c r="F652">
        <v>7.99</v>
      </c>
      <c r="G652">
        <v>93.5</v>
      </c>
      <c r="H652">
        <v>19.5</v>
      </c>
    </row>
    <row r="653" spans="3:11" ht="15.75" customHeight="1" x14ac:dyDescent="0.2">
      <c r="C653" s="205">
        <v>42214</v>
      </c>
      <c r="D653" s="185">
        <v>0.46875</v>
      </c>
      <c r="E653" s="3">
        <v>11</v>
      </c>
      <c r="F653">
        <v>9.18</v>
      </c>
      <c r="G653">
        <v>95.2</v>
      </c>
      <c r="H653">
        <v>17.2</v>
      </c>
    </row>
    <row r="654" spans="3:11" ht="15.75" customHeight="1" x14ac:dyDescent="0.2">
      <c r="C654" s="205">
        <v>42214</v>
      </c>
      <c r="D654" s="185">
        <v>0.46875</v>
      </c>
      <c r="E654" s="3">
        <v>12</v>
      </c>
      <c r="F654">
        <v>9.5299999999999994</v>
      </c>
      <c r="G654">
        <v>92.7</v>
      </c>
      <c r="H654">
        <v>14.9</v>
      </c>
    </row>
    <row r="655" spans="3:11" ht="15.75" customHeight="1" x14ac:dyDescent="0.2">
      <c r="C655" s="205">
        <v>42214</v>
      </c>
      <c r="D655" s="185">
        <v>0.46875</v>
      </c>
      <c r="E655" s="3">
        <v>13</v>
      </c>
      <c r="F655">
        <v>9.89</v>
      </c>
      <c r="G655">
        <v>90.7</v>
      </c>
      <c r="H655">
        <v>12.3</v>
      </c>
    </row>
    <row r="656" spans="3:11" ht="15.75" customHeight="1" x14ac:dyDescent="0.2">
      <c r="C656" s="205">
        <v>42214</v>
      </c>
      <c r="D656" s="185">
        <v>0.46875</v>
      </c>
      <c r="E656" s="3">
        <v>14</v>
      </c>
      <c r="F656">
        <v>9.98</v>
      </c>
      <c r="G656">
        <v>89.2</v>
      </c>
      <c r="H656">
        <v>10.9</v>
      </c>
    </row>
    <row r="657" spans="3:8" ht="15.75" customHeight="1" x14ac:dyDescent="0.2">
      <c r="C657" s="205">
        <v>42214</v>
      </c>
      <c r="D657" s="185">
        <v>0.46875</v>
      </c>
      <c r="E657" s="3">
        <v>15</v>
      </c>
      <c r="F657">
        <v>9.9499999999999993</v>
      </c>
      <c r="G657">
        <v>87.8</v>
      </c>
      <c r="H657">
        <v>10.1</v>
      </c>
    </row>
    <row r="658" spans="3:8" ht="15.75" customHeight="1" x14ac:dyDescent="0.2">
      <c r="C658" s="205">
        <v>42214</v>
      </c>
      <c r="D658" s="185">
        <v>0.46875</v>
      </c>
      <c r="E658" s="3">
        <v>16</v>
      </c>
      <c r="F658">
        <v>9.84</v>
      </c>
      <c r="G658">
        <v>84.6</v>
      </c>
      <c r="H658">
        <v>9.1</v>
      </c>
    </row>
    <row r="659" spans="3:8" ht="15.75" customHeight="1" x14ac:dyDescent="0.2">
      <c r="C659" s="205">
        <v>42214</v>
      </c>
      <c r="D659" s="185">
        <v>0.46875</v>
      </c>
      <c r="E659" s="3">
        <v>17</v>
      </c>
      <c r="F659">
        <v>9.67</v>
      </c>
      <c r="G659">
        <v>82</v>
      </c>
      <c r="H659">
        <v>8.6</v>
      </c>
    </row>
    <row r="660" spans="3:8" ht="15.75" customHeight="1" x14ac:dyDescent="0.2">
      <c r="C660" s="205">
        <v>42214</v>
      </c>
      <c r="D660" s="185">
        <v>0.46875</v>
      </c>
      <c r="E660" s="3">
        <v>18</v>
      </c>
      <c r="F660">
        <v>9.56</v>
      </c>
      <c r="G660">
        <v>80.7</v>
      </c>
      <c r="H660">
        <v>8.1999999999999993</v>
      </c>
    </row>
    <row r="661" spans="3:8" ht="15.75" customHeight="1" x14ac:dyDescent="0.2">
      <c r="C661" s="205">
        <v>42214</v>
      </c>
      <c r="D661" s="185">
        <v>0.46875</v>
      </c>
      <c r="E661" s="3">
        <v>19</v>
      </c>
      <c r="F661">
        <v>9.15</v>
      </c>
      <c r="G661">
        <v>79.400000000000006</v>
      </c>
      <c r="H661">
        <v>8</v>
      </c>
    </row>
    <row r="662" spans="3:8" ht="15.75" customHeight="1" x14ac:dyDescent="0.2">
      <c r="C662" s="205">
        <v>42214</v>
      </c>
      <c r="D662" s="185">
        <v>0.46875</v>
      </c>
      <c r="E662" s="3">
        <v>20</v>
      </c>
      <c r="F662">
        <v>9.1</v>
      </c>
      <c r="G662">
        <v>78.599999999999994</v>
      </c>
      <c r="H662">
        <v>7.8</v>
      </c>
    </row>
    <row r="663" spans="3:8" ht="15.75" customHeight="1" x14ac:dyDescent="0.2">
      <c r="C663" s="205">
        <v>42214</v>
      </c>
      <c r="D663" s="185">
        <v>0.46875</v>
      </c>
      <c r="E663" s="3">
        <v>21</v>
      </c>
      <c r="F663">
        <v>9.31</v>
      </c>
      <c r="G663">
        <v>77.400000000000006</v>
      </c>
      <c r="H663">
        <v>7.6</v>
      </c>
    </row>
    <row r="664" spans="3:8" ht="15.75" customHeight="1" x14ac:dyDescent="0.2">
      <c r="C664" s="205">
        <v>42214</v>
      </c>
      <c r="D664" s="185">
        <v>0.46875</v>
      </c>
      <c r="E664" s="3">
        <v>22</v>
      </c>
      <c r="F664">
        <v>9.24</v>
      </c>
      <c r="G664">
        <v>76.3</v>
      </c>
      <c r="H664">
        <v>7.3</v>
      </c>
    </row>
    <row r="665" spans="3:8" ht="15.75" customHeight="1" x14ac:dyDescent="0.2">
      <c r="C665" s="205">
        <v>42214</v>
      </c>
      <c r="D665" s="185">
        <v>0.46875</v>
      </c>
      <c r="E665" s="3">
        <v>23</v>
      </c>
      <c r="F665">
        <v>9.14</v>
      </c>
      <c r="G665">
        <v>74.599999999999994</v>
      </c>
      <c r="H665">
        <v>7</v>
      </c>
    </row>
    <row r="666" spans="3:8" ht="15.75" customHeight="1" x14ac:dyDescent="0.2">
      <c r="C666" s="205">
        <v>42214</v>
      </c>
      <c r="D666" s="185">
        <v>0.46875</v>
      </c>
      <c r="E666" s="3">
        <v>24</v>
      </c>
      <c r="F666">
        <v>9.0500000000000007</v>
      </c>
      <c r="G666">
        <v>73.599999999999994</v>
      </c>
      <c r="H666">
        <v>6.7</v>
      </c>
    </row>
    <row r="667" spans="3:8" ht="15.75" customHeight="1" x14ac:dyDescent="0.2">
      <c r="C667" s="205">
        <v>42214</v>
      </c>
      <c r="D667" s="185">
        <v>0.46875</v>
      </c>
      <c r="E667" s="3">
        <v>25</v>
      </c>
      <c r="F667">
        <v>8.99</v>
      </c>
      <c r="G667">
        <v>73</v>
      </c>
      <c r="H667">
        <v>6.6</v>
      </c>
    </row>
    <row r="668" spans="3:8" ht="15.75" customHeight="1" x14ac:dyDescent="0.2">
      <c r="C668" s="205">
        <v>42214</v>
      </c>
      <c r="D668" s="185">
        <v>0.46875</v>
      </c>
      <c r="E668" s="3">
        <v>30</v>
      </c>
      <c r="F668">
        <v>8.75</v>
      </c>
      <c r="G668">
        <v>70.400000000000006</v>
      </c>
      <c r="H668">
        <v>6.1</v>
      </c>
    </row>
    <row r="669" spans="3:8" ht="15.75" customHeight="1" x14ac:dyDescent="0.2">
      <c r="C669" s="205">
        <v>42214</v>
      </c>
      <c r="D669" s="185">
        <v>0.46875</v>
      </c>
      <c r="E669" s="3">
        <v>35</v>
      </c>
      <c r="F669">
        <v>8.66</v>
      </c>
      <c r="G669">
        <v>69.3</v>
      </c>
      <c r="H669">
        <v>5.9</v>
      </c>
    </row>
    <row r="670" spans="3:8" ht="15.75" customHeight="1" x14ac:dyDescent="0.2">
      <c r="C670" s="205">
        <v>42214</v>
      </c>
      <c r="D670" s="185">
        <v>0.46875</v>
      </c>
      <c r="E670" s="3">
        <v>40</v>
      </c>
      <c r="F670">
        <v>8.5</v>
      </c>
      <c r="G670">
        <v>67.5</v>
      </c>
      <c r="H670">
        <v>5.7</v>
      </c>
    </row>
    <row r="671" spans="3:8" ht="15.75" customHeight="1" x14ac:dyDescent="0.2">
      <c r="C671" s="205">
        <v>42214</v>
      </c>
      <c r="D671" s="185">
        <v>0.46875</v>
      </c>
      <c r="E671" s="3">
        <v>45</v>
      </c>
      <c r="F671">
        <v>8.24</v>
      </c>
      <c r="G671">
        <v>65.3</v>
      </c>
      <c r="H671">
        <v>5.6</v>
      </c>
    </row>
    <row r="672" spans="3:8" ht="15.75" customHeight="1" x14ac:dyDescent="0.2">
      <c r="E672" s="3"/>
    </row>
    <row r="673" spans="5:5" ht="15.75" customHeight="1" x14ac:dyDescent="0.2">
      <c r="E673" s="3"/>
    </row>
    <row r="674" spans="5:5" ht="15.75" customHeight="1" x14ac:dyDescent="0.2">
      <c r="E674" s="3"/>
    </row>
    <row r="675" spans="5:5" ht="15.75" customHeight="1" x14ac:dyDescent="0.2">
      <c r="E675" s="3"/>
    </row>
    <row r="676" spans="5:5" ht="15.75" customHeight="1" x14ac:dyDescent="0.2">
      <c r="E676" s="3"/>
    </row>
    <row r="677" spans="5:5" ht="15.75" customHeight="1" x14ac:dyDescent="0.2">
      <c r="E677" s="3"/>
    </row>
    <row r="678" spans="5:5" ht="15.75" customHeight="1" x14ac:dyDescent="0.2">
      <c r="E678" s="3"/>
    </row>
    <row r="679" spans="5:5" ht="15.75" customHeight="1" x14ac:dyDescent="0.2">
      <c r="E679" s="3"/>
    </row>
    <row r="680" spans="5:5" ht="15.75" customHeight="1" x14ac:dyDescent="0.2">
      <c r="E680" s="3"/>
    </row>
    <row r="681" spans="5:5" ht="15.75" customHeight="1" x14ac:dyDescent="0.2">
      <c r="E681" s="3"/>
    </row>
    <row r="682" spans="5:5" ht="15.75" customHeight="1" x14ac:dyDescent="0.2">
      <c r="E682" s="3"/>
    </row>
    <row r="683" spans="5:5" ht="15.75" customHeight="1" x14ac:dyDescent="0.2">
      <c r="E683" s="3"/>
    </row>
    <row r="684" spans="5:5" ht="15.75" customHeight="1" x14ac:dyDescent="0.2">
      <c r="E684" s="3"/>
    </row>
    <row r="685" spans="5:5" ht="15.75" customHeight="1" x14ac:dyDescent="0.2">
      <c r="E685" s="3"/>
    </row>
    <row r="686" spans="5:5" ht="15.75" customHeight="1" x14ac:dyDescent="0.2">
      <c r="E686" s="3"/>
    </row>
    <row r="687" spans="5:5" ht="15.75" customHeight="1" x14ac:dyDescent="0.2">
      <c r="E687" s="3"/>
    </row>
    <row r="688" spans="5:5" ht="15.75" customHeight="1" x14ac:dyDescent="0.2">
      <c r="E688" s="3"/>
    </row>
    <row r="689" spans="5:5" ht="15.75" customHeight="1" x14ac:dyDescent="0.2">
      <c r="E689" s="3"/>
    </row>
    <row r="690" spans="5:5" ht="15.75" customHeight="1" x14ac:dyDescent="0.2">
      <c r="E690" s="3"/>
    </row>
    <row r="691" spans="5:5" ht="15.75" customHeight="1" x14ac:dyDescent="0.2">
      <c r="E691" s="3"/>
    </row>
    <row r="692" spans="5:5" ht="15.75" customHeight="1" x14ac:dyDescent="0.2">
      <c r="E692" s="3"/>
    </row>
    <row r="693" spans="5:5" ht="15.75" customHeight="1" x14ac:dyDescent="0.2">
      <c r="E693" s="3"/>
    </row>
    <row r="694" spans="5:5" ht="15.75" customHeight="1" x14ac:dyDescent="0.2">
      <c r="E694" s="3"/>
    </row>
    <row r="695" spans="5:5" ht="15.75" customHeight="1" x14ac:dyDescent="0.2">
      <c r="E695" s="3"/>
    </row>
    <row r="696" spans="5:5" ht="15.75" customHeight="1" x14ac:dyDescent="0.2">
      <c r="E696" s="3"/>
    </row>
    <row r="697" spans="5:5" ht="15.75" customHeight="1" x14ac:dyDescent="0.2">
      <c r="E697" s="3"/>
    </row>
    <row r="698" spans="5:5" ht="15.75" customHeight="1" x14ac:dyDescent="0.2">
      <c r="E698" s="3"/>
    </row>
    <row r="699" spans="5:5" ht="15.75" customHeight="1" x14ac:dyDescent="0.2">
      <c r="E699" s="3"/>
    </row>
    <row r="700" spans="5:5" ht="15.75" customHeight="1" x14ac:dyDescent="0.2">
      <c r="E700" s="3"/>
    </row>
    <row r="701" spans="5:5" ht="15.75" customHeight="1" x14ac:dyDescent="0.2">
      <c r="E701" s="3"/>
    </row>
    <row r="702" spans="5:5" ht="15.75" customHeight="1" x14ac:dyDescent="0.2">
      <c r="E702" s="3"/>
    </row>
    <row r="703" spans="5:5" ht="15.75" customHeight="1" x14ac:dyDescent="0.2">
      <c r="E703" s="3"/>
    </row>
    <row r="704" spans="5:5" ht="15.75" customHeight="1" x14ac:dyDescent="0.2">
      <c r="E704" s="3"/>
    </row>
    <row r="705" spans="5:5" ht="15.75" customHeight="1" x14ac:dyDescent="0.2">
      <c r="E705" s="3"/>
    </row>
    <row r="706" spans="5:5" ht="15.75" customHeight="1" x14ac:dyDescent="0.2">
      <c r="E706" s="3"/>
    </row>
    <row r="707" spans="5:5" ht="15.75" customHeight="1" x14ac:dyDescent="0.2">
      <c r="E707" s="3"/>
    </row>
    <row r="708" spans="5:5" ht="15.75" customHeight="1" x14ac:dyDescent="0.2">
      <c r="E708" s="3"/>
    </row>
    <row r="709" spans="5:5" ht="15.75" customHeight="1" x14ac:dyDescent="0.2">
      <c r="E709" s="3"/>
    </row>
    <row r="710" spans="5:5" ht="15.75" customHeight="1" x14ac:dyDescent="0.2">
      <c r="E710" s="3"/>
    </row>
    <row r="711" spans="5:5" ht="15.75" customHeight="1" x14ac:dyDescent="0.2">
      <c r="E711" s="3"/>
    </row>
    <row r="712" spans="5:5" ht="15.75" customHeight="1" x14ac:dyDescent="0.2">
      <c r="E712" s="3"/>
    </row>
    <row r="713" spans="5:5" ht="15.75" customHeight="1" x14ac:dyDescent="0.2">
      <c r="E713" s="3"/>
    </row>
    <row r="714" spans="5:5" ht="15.75" customHeight="1" x14ac:dyDescent="0.2">
      <c r="E714" s="3"/>
    </row>
    <row r="715" spans="5:5" ht="15.75" customHeight="1" x14ac:dyDescent="0.2">
      <c r="E715" s="3"/>
    </row>
    <row r="716" spans="5:5" ht="15.75" customHeight="1" x14ac:dyDescent="0.2">
      <c r="E716" s="3"/>
    </row>
    <row r="717" spans="5:5" ht="15.75" customHeight="1" x14ac:dyDescent="0.2">
      <c r="E717" s="3"/>
    </row>
    <row r="718" spans="5:5" ht="15.75" customHeight="1" x14ac:dyDescent="0.2">
      <c r="E718" s="3"/>
    </row>
    <row r="719" spans="5:5" ht="15.75" customHeight="1" x14ac:dyDescent="0.2">
      <c r="E719" s="3"/>
    </row>
    <row r="720" spans="5:5" ht="15.75" customHeight="1" x14ac:dyDescent="0.2">
      <c r="E720" s="3"/>
    </row>
    <row r="721" spans="5:5" ht="15.75" customHeight="1" x14ac:dyDescent="0.2">
      <c r="E721" s="3"/>
    </row>
    <row r="722" spans="5:5" ht="15.75" customHeight="1" x14ac:dyDescent="0.2">
      <c r="E722" s="3"/>
    </row>
    <row r="723" spans="5:5" ht="15.75" customHeight="1" x14ac:dyDescent="0.2">
      <c r="E723" s="3"/>
    </row>
    <row r="724" spans="5:5" ht="15.75" customHeight="1" x14ac:dyDescent="0.2">
      <c r="E724" s="3"/>
    </row>
    <row r="725" spans="5:5" ht="15.75" customHeight="1" x14ac:dyDescent="0.2">
      <c r="E725" s="3"/>
    </row>
    <row r="726" spans="5:5" ht="15.75" customHeight="1" x14ac:dyDescent="0.2">
      <c r="E726" s="3"/>
    </row>
    <row r="727" spans="5:5" ht="15.75" customHeight="1" x14ac:dyDescent="0.2">
      <c r="E727" s="3"/>
    </row>
    <row r="728" spans="5:5" ht="15.75" customHeight="1" x14ac:dyDescent="0.2">
      <c r="E728" s="3"/>
    </row>
    <row r="729" spans="5:5" ht="15.75" customHeight="1" x14ac:dyDescent="0.2">
      <c r="E729" s="3"/>
    </row>
    <row r="730" spans="5:5" ht="15.75" customHeight="1" x14ac:dyDescent="0.2">
      <c r="E730" s="3"/>
    </row>
    <row r="731" spans="5:5" ht="15.75" customHeight="1" x14ac:dyDescent="0.2">
      <c r="E731" s="3"/>
    </row>
    <row r="732" spans="5:5" ht="15.75" customHeight="1" x14ac:dyDescent="0.2">
      <c r="E732" s="3"/>
    </row>
    <row r="733" spans="5:5" ht="15.75" customHeight="1" x14ac:dyDescent="0.2">
      <c r="E733" s="3"/>
    </row>
    <row r="734" spans="5:5" ht="15.75" customHeight="1" x14ac:dyDescent="0.2">
      <c r="E734" s="3"/>
    </row>
    <row r="735" spans="5:5" ht="15.75" customHeight="1" x14ac:dyDescent="0.2">
      <c r="E735" s="3"/>
    </row>
    <row r="736" spans="5:5" ht="15.75" customHeight="1" x14ac:dyDescent="0.2">
      <c r="E736" s="3"/>
    </row>
    <row r="737" spans="5:5" ht="15.75" customHeight="1" x14ac:dyDescent="0.2">
      <c r="E737" s="3"/>
    </row>
    <row r="738" spans="5:5" ht="15.75" customHeight="1" x14ac:dyDescent="0.2">
      <c r="E738" s="3"/>
    </row>
    <row r="739" spans="5:5" ht="15.75" customHeight="1" x14ac:dyDescent="0.2">
      <c r="E739" s="3"/>
    </row>
    <row r="740" spans="5:5" ht="15.75" customHeight="1" x14ac:dyDescent="0.2">
      <c r="E740" s="3"/>
    </row>
    <row r="741" spans="5:5" ht="15.75" customHeight="1" x14ac:dyDescent="0.2">
      <c r="E741" s="3"/>
    </row>
    <row r="742" spans="5:5" ht="15.75" customHeight="1" x14ac:dyDescent="0.2">
      <c r="E742" s="3"/>
    </row>
    <row r="743" spans="5:5" ht="15.75" customHeight="1" x14ac:dyDescent="0.2">
      <c r="E743" s="3"/>
    </row>
    <row r="744" spans="5:5" ht="15.75" customHeight="1" x14ac:dyDescent="0.2">
      <c r="E744" s="3"/>
    </row>
    <row r="745" spans="5:5" ht="15.75" customHeight="1" x14ac:dyDescent="0.2">
      <c r="E745" s="3"/>
    </row>
    <row r="746" spans="5:5" ht="15.75" customHeight="1" x14ac:dyDescent="0.2">
      <c r="E746" s="3"/>
    </row>
    <row r="747" spans="5:5" ht="15.75" customHeight="1" x14ac:dyDescent="0.2">
      <c r="E747" s="3"/>
    </row>
    <row r="748" spans="5:5" ht="15.75" customHeight="1" x14ac:dyDescent="0.2">
      <c r="E748" s="3"/>
    </row>
    <row r="749" spans="5:5" ht="15.75" customHeight="1" x14ac:dyDescent="0.2">
      <c r="E749" s="3"/>
    </row>
    <row r="750" spans="5:5" ht="15.75" customHeight="1" x14ac:dyDescent="0.2">
      <c r="E750" s="3"/>
    </row>
    <row r="751" spans="5:5" ht="15.75" customHeight="1" x14ac:dyDescent="0.2">
      <c r="E751" s="3"/>
    </row>
    <row r="752" spans="5:5" ht="15.75" customHeight="1" x14ac:dyDescent="0.2">
      <c r="E752" s="3"/>
    </row>
    <row r="753" spans="5:5" ht="15.75" customHeight="1" x14ac:dyDescent="0.2">
      <c r="E753" s="3"/>
    </row>
    <row r="754" spans="5:5" ht="15.75" customHeight="1" x14ac:dyDescent="0.2">
      <c r="E754" s="3"/>
    </row>
    <row r="755" spans="5:5" ht="15.75" customHeight="1" x14ac:dyDescent="0.2">
      <c r="E755" s="3"/>
    </row>
    <row r="756" spans="5:5" ht="15.75" customHeight="1" x14ac:dyDescent="0.2">
      <c r="E756" s="3"/>
    </row>
    <row r="757" spans="5:5" ht="15.75" customHeight="1" x14ac:dyDescent="0.2">
      <c r="E757" s="3"/>
    </row>
    <row r="758" spans="5:5" ht="15.75" customHeight="1" x14ac:dyDescent="0.2">
      <c r="E758" s="3"/>
    </row>
    <row r="759" spans="5:5" ht="15.75" customHeight="1" x14ac:dyDescent="0.2">
      <c r="E759" s="3"/>
    </row>
    <row r="760" spans="5:5" ht="15.75" customHeight="1" x14ac:dyDescent="0.2">
      <c r="E760" s="3"/>
    </row>
    <row r="761" spans="5:5" ht="15.75" customHeight="1" x14ac:dyDescent="0.2">
      <c r="E761" s="3"/>
    </row>
    <row r="762" spans="5:5" ht="15.75" customHeight="1" x14ac:dyDescent="0.2">
      <c r="E762" s="3"/>
    </row>
    <row r="763" spans="5:5" ht="15.75" customHeight="1" x14ac:dyDescent="0.2">
      <c r="E763" s="3"/>
    </row>
    <row r="764" spans="5:5" ht="15.75" customHeight="1" x14ac:dyDescent="0.2">
      <c r="E764" s="3"/>
    </row>
    <row r="765" spans="5:5" ht="15.75" customHeight="1" x14ac:dyDescent="0.2">
      <c r="E765" s="3"/>
    </row>
    <row r="766" spans="5:5" ht="15.75" customHeight="1" x14ac:dyDescent="0.2">
      <c r="E766" s="3"/>
    </row>
    <row r="767" spans="5:5" ht="15.75" customHeight="1" x14ac:dyDescent="0.2">
      <c r="E767" s="3"/>
    </row>
    <row r="768" spans="5:5" ht="15.75" customHeight="1" x14ac:dyDescent="0.2">
      <c r="E768" s="3"/>
    </row>
    <row r="769" spans="5:5" ht="15.75" customHeight="1" x14ac:dyDescent="0.2">
      <c r="E769" s="3"/>
    </row>
    <row r="770" spans="5:5" ht="15.75" customHeight="1" x14ac:dyDescent="0.2">
      <c r="E770" s="3"/>
    </row>
    <row r="771" spans="5:5" ht="15.75" customHeight="1" x14ac:dyDescent="0.2">
      <c r="E771" s="3"/>
    </row>
    <row r="772" spans="5:5" ht="15.75" customHeight="1" x14ac:dyDescent="0.2">
      <c r="E772" s="3"/>
    </row>
    <row r="773" spans="5:5" ht="15.75" customHeight="1" x14ac:dyDescent="0.2">
      <c r="E773" s="3"/>
    </row>
    <row r="774" spans="5:5" ht="15.75" customHeight="1" x14ac:dyDescent="0.2">
      <c r="E774" s="3"/>
    </row>
    <row r="775" spans="5:5" ht="15.75" customHeight="1" x14ac:dyDescent="0.2">
      <c r="E775" s="3"/>
    </row>
    <row r="776" spans="5:5" ht="15.75" customHeight="1" x14ac:dyDescent="0.2">
      <c r="E776" s="3"/>
    </row>
    <row r="777" spans="5:5" ht="15.75" customHeight="1" x14ac:dyDescent="0.2">
      <c r="E777" s="3"/>
    </row>
    <row r="778" spans="5:5" ht="15.75" customHeight="1" x14ac:dyDescent="0.2">
      <c r="E778" s="3"/>
    </row>
    <row r="779" spans="5:5" ht="15.75" customHeight="1" x14ac:dyDescent="0.2">
      <c r="E779" s="3"/>
    </row>
    <row r="780" spans="5:5" ht="15.75" customHeight="1" x14ac:dyDescent="0.2">
      <c r="E780" s="3"/>
    </row>
    <row r="781" spans="5:5" ht="15.75" customHeight="1" x14ac:dyDescent="0.2">
      <c r="E781" s="3"/>
    </row>
    <row r="782" spans="5:5" ht="15.75" customHeight="1" x14ac:dyDescent="0.2">
      <c r="E782" s="3"/>
    </row>
    <row r="783" spans="5:5" ht="15.75" customHeight="1" x14ac:dyDescent="0.2">
      <c r="E783" s="3"/>
    </row>
    <row r="784" spans="5:5" ht="15.75" customHeight="1" x14ac:dyDescent="0.2">
      <c r="E784" s="3"/>
    </row>
    <row r="785" spans="5:5" ht="15.75" customHeight="1" x14ac:dyDescent="0.2">
      <c r="E785" s="3"/>
    </row>
    <row r="786" spans="5:5" ht="15.75" customHeight="1" x14ac:dyDescent="0.2">
      <c r="E786" s="3"/>
    </row>
    <row r="787" spans="5:5" ht="15.75" customHeight="1" x14ac:dyDescent="0.2">
      <c r="E787" s="3"/>
    </row>
    <row r="788" spans="5:5" ht="15.75" customHeight="1" x14ac:dyDescent="0.2">
      <c r="E788" s="3"/>
    </row>
    <row r="789" spans="5:5" ht="15.75" customHeight="1" x14ac:dyDescent="0.2">
      <c r="E789" s="3"/>
    </row>
    <row r="790" spans="5:5" ht="15.75" customHeight="1" x14ac:dyDescent="0.2">
      <c r="E790" s="3"/>
    </row>
    <row r="791" spans="5:5" ht="15.75" customHeight="1" x14ac:dyDescent="0.2">
      <c r="E791" s="3"/>
    </row>
    <row r="792" spans="5:5" ht="15.75" customHeight="1" x14ac:dyDescent="0.2">
      <c r="E792" s="3"/>
    </row>
    <row r="793" spans="5:5" ht="15.75" customHeight="1" x14ac:dyDescent="0.2">
      <c r="E793" s="3"/>
    </row>
    <row r="794" spans="5:5" ht="15.75" customHeight="1" x14ac:dyDescent="0.2">
      <c r="E794" s="3"/>
    </row>
    <row r="795" spans="5:5" ht="15.75" customHeight="1" x14ac:dyDescent="0.2">
      <c r="E795" s="3"/>
    </row>
    <row r="796" spans="5:5" ht="15.75" customHeight="1" x14ac:dyDescent="0.2">
      <c r="E796" s="3"/>
    </row>
    <row r="797" spans="5:5" ht="15.75" customHeight="1" x14ac:dyDescent="0.2">
      <c r="E797" s="3"/>
    </row>
    <row r="798" spans="5:5" ht="15.75" customHeight="1" x14ac:dyDescent="0.2">
      <c r="E798" s="3"/>
    </row>
    <row r="799" spans="5:5" ht="15.75" customHeight="1" x14ac:dyDescent="0.2">
      <c r="E799" s="3"/>
    </row>
    <row r="800" spans="5:5" ht="15.75" customHeight="1" x14ac:dyDescent="0.2">
      <c r="E800" s="3"/>
    </row>
    <row r="801" spans="5:5" ht="15.75" customHeight="1" x14ac:dyDescent="0.2">
      <c r="E801" s="3"/>
    </row>
    <row r="802" spans="5:5" ht="15.75" customHeight="1" x14ac:dyDescent="0.2">
      <c r="E802" s="3"/>
    </row>
    <row r="803" spans="5:5" ht="15.75" customHeight="1" x14ac:dyDescent="0.2">
      <c r="E803" s="3"/>
    </row>
    <row r="804" spans="5:5" ht="15.75" customHeight="1" x14ac:dyDescent="0.2">
      <c r="E804" s="3"/>
    </row>
    <row r="805" spans="5:5" ht="15.75" customHeight="1" x14ac:dyDescent="0.2">
      <c r="E805" s="3"/>
    </row>
    <row r="806" spans="5:5" ht="15.75" customHeight="1" x14ac:dyDescent="0.2">
      <c r="E806" s="3"/>
    </row>
    <row r="807" spans="5:5" ht="15.75" customHeight="1" x14ac:dyDescent="0.2">
      <c r="E807" s="3"/>
    </row>
    <row r="808" spans="5:5" ht="15.75" customHeight="1" x14ac:dyDescent="0.2">
      <c r="E808" s="3"/>
    </row>
    <row r="809" spans="5:5" ht="15.75" customHeight="1" x14ac:dyDescent="0.2">
      <c r="E809" s="3"/>
    </row>
    <row r="810" spans="5:5" ht="15.75" customHeight="1" x14ac:dyDescent="0.2">
      <c r="E810" s="3"/>
    </row>
    <row r="811" spans="5:5" ht="15.75" customHeight="1" x14ac:dyDescent="0.2">
      <c r="E811" s="3"/>
    </row>
    <row r="812" spans="5:5" ht="15.75" customHeight="1" x14ac:dyDescent="0.2">
      <c r="E812" s="3"/>
    </row>
    <row r="813" spans="5:5" ht="15.75" customHeight="1" x14ac:dyDescent="0.2">
      <c r="E813" s="3"/>
    </row>
    <row r="814" spans="5:5" ht="15.75" customHeight="1" x14ac:dyDescent="0.2">
      <c r="E814" s="3"/>
    </row>
    <row r="815" spans="5:5" ht="15.75" customHeight="1" x14ac:dyDescent="0.2">
      <c r="E815" s="3"/>
    </row>
    <row r="816" spans="5:5" ht="15.75" customHeight="1" x14ac:dyDescent="0.2">
      <c r="E816" s="3"/>
    </row>
    <row r="817" spans="5:5" ht="15.75" customHeight="1" x14ac:dyDescent="0.2">
      <c r="E817" s="3"/>
    </row>
    <row r="818" spans="5:5" ht="15.75" customHeight="1" x14ac:dyDescent="0.2">
      <c r="E818" s="3"/>
    </row>
    <row r="819" spans="5:5" ht="15.75" customHeight="1" x14ac:dyDescent="0.2">
      <c r="E819" s="3"/>
    </row>
    <row r="820" spans="5:5" ht="15.75" customHeight="1" x14ac:dyDescent="0.2">
      <c r="E820" s="3"/>
    </row>
    <row r="821" spans="5:5" ht="15.75" customHeight="1" x14ac:dyDescent="0.2">
      <c r="E821" s="3"/>
    </row>
    <row r="822" spans="5:5" ht="15.75" customHeight="1" x14ac:dyDescent="0.2">
      <c r="E822" s="3"/>
    </row>
    <row r="823" spans="5:5" ht="15.75" customHeight="1" x14ac:dyDescent="0.2">
      <c r="E823" s="3"/>
    </row>
    <row r="824" spans="5:5" ht="15.75" customHeight="1" x14ac:dyDescent="0.2">
      <c r="E824" s="3"/>
    </row>
    <row r="825" spans="5:5" ht="15.75" customHeight="1" x14ac:dyDescent="0.2">
      <c r="E825" s="3"/>
    </row>
    <row r="826" spans="5:5" ht="15.75" customHeight="1" x14ac:dyDescent="0.2">
      <c r="E826" s="3"/>
    </row>
    <row r="827" spans="5:5" ht="15.75" customHeight="1" x14ac:dyDescent="0.2">
      <c r="E827" s="3"/>
    </row>
    <row r="828" spans="5:5" ht="15.75" customHeight="1" x14ac:dyDescent="0.2">
      <c r="E828" s="3"/>
    </row>
    <row r="829" spans="5:5" ht="15.75" customHeight="1" x14ac:dyDescent="0.2">
      <c r="E829" s="3"/>
    </row>
    <row r="830" spans="5:5" ht="15.75" customHeight="1" x14ac:dyDescent="0.2">
      <c r="E830" s="3"/>
    </row>
    <row r="831" spans="5:5" ht="15.75" customHeight="1" x14ac:dyDescent="0.2">
      <c r="E831" s="3"/>
    </row>
    <row r="832" spans="5:5" ht="15.75" customHeight="1" x14ac:dyDescent="0.2">
      <c r="E832" s="3"/>
    </row>
    <row r="833" spans="5:5" ht="15.75" customHeight="1" x14ac:dyDescent="0.2">
      <c r="E833" s="3"/>
    </row>
    <row r="834" spans="5:5" ht="15.75" customHeight="1" x14ac:dyDescent="0.2">
      <c r="E834" s="3"/>
    </row>
    <row r="835" spans="5:5" ht="15.75" customHeight="1" x14ac:dyDescent="0.2">
      <c r="E835" s="3"/>
    </row>
    <row r="836" spans="5:5" ht="15.75" customHeight="1" x14ac:dyDescent="0.2">
      <c r="E836" s="3"/>
    </row>
    <row r="837" spans="5:5" ht="15.75" customHeight="1" x14ac:dyDescent="0.2">
      <c r="E837" s="3"/>
    </row>
    <row r="838" spans="5:5" ht="15.75" customHeight="1" x14ac:dyDescent="0.2">
      <c r="E838" s="3"/>
    </row>
    <row r="839" spans="5:5" ht="15.75" customHeight="1" x14ac:dyDescent="0.2">
      <c r="E839" s="3"/>
    </row>
    <row r="840" spans="5:5" ht="15.75" customHeight="1" x14ac:dyDescent="0.2">
      <c r="E840" s="3"/>
    </row>
    <row r="841" spans="5:5" ht="15.75" customHeight="1" x14ac:dyDescent="0.2">
      <c r="E841" s="3"/>
    </row>
    <row r="842" spans="5:5" ht="15.75" customHeight="1" x14ac:dyDescent="0.2">
      <c r="E842" s="3"/>
    </row>
    <row r="843" spans="5:5" ht="15.75" customHeight="1" x14ac:dyDescent="0.2">
      <c r="E843" s="3"/>
    </row>
    <row r="844" spans="5:5" ht="15.75" customHeight="1" x14ac:dyDescent="0.2">
      <c r="E844" s="3"/>
    </row>
    <row r="845" spans="5:5" ht="15.75" customHeight="1" x14ac:dyDescent="0.2">
      <c r="E845" s="3"/>
    </row>
    <row r="846" spans="5:5" ht="15.75" customHeight="1" x14ac:dyDescent="0.2">
      <c r="E846" s="3"/>
    </row>
    <row r="847" spans="5:5" ht="15.75" customHeight="1" x14ac:dyDescent="0.2">
      <c r="E847" s="3"/>
    </row>
    <row r="848" spans="5:5" ht="15.75" customHeight="1" x14ac:dyDescent="0.2">
      <c r="E848" s="3"/>
    </row>
    <row r="849" spans="5:5" ht="15.75" customHeight="1" x14ac:dyDescent="0.2">
      <c r="E849" s="3"/>
    </row>
    <row r="850" spans="5:5" ht="15.75" customHeight="1" x14ac:dyDescent="0.2">
      <c r="E850" s="3"/>
    </row>
    <row r="851" spans="5:5" ht="15.75" customHeight="1" x14ac:dyDescent="0.2">
      <c r="E851" s="3"/>
    </row>
    <row r="852" spans="5:5" ht="15.75" customHeight="1" x14ac:dyDescent="0.2">
      <c r="E852" s="3"/>
    </row>
    <row r="853" spans="5:5" ht="15.75" customHeight="1" x14ac:dyDescent="0.2">
      <c r="E853" s="3"/>
    </row>
    <row r="854" spans="5:5" ht="15.75" customHeight="1" x14ac:dyDescent="0.2">
      <c r="E854" s="3"/>
    </row>
    <row r="855" spans="5:5" ht="15.75" customHeight="1" x14ac:dyDescent="0.2">
      <c r="E855" s="3"/>
    </row>
    <row r="856" spans="5:5" ht="15.75" customHeight="1" x14ac:dyDescent="0.2">
      <c r="E856" s="3"/>
    </row>
    <row r="857" spans="5:5" ht="15.75" customHeight="1" x14ac:dyDescent="0.2">
      <c r="E857" s="3"/>
    </row>
    <row r="858" spans="5:5" ht="15.75" customHeight="1" x14ac:dyDescent="0.2">
      <c r="E858" s="3"/>
    </row>
    <row r="859" spans="5:5" ht="15.75" customHeight="1" x14ac:dyDescent="0.2">
      <c r="E859" s="3"/>
    </row>
    <row r="860" spans="5:5" ht="15.75" customHeight="1" x14ac:dyDescent="0.2">
      <c r="E860" s="3"/>
    </row>
    <row r="861" spans="5:5" ht="15.75" customHeight="1" x14ac:dyDescent="0.2">
      <c r="E861" s="3"/>
    </row>
    <row r="862" spans="5:5" ht="15.75" customHeight="1" x14ac:dyDescent="0.2">
      <c r="E862" s="3"/>
    </row>
    <row r="863" spans="5:5" ht="15.75" customHeight="1" x14ac:dyDescent="0.2">
      <c r="E863" s="3"/>
    </row>
    <row r="864" spans="5:5" ht="15.75" customHeight="1" x14ac:dyDescent="0.2">
      <c r="E864" s="3"/>
    </row>
    <row r="865" spans="5:5" ht="15.75" customHeight="1" x14ac:dyDescent="0.2">
      <c r="E865" s="3"/>
    </row>
    <row r="866" spans="5:5" ht="15.75" customHeight="1" x14ac:dyDescent="0.2">
      <c r="E866" s="3"/>
    </row>
    <row r="867" spans="5:5" ht="15.75" customHeight="1" x14ac:dyDescent="0.2">
      <c r="E867" s="3"/>
    </row>
    <row r="868" spans="5:5" ht="15.75" customHeight="1" x14ac:dyDescent="0.2">
      <c r="E868" s="3"/>
    </row>
    <row r="869" spans="5:5" ht="15.75" customHeight="1" x14ac:dyDescent="0.2">
      <c r="E869" s="3"/>
    </row>
    <row r="870" spans="5:5" ht="15.75" customHeight="1" x14ac:dyDescent="0.2">
      <c r="E870" s="3"/>
    </row>
    <row r="871" spans="5:5" ht="15.75" customHeight="1" x14ac:dyDescent="0.2">
      <c r="E871" s="3"/>
    </row>
    <row r="872" spans="5:5" ht="15.75" customHeight="1" x14ac:dyDescent="0.2">
      <c r="E872" s="3"/>
    </row>
    <row r="873" spans="5:5" ht="15.75" customHeight="1" x14ac:dyDescent="0.2">
      <c r="E873" s="3"/>
    </row>
    <row r="874" spans="5:5" ht="15.75" customHeight="1" x14ac:dyDescent="0.2">
      <c r="E874" s="3"/>
    </row>
    <row r="875" spans="5:5" ht="15.75" customHeight="1" x14ac:dyDescent="0.2">
      <c r="E875" s="3"/>
    </row>
    <row r="876" spans="5:5" ht="15.75" customHeight="1" x14ac:dyDescent="0.2">
      <c r="E876" s="3"/>
    </row>
    <row r="877" spans="5:5" ht="15.75" customHeight="1" x14ac:dyDescent="0.2">
      <c r="E877" s="3"/>
    </row>
    <row r="878" spans="5:5" ht="15.75" customHeight="1" x14ac:dyDescent="0.2">
      <c r="E878" s="3"/>
    </row>
    <row r="879" spans="5:5" ht="15.75" customHeight="1" x14ac:dyDescent="0.2">
      <c r="E879" s="3"/>
    </row>
    <row r="880" spans="5:5" ht="15.75" customHeight="1" x14ac:dyDescent="0.2">
      <c r="E880" s="3"/>
    </row>
    <row r="881" spans="5:5" ht="15.75" customHeight="1" x14ac:dyDescent="0.2">
      <c r="E881" s="3"/>
    </row>
    <row r="882" spans="5:5" ht="15.75" customHeight="1" x14ac:dyDescent="0.2">
      <c r="E882" s="3"/>
    </row>
    <row r="883" spans="5:5" ht="15.75" customHeight="1" x14ac:dyDescent="0.2">
      <c r="E883" s="3"/>
    </row>
    <row r="884" spans="5:5" ht="15.75" customHeight="1" x14ac:dyDescent="0.2">
      <c r="E884" s="3"/>
    </row>
    <row r="885" spans="5:5" ht="15.75" customHeight="1" x14ac:dyDescent="0.2">
      <c r="E885" s="3"/>
    </row>
    <row r="886" spans="5:5" ht="15.75" customHeight="1" x14ac:dyDescent="0.2">
      <c r="E886" s="3"/>
    </row>
    <row r="887" spans="5:5" ht="15.75" customHeight="1" x14ac:dyDescent="0.2">
      <c r="E887" s="3"/>
    </row>
    <row r="888" spans="5:5" ht="15.75" customHeight="1" x14ac:dyDescent="0.2">
      <c r="E888" s="3"/>
    </row>
    <row r="889" spans="5:5" ht="15.75" customHeight="1" x14ac:dyDescent="0.2">
      <c r="E889" s="3"/>
    </row>
    <row r="890" spans="5:5" ht="15.75" customHeight="1" x14ac:dyDescent="0.2">
      <c r="E890" s="3"/>
    </row>
    <row r="891" spans="5:5" ht="15.75" customHeight="1" x14ac:dyDescent="0.2">
      <c r="E891" s="3"/>
    </row>
    <row r="892" spans="5:5" ht="15.75" customHeight="1" x14ac:dyDescent="0.2">
      <c r="E892" s="3"/>
    </row>
    <row r="893" spans="5:5" ht="15.75" customHeight="1" x14ac:dyDescent="0.2">
      <c r="E893" s="3"/>
    </row>
    <row r="894" spans="5:5" ht="15.75" customHeight="1" x14ac:dyDescent="0.2">
      <c r="E894" s="3"/>
    </row>
    <row r="895" spans="5:5" ht="15.75" customHeight="1" x14ac:dyDescent="0.2">
      <c r="E895" s="3"/>
    </row>
    <row r="896" spans="5:5" ht="15.75" customHeight="1" x14ac:dyDescent="0.2">
      <c r="E896" s="3"/>
    </row>
    <row r="897" spans="5:5" ht="15.75" customHeight="1" x14ac:dyDescent="0.2">
      <c r="E897" s="3"/>
    </row>
    <row r="898" spans="5:5" ht="15.75" customHeight="1" x14ac:dyDescent="0.2">
      <c r="E898" s="3"/>
    </row>
    <row r="899" spans="5:5" ht="15.75" customHeight="1" x14ac:dyDescent="0.2">
      <c r="E899" s="3"/>
    </row>
    <row r="900" spans="5:5" ht="15.75" customHeight="1" x14ac:dyDescent="0.2">
      <c r="E900" s="3"/>
    </row>
    <row r="901" spans="5:5" ht="15.75" customHeight="1" x14ac:dyDescent="0.2">
      <c r="E901" s="3"/>
    </row>
    <row r="902" spans="5:5" ht="15.75" customHeight="1" x14ac:dyDescent="0.2">
      <c r="E902" s="3"/>
    </row>
    <row r="903" spans="5:5" ht="15.75" customHeight="1" x14ac:dyDescent="0.2">
      <c r="E903" s="3"/>
    </row>
    <row r="904" spans="5:5" ht="15.75" customHeight="1" x14ac:dyDescent="0.2">
      <c r="E904" s="3"/>
    </row>
    <row r="905" spans="5:5" ht="15.75" customHeight="1" x14ac:dyDescent="0.2">
      <c r="E905" s="3"/>
    </row>
    <row r="906" spans="5:5" ht="15.75" customHeight="1" x14ac:dyDescent="0.2">
      <c r="E906" s="3"/>
    </row>
    <row r="907" spans="5:5" ht="15.75" customHeight="1" x14ac:dyDescent="0.2">
      <c r="E907" s="3"/>
    </row>
    <row r="908" spans="5:5" ht="15.75" customHeight="1" x14ac:dyDescent="0.2">
      <c r="E908" s="3"/>
    </row>
    <row r="909" spans="5:5" ht="15.75" customHeight="1" x14ac:dyDescent="0.2">
      <c r="E909" s="3"/>
    </row>
    <row r="910" spans="5:5" ht="15.75" customHeight="1" x14ac:dyDescent="0.2">
      <c r="E910" s="3"/>
    </row>
    <row r="911" spans="5:5" ht="15.75" customHeight="1" x14ac:dyDescent="0.2">
      <c r="E911" s="3"/>
    </row>
    <row r="912" spans="5:5" ht="15.75" customHeight="1" x14ac:dyDescent="0.2">
      <c r="E912" s="3"/>
    </row>
    <row r="913" spans="5:5" ht="15.75" customHeight="1" x14ac:dyDescent="0.2">
      <c r="E913" s="3"/>
    </row>
    <row r="914" spans="5:5" ht="15.75" customHeight="1" x14ac:dyDescent="0.2">
      <c r="E914" s="3"/>
    </row>
    <row r="915" spans="5:5" ht="15.75" customHeight="1" x14ac:dyDescent="0.2">
      <c r="E915" s="3"/>
    </row>
    <row r="916" spans="5:5" ht="15.75" customHeight="1" x14ac:dyDescent="0.2">
      <c r="E916" s="3"/>
    </row>
    <row r="917" spans="5:5" ht="15.75" customHeight="1" x14ac:dyDescent="0.2">
      <c r="E917" s="3"/>
    </row>
    <row r="918" spans="5:5" ht="15.75" customHeight="1" x14ac:dyDescent="0.2">
      <c r="E918" s="3"/>
    </row>
    <row r="919" spans="5:5" ht="15.75" customHeight="1" x14ac:dyDescent="0.2">
      <c r="E919" s="3"/>
    </row>
    <row r="920" spans="5:5" ht="15.75" customHeight="1" x14ac:dyDescent="0.2">
      <c r="E920" s="3"/>
    </row>
    <row r="921" spans="5:5" ht="15.75" customHeight="1" x14ac:dyDescent="0.2">
      <c r="E921" s="3"/>
    </row>
    <row r="922" spans="5:5" ht="15.75" customHeight="1" x14ac:dyDescent="0.2">
      <c r="E922" s="3"/>
    </row>
    <row r="923" spans="5:5" ht="15.75" customHeight="1" x14ac:dyDescent="0.2">
      <c r="E923" s="3"/>
    </row>
    <row r="924" spans="5:5" ht="15.75" customHeight="1" x14ac:dyDescent="0.2">
      <c r="E924" s="3"/>
    </row>
    <row r="925" spans="5:5" ht="15.75" customHeight="1" x14ac:dyDescent="0.2">
      <c r="E925" s="3"/>
    </row>
    <row r="926" spans="5:5" ht="15.75" customHeight="1" x14ac:dyDescent="0.2">
      <c r="E926" s="3"/>
    </row>
    <row r="927" spans="5:5" ht="15.75" customHeight="1" x14ac:dyDescent="0.2">
      <c r="E927" s="3"/>
    </row>
    <row r="928" spans="5:5" ht="15.75" customHeight="1" x14ac:dyDescent="0.2">
      <c r="E928" s="3"/>
    </row>
    <row r="929" spans="5:5" ht="15.75" customHeight="1" x14ac:dyDescent="0.2">
      <c r="E929" s="3"/>
    </row>
    <row r="930" spans="5:5" ht="15.75" customHeight="1" x14ac:dyDescent="0.2">
      <c r="E930" s="3"/>
    </row>
    <row r="931" spans="5:5" ht="15.75" customHeight="1" x14ac:dyDescent="0.2">
      <c r="E931" s="3"/>
    </row>
    <row r="932" spans="5:5" ht="15.75" customHeight="1" x14ac:dyDescent="0.2">
      <c r="E932" s="3"/>
    </row>
    <row r="933" spans="5:5" ht="15.75" customHeight="1" x14ac:dyDescent="0.2">
      <c r="E933" s="3"/>
    </row>
    <row r="934" spans="5:5" ht="15.75" customHeight="1" x14ac:dyDescent="0.2">
      <c r="E934" s="3"/>
    </row>
    <row r="935" spans="5:5" ht="15.75" customHeight="1" x14ac:dyDescent="0.2">
      <c r="E935" s="3"/>
    </row>
    <row r="936" spans="5:5" ht="15.75" customHeight="1" x14ac:dyDescent="0.2">
      <c r="E936" s="3"/>
    </row>
    <row r="937" spans="5:5" ht="15.75" customHeight="1" x14ac:dyDescent="0.2">
      <c r="E937" s="3"/>
    </row>
    <row r="938" spans="5:5" ht="15.75" customHeight="1" x14ac:dyDescent="0.2">
      <c r="E938" s="3"/>
    </row>
    <row r="939" spans="5:5" ht="15.75" customHeight="1" x14ac:dyDescent="0.2">
      <c r="E939" s="3"/>
    </row>
    <row r="940" spans="5:5" ht="15.75" customHeight="1" x14ac:dyDescent="0.2">
      <c r="E940" s="3"/>
    </row>
    <row r="941" spans="5:5" ht="15.75" customHeight="1" x14ac:dyDescent="0.2">
      <c r="E941" s="3"/>
    </row>
    <row r="942" spans="5:5" ht="15.75" customHeight="1" x14ac:dyDescent="0.2">
      <c r="E942" s="3"/>
    </row>
    <row r="943" spans="5:5" ht="15.75" customHeight="1" x14ac:dyDescent="0.2">
      <c r="E943" s="3"/>
    </row>
    <row r="944" spans="5:5" ht="15.75" customHeight="1" x14ac:dyDescent="0.2">
      <c r="E944" s="3"/>
    </row>
    <row r="945" spans="5:5" ht="15.75" customHeight="1" x14ac:dyDescent="0.2">
      <c r="E945" s="3"/>
    </row>
    <row r="946" spans="5:5" ht="15.75" customHeight="1" x14ac:dyDescent="0.2">
      <c r="E946" s="3"/>
    </row>
    <row r="947" spans="5:5" ht="15.75" customHeight="1" x14ac:dyDescent="0.2">
      <c r="E947" s="3"/>
    </row>
    <row r="948" spans="5:5" ht="15.75" customHeight="1" x14ac:dyDescent="0.2">
      <c r="E948" s="3"/>
    </row>
    <row r="949" spans="5:5" ht="15.75" customHeight="1" x14ac:dyDescent="0.2">
      <c r="E949" s="3"/>
    </row>
    <row r="950" spans="5:5" ht="15.75" customHeight="1" x14ac:dyDescent="0.2">
      <c r="E950" s="3"/>
    </row>
    <row r="951" spans="5:5" ht="15.75" customHeight="1" x14ac:dyDescent="0.2">
      <c r="E951" s="3"/>
    </row>
    <row r="952" spans="5:5" ht="15.75" customHeight="1" x14ac:dyDescent="0.2">
      <c r="E952" s="3"/>
    </row>
    <row r="953" spans="5:5" ht="15.75" customHeight="1" x14ac:dyDescent="0.2">
      <c r="E953" s="3"/>
    </row>
    <row r="954" spans="5:5" ht="15.75" customHeight="1" x14ac:dyDescent="0.2">
      <c r="E954" s="3"/>
    </row>
    <row r="955" spans="5:5" ht="15.75" customHeight="1" x14ac:dyDescent="0.2">
      <c r="E955" s="3"/>
    </row>
    <row r="956" spans="5:5" ht="15.75" customHeight="1" x14ac:dyDescent="0.2">
      <c r="E956" s="3"/>
    </row>
    <row r="957" spans="5:5" ht="15.75" customHeight="1" x14ac:dyDescent="0.2">
      <c r="E957" s="3"/>
    </row>
    <row r="958" spans="5:5" ht="15.75" customHeight="1" x14ac:dyDescent="0.2">
      <c r="E958" s="3"/>
    </row>
    <row r="959" spans="5:5" ht="15.75" customHeight="1" x14ac:dyDescent="0.2">
      <c r="E959" s="3"/>
    </row>
    <row r="960" spans="5:5" ht="15.75" customHeight="1" x14ac:dyDescent="0.2">
      <c r="E960" s="3"/>
    </row>
    <row r="961" spans="5:5" ht="15.75" customHeight="1" x14ac:dyDescent="0.2">
      <c r="E961" s="3"/>
    </row>
    <row r="962" spans="5:5" ht="15.75" customHeight="1" x14ac:dyDescent="0.2">
      <c r="E962" s="3"/>
    </row>
    <row r="963" spans="5:5" ht="15.75" customHeight="1" x14ac:dyDescent="0.2">
      <c r="E963" s="3"/>
    </row>
    <row r="964" spans="5:5" ht="15.75" customHeight="1" x14ac:dyDescent="0.2">
      <c r="E964" s="3"/>
    </row>
    <row r="965" spans="5:5" ht="15.75" customHeight="1" x14ac:dyDescent="0.2">
      <c r="E965" s="3"/>
    </row>
    <row r="966" spans="5:5" ht="15.75" customHeight="1" x14ac:dyDescent="0.2">
      <c r="E966" s="3"/>
    </row>
    <row r="967" spans="5:5" ht="15.75" customHeight="1" x14ac:dyDescent="0.2">
      <c r="E967" s="3"/>
    </row>
    <row r="968" spans="5:5" ht="15.75" customHeight="1" x14ac:dyDescent="0.2">
      <c r="E968" s="3"/>
    </row>
    <row r="969" spans="5:5" ht="15.75" customHeight="1" x14ac:dyDescent="0.2">
      <c r="E969" s="3"/>
    </row>
    <row r="970" spans="5:5" ht="15.75" customHeight="1" x14ac:dyDescent="0.2">
      <c r="E970" s="3"/>
    </row>
    <row r="971" spans="5:5" ht="15.75" customHeight="1" x14ac:dyDescent="0.2">
      <c r="E971" s="3"/>
    </row>
    <row r="972" spans="5:5" ht="15.75" customHeight="1" x14ac:dyDescent="0.2">
      <c r="E972" s="3"/>
    </row>
    <row r="973" spans="5:5" ht="15.75" customHeight="1" x14ac:dyDescent="0.2">
      <c r="E973" s="3"/>
    </row>
    <row r="974" spans="5:5" ht="15.75" customHeight="1" x14ac:dyDescent="0.2">
      <c r="E974" s="3"/>
    </row>
    <row r="975" spans="5:5" ht="15.75" customHeight="1" x14ac:dyDescent="0.2">
      <c r="E975" s="3"/>
    </row>
    <row r="976" spans="5:5" ht="15.75" customHeight="1" x14ac:dyDescent="0.2">
      <c r="E976" s="3"/>
    </row>
    <row r="977" spans="5:5" ht="15.75" customHeight="1" x14ac:dyDescent="0.2">
      <c r="E977" s="3"/>
    </row>
    <row r="978" spans="5:5" ht="15.75" customHeight="1" x14ac:dyDescent="0.2">
      <c r="E978" s="3"/>
    </row>
    <row r="979" spans="5:5" ht="15.75" customHeight="1" x14ac:dyDescent="0.2">
      <c r="E979" s="3"/>
    </row>
    <row r="980" spans="5:5" ht="15.75" customHeight="1" x14ac:dyDescent="0.2">
      <c r="E980" s="3"/>
    </row>
    <row r="981" spans="5:5" ht="15.75" customHeight="1" x14ac:dyDescent="0.2">
      <c r="E981" s="3"/>
    </row>
    <row r="982" spans="5:5" ht="15.75" customHeight="1" x14ac:dyDescent="0.2">
      <c r="E982" s="3"/>
    </row>
    <row r="983" spans="5:5" ht="15.75" customHeight="1" x14ac:dyDescent="0.2">
      <c r="E983" s="3"/>
    </row>
    <row r="984" spans="5:5" ht="15.75" customHeight="1" x14ac:dyDescent="0.2">
      <c r="E984" s="3"/>
    </row>
    <row r="985" spans="5:5" ht="15.75" customHeight="1" x14ac:dyDescent="0.2">
      <c r="E985" s="3"/>
    </row>
    <row r="986" spans="5:5" ht="15.75" customHeight="1" x14ac:dyDescent="0.2">
      <c r="E986" s="3"/>
    </row>
    <row r="987" spans="5:5" ht="15.75" customHeight="1" x14ac:dyDescent="0.2">
      <c r="E987" s="3"/>
    </row>
    <row r="988" spans="5:5" ht="15.75" customHeight="1" x14ac:dyDescent="0.2">
      <c r="E988" s="3"/>
    </row>
    <row r="989" spans="5:5" ht="15.75" customHeight="1" x14ac:dyDescent="0.2">
      <c r="E989" s="3"/>
    </row>
    <row r="990" spans="5:5" ht="15.75" customHeight="1" x14ac:dyDescent="0.2">
      <c r="E990" s="3"/>
    </row>
    <row r="991" spans="5:5" ht="15.75" customHeight="1" x14ac:dyDescent="0.2">
      <c r="E991" s="3"/>
    </row>
    <row r="992" spans="5:5" ht="15.75" customHeight="1" x14ac:dyDescent="0.2">
      <c r="E992" s="3"/>
    </row>
    <row r="993" spans="5:5" ht="15.75" customHeight="1" x14ac:dyDescent="0.2">
      <c r="E993" s="3"/>
    </row>
    <row r="994" spans="5:5" ht="15.75" customHeight="1" x14ac:dyDescent="0.2">
      <c r="E994" s="3"/>
    </row>
    <row r="995" spans="5:5" ht="15.75" customHeight="1" x14ac:dyDescent="0.2">
      <c r="E995" s="3"/>
    </row>
    <row r="996" spans="5:5" ht="15.75" customHeight="1" x14ac:dyDescent="0.2">
      <c r="E996" s="3"/>
    </row>
    <row r="997" spans="5:5" ht="15.75" customHeight="1" x14ac:dyDescent="0.2">
      <c r="E997" s="3"/>
    </row>
    <row r="998" spans="5:5" ht="15.75" customHeight="1" x14ac:dyDescent="0.2">
      <c r="E998" s="3"/>
    </row>
    <row r="999" spans="5:5" ht="15.75" customHeight="1" x14ac:dyDescent="0.2">
      <c r="E999" s="3"/>
    </row>
    <row r="1000" spans="5:5" ht="15.75" customHeight="1" x14ac:dyDescent="0.2">
      <c r="E1000" s="3"/>
    </row>
    <row r="1001" spans="5:5" ht="15.75" customHeight="1" x14ac:dyDescent="0.2">
      <c r="E1001" s="3"/>
    </row>
    <row r="1002" spans="5:5" ht="15.75" customHeight="1" x14ac:dyDescent="0.2">
      <c r="E1002" s="3"/>
    </row>
    <row r="1003" spans="5:5" ht="15.75" customHeight="1" x14ac:dyDescent="0.2">
      <c r="E1003" s="3"/>
    </row>
    <row r="1004" spans="5:5" ht="15.75" customHeight="1" x14ac:dyDescent="0.2">
      <c r="E1004" s="3"/>
    </row>
    <row r="1005" spans="5:5" ht="15.75" customHeight="1" x14ac:dyDescent="0.2">
      <c r="E1005" s="3"/>
    </row>
    <row r="1006" spans="5:5" ht="15.75" customHeight="1" x14ac:dyDescent="0.2">
      <c r="E1006" s="3"/>
    </row>
    <row r="1007" spans="5:5" ht="15.75" customHeight="1" x14ac:dyDescent="0.2">
      <c r="E1007" s="3"/>
    </row>
    <row r="1008" spans="5:5" ht="15.75" customHeight="1" x14ac:dyDescent="0.2">
      <c r="E1008" s="3"/>
    </row>
    <row r="1009" spans="5:5" ht="15.75" customHeight="1" x14ac:dyDescent="0.2">
      <c r="E1009" s="3"/>
    </row>
    <row r="1010" spans="5:5" ht="15.75" customHeight="1" x14ac:dyDescent="0.2">
      <c r="E1010" s="3"/>
    </row>
    <row r="1011" spans="5:5" ht="15.75" customHeight="1" x14ac:dyDescent="0.2">
      <c r="E1011" s="3"/>
    </row>
    <row r="1012" spans="5:5" ht="15.75" customHeight="1" x14ac:dyDescent="0.2">
      <c r="E1012" s="3"/>
    </row>
    <row r="1013" spans="5:5" ht="15.75" customHeight="1" x14ac:dyDescent="0.2">
      <c r="E1013" s="3"/>
    </row>
    <row r="1014" spans="5:5" ht="15.75" customHeight="1" x14ac:dyDescent="0.2">
      <c r="E1014" s="3"/>
    </row>
    <row r="1015" spans="5:5" ht="15.75" customHeight="1" x14ac:dyDescent="0.2">
      <c r="E1015" s="3"/>
    </row>
    <row r="1016" spans="5:5" ht="15.75" customHeight="1" x14ac:dyDescent="0.2">
      <c r="E1016" s="3"/>
    </row>
    <row r="1017" spans="5:5" ht="15.75" customHeight="1" x14ac:dyDescent="0.2">
      <c r="E1017" s="3"/>
    </row>
    <row r="1018" spans="5:5" ht="15.75" customHeight="1" x14ac:dyDescent="0.2">
      <c r="E1018" s="3"/>
    </row>
    <row r="1019" spans="5:5" ht="15.75" customHeight="1" x14ac:dyDescent="0.2">
      <c r="E1019" s="3"/>
    </row>
    <row r="1020" spans="5:5" ht="15.75" customHeight="1" x14ac:dyDescent="0.2">
      <c r="E1020" s="3"/>
    </row>
    <row r="1021" spans="5:5" ht="15.75" customHeight="1" x14ac:dyDescent="0.2">
      <c r="E1021" s="3"/>
    </row>
    <row r="1022" spans="5:5" ht="15.75" customHeight="1" x14ac:dyDescent="0.2">
      <c r="E1022" s="3"/>
    </row>
    <row r="1023" spans="5:5" ht="15.75" customHeight="1" x14ac:dyDescent="0.2">
      <c r="E1023" s="3"/>
    </row>
    <row r="1024" spans="5:5" ht="15.75" customHeight="1" x14ac:dyDescent="0.2">
      <c r="E1024" s="3"/>
    </row>
    <row r="1025" spans="5:5" ht="15.75" customHeight="1" x14ac:dyDescent="0.2">
      <c r="E1025" s="3"/>
    </row>
    <row r="1026" spans="5:5" ht="15.75" customHeight="1" x14ac:dyDescent="0.2">
      <c r="E1026" s="3"/>
    </row>
    <row r="1027" spans="5:5" ht="15.75" customHeight="1" x14ac:dyDescent="0.2">
      <c r="E1027" s="3"/>
    </row>
    <row r="1028" spans="5:5" ht="15.75" customHeight="1" x14ac:dyDescent="0.2">
      <c r="E1028" s="3"/>
    </row>
    <row r="1029" spans="5:5" ht="15.75" customHeight="1" x14ac:dyDescent="0.2">
      <c r="E1029" s="3"/>
    </row>
    <row r="1030" spans="5:5" ht="15.75" customHeight="1" x14ac:dyDescent="0.2">
      <c r="E1030" s="3"/>
    </row>
    <row r="1031" spans="5:5" ht="15.75" customHeight="1" x14ac:dyDescent="0.2">
      <c r="E1031" s="3"/>
    </row>
    <row r="1032" spans="5:5" ht="15.75" customHeight="1" x14ac:dyDescent="0.2">
      <c r="E1032" s="3"/>
    </row>
    <row r="1033" spans="5:5" ht="15.75" customHeight="1" x14ac:dyDescent="0.2">
      <c r="E1033" s="3"/>
    </row>
    <row r="1034" spans="5:5" ht="15.75" customHeight="1" x14ac:dyDescent="0.2">
      <c r="E1034" s="3"/>
    </row>
    <row r="1035" spans="5:5" ht="15.75" customHeight="1" x14ac:dyDescent="0.2">
      <c r="E1035" s="3"/>
    </row>
    <row r="1036" spans="5:5" ht="15.75" customHeight="1" x14ac:dyDescent="0.2">
      <c r="E1036" s="3"/>
    </row>
    <row r="1037" spans="5:5" ht="15.75" customHeight="1" x14ac:dyDescent="0.2">
      <c r="E1037" s="3"/>
    </row>
    <row r="1038" spans="5:5" ht="15.75" customHeight="1" x14ac:dyDescent="0.2">
      <c r="E1038" s="3"/>
    </row>
    <row r="1039" spans="5:5" ht="15.75" customHeight="1" x14ac:dyDescent="0.2">
      <c r="E1039" s="3"/>
    </row>
    <row r="1040" spans="5:5" ht="15.75" customHeight="1" x14ac:dyDescent="0.2">
      <c r="E1040" s="3"/>
    </row>
    <row r="1041" spans="5:5" ht="15.75" customHeight="1" x14ac:dyDescent="0.2">
      <c r="E1041" s="3"/>
    </row>
    <row r="1042" spans="5:5" ht="15.75" customHeight="1" x14ac:dyDescent="0.2">
      <c r="E1042" s="3"/>
    </row>
    <row r="1043" spans="5:5" ht="15.75" customHeight="1" x14ac:dyDescent="0.2">
      <c r="E1043" s="3"/>
    </row>
    <row r="1044" spans="5:5" ht="15.75" customHeight="1" x14ac:dyDescent="0.2">
      <c r="E1044" s="3"/>
    </row>
    <row r="1045" spans="5:5" ht="15.75" customHeight="1" x14ac:dyDescent="0.2">
      <c r="E1045" s="3"/>
    </row>
    <row r="1046" spans="5:5" ht="15.75" customHeight="1" x14ac:dyDescent="0.2">
      <c r="E1046" s="3"/>
    </row>
    <row r="1047" spans="5:5" ht="15.75" customHeight="1" x14ac:dyDescent="0.2">
      <c r="E1047" s="3"/>
    </row>
    <row r="1048" spans="5:5" ht="15.75" customHeight="1" x14ac:dyDescent="0.2">
      <c r="E1048" s="3"/>
    </row>
    <row r="1049" spans="5:5" ht="15.75" customHeight="1" x14ac:dyDescent="0.2">
      <c r="E1049" s="3"/>
    </row>
    <row r="1050" spans="5:5" ht="15.75" customHeight="1" x14ac:dyDescent="0.2">
      <c r="E1050" s="3"/>
    </row>
    <row r="1051" spans="5:5" ht="15.75" customHeight="1" x14ac:dyDescent="0.2">
      <c r="E1051" s="3"/>
    </row>
    <row r="1052" spans="5:5" ht="15.75" customHeight="1" x14ac:dyDescent="0.2">
      <c r="E1052" s="3"/>
    </row>
    <row r="1053" spans="5:5" ht="15.75" customHeight="1" x14ac:dyDescent="0.2">
      <c r="E1053" s="3"/>
    </row>
    <row r="1054" spans="5:5" ht="15.75" customHeight="1" x14ac:dyDescent="0.2">
      <c r="E1054" s="3"/>
    </row>
    <row r="1055" spans="5:5" ht="15.75" customHeight="1" x14ac:dyDescent="0.2">
      <c r="E1055" s="3"/>
    </row>
    <row r="1056" spans="5:5" ht="15.75" customHeight="1" x14ac:dyDescent="0.2">
      <c r="E1056" s="3"/>
    </row>
    <row r="1057" spans="5:5" ht="15.75" customHeight="1" x14ac:dyDescent="0.2">
      <c r="E1057" s="3"/>
    </row>
    <row r="1058" spans="5:5" ht="15.75" customHeight="1" x14ac:dyDescent="0.2">
      <c r="E1058" s="3"/>
    </row>
    <row r="1059" spans="5:5" ht="15.75" customHeight="1" x14ac:dyDescent="0.2">
      <c r="E1059" s="3"/>
    </row>
    <row r="1060" spans="5:5" ht="15.75" customHeight="1" x14ac:dyDescent="0.2">
      <c r="E1060" s="3"/>
    </row>
    <row r="1061" spans="5:5" ht="15.75" customHeight="1" x14ac:dyDescent="0.2">
      <c r="E1061" s="3"/>
    </row>
    <row r="1062" spans="5:5" ht="15.75" customHeight="1" x14ac:dyDescent="0.2">
      <c r="E1062" s="3"/>
    </row>
    <row r="1063" spans="5:5" ht="15.75" customHeight="1" x14ac:dyDescent="0.2">
      <c r="E1063" s="3"/>
    </row>
    <row r="1064" spans="5:5" ht="15.75" customHeight="1" x14ac:dyDescent="0.2">
      <c r="E1064" s="3"/>
    </row>
    <row r="1065" spans="5:5" ht="15.75" customHeight="1" x14ac:dyDescent="0.2">
      <c r="E1065" s="3"/>
    </row>
    <row r="1066" spans="5:5" ht="15.75" customHeight="1" x14ac:dyDescent="0.2">
      <c r="E1066" s="3"/>
    </row>
    <row r="1067" spans="5:5" ht="15.75" customHeight="1" x14ac:dyDescent="0.2">
      <c r="E1067" s="3"/>
    </row>
    <row r="1068" spans="5:5" ht="15.75" customHeight="1" x14ac:dyDescent="0.2">
      <c r="E1068" s="3"/>
    </row>
    <row r="1069" spans="5:5" ht="15.75" customHeight="1" x14ac:dyDescent="0.2">
      <c r="E1069" s="3"/>
    </row>
    <row r="1070" spans="5:5" ht="15.75" customHeight="1" x14ac:dyDescent="0.2">
      <c r="E1070" s="3"/>
    </row>
    <row r="1071" spans="5:5" ht="15.75" customHeight="1" x14ac:dyDescent="0.2">
      <c r="E1071" s="3"/>
    </row>
    <row r="1072" spans="5:5" ht="15.75" customHeight="1" x14ac:dyDescent="0.2">
      <c r="E1072" s="3"/>
    </row>
    <row r="1073" spans="5:5" ht="15.75" customHeight="1" x14ac:dyDescent="0.2">
      <c r="E1073" s="3"/>
    </row>
    <row r="1074" spans="5:5" ht="15.75" customHeight="1" x14ac:dyDescent="0.2">
      <c r="E1074" s="3"/>
    </row>
    <row r="1075" spans="5:5" ht="15.75" customHeight="1" x14ac:dyDescent="0.2">
      <c r="E1075" s="3"/>
    </row>
    <row r="1076" spans="5:5" ht="15.75" customHeight="1" x14ac:dyDescent="0.2">
      <c r="E1076" s="3"/>
    </row>
    <row r="1077" spans="5:5" ht="15.75" customHeight="1" x14ac:dyDescent="0.2">
      <c r="E1077" s="3"/>
    </row>
    <row r="1078" spans="5:5" ht="15.75" customHeight="1" x14ac:dyDescent="0.2">
      <c r="E1078" s="3"/>
    </row>
    <row r="1079" spans="5:5" ht="15.75" customHeight="1" x14ac:dyDescent="0.2">
      <c r="E1079" s="3"/>
    </row>
    <row r="1080" spans="5:5" ht="15.75" customHeight="1" x14ac:dyDescent="0.2">
      <c r="E1080" s="3"/>
    </row>
    <row r="1081" spans="5:5" ht="15.75" customHeight="1" x14ac:dyDescent="0.2">
      <c r="E1081" s="3"/>
    </row>
    <row r="1082" spans="5:5" ht="15.75" customHeight="1" x14ac:dyDescent="0.2">
      <c r="E1082" s="3"/>
    </row>
    <row r="1083" spans="5:5" ht="15.75" customHeight="1" x14ac:dyDescent="0.2">
      <c r="E1083" s="3"/>
    </row>
    <row r="1084" spans="5:5" ht="15.75" customHeight="1" x14ac:dyDescent="0.2">
      <c r="E1084" s="3"/>
    </row>
    <row r="1085" spans="5:5" ht="15.75" customHeight="1" x14ac:dyDescent="0.2">
      <c r="E1085" s="3"/>
    </row>
    <row r="1086" spans="5:5" ht="15.75" customHeight="1" x14ac:dyDescent="0.2">
      <c r="E1086" s="3"/>
    </row>
    <row r="1087" spans="5:5" ht="15.75" customHeight="1" x14ac:dyDescent="0.2">
      <c r="E1087" s="3"/>
    </row>
    <row r="1088" spans="5:5" ht="15.75" customHeight="1" x14ac:dyDescent="0.2">
      <c r="E1088" s="3"/>
    </row>
    <row r="1089" spans="5:5" ht="15.75" customHeight="1" x14ac:dyDescent="0.2">
      <c r="E1089" s="3"/>
    </row>
    <row r="1090" spans="5:5" ht="15.75" customHeight="1" x14ac:dyDescent="0.2">
      <c r="E1090" s="3"/>
    </row>
    <row r="1091" spans="5:5" ht="15.75" customHeight="1" x14ac:dyDescent="0.2">
      <c r="E1091" s="3"/>
    </row>
    <row r="1092" spans="5:5" ht="15.75" customHeight="1" x14ac:dyDescent="0.2">
      <c r="E1092" s="3"/>
    </row>
    <row r="1093" spans="5:5" ht="15.75" customHeight="1" x14ac:dyDescent="0.2">
      <c r="E1093" s="3"/>
    </row>
    <row r="1094" spans="5:5" ht="15.75" customHeight="1" x14ac:dyDescent="0.2">
      <c r="E1094" s="3"/>
    </row>
    <row r="1095" spans="5:5" ht="15.75" customHeight="1" x14ac:dyDescent="0.2">
      <c r="E1095" s="3"/>
    </row>
    <row r="1096" spans="5:5" ht="15.75" customHeight="1" x14ac:dyDescent="0.2">
      <c r="E1096" s="3"/>
    </row>
    <row r="1097" spans="5:5" ht="15.75" customHeight="1" x14ac:dyDescent="0.2">
      <c r="E1097" s="3"/>
    </row>
    <row r="1098" spans="5:5" ht="15.75" customHeight="1" x14ac:dyDescent="0.2">
      <c r="E1098" s="3"/>
    </row>
    <row r="1099" spans="5:5" ht="15.75" customHeight="1" x14ac:dyDescent="0.2">
      <c r="E1099" s="3"/>
    </row>
    <row r="1100" spans="5:5" ht="15.75" customHeight="1" x14ac:dyDescent="0.2">
      <c r="E1100" s="3"/>
    </row>
    <row r="1101" spans="5:5" ht="15.75" customHeight="1" x14ac:dyDescent="0.2">
      <c r="E1101" s="3"/>
    </row>
    <row r="1102" spans="5:5" ht="15.75" customHeight="1" x14ac:dyDescent="0.2">
      <c r="E1102" s="3"/>
    </row>
    <row r="1103" spans="5:5" ht="15.75" customHeight="1" x14ac:dyDescent="0.2">
      <c r="E1103" s="3"/>
    </row>
    <row r="1104" spans="5:5" ht="15.75" customHeight="1" x14ac:dyDescent="0.2">
      <c r="E1104" s="3"/>
    </row>
    <row r="1105" spans="5:5" ht="15.75" customHeight="1" x14ac:dyDescent="0.2">
      <c r="E1105" s="3"/>
    </row>
    <row r="1106" spans="5:5" ht="15.75" customHeight="1" x14ac:dyDescent="0.2">
      <c r="E1106" s="3"/>
    </row>
    <row r="1107" spans="5:5" ht="15.75" customHeight="1" x14ac:dyDescent="0.2">
      <c r="E1107" s="3"/>
    </row>
    <row r="1108" spans="5:5" ht="15.75" customHeight="1" x14ac:dyDescent="0.2">
      <c r="E1108" s="3"/>
    </row>
    <row r="1109" spans="5:5" ht="15.75" customHeight="1" x14ac:dyDescent="0.2">
      <c r="E1109" s="3"/>
    </row>
    <row r="1110" spans="5:5" ht="15.75" customHeight="1" x14ac:dyDescent="0.2">
      <c r="E1110" s="3"/>
    </row>
    <row r="1111" spans="5:5" ht="15.75" customHeight="1" x14ac:dyDescent="0.2">
      <c r="E1111" s="3"/>
    </row>
    <row r="1112" spans="5:5" ht="15.75" customHeight="1" x14ac:dyDescent="0.2">
      <c r="E1112" s="3"/>
    </row>
    <row r="1113" spans="5:5" ht="15.75" customHeight="1" x14ac:dyDescent="0.2">
      <c r="E1113" s="3"/>
    </row>
    <row r="1114" spans="5:5" ht="15.75" customHeight="1" x14ac:dyDescent="0.2">
      <c r="E1114" s="3"/>
    </row>
    <row r="1115" spans="5:5" ht="15.75" customHeight="1" x14ac:dyDescent="0.2">
      <c r="E1115" s="3"/>
    </row>
    <row r="1116" spans="5:5" ht="15.75" customHeight="1" x14ac:dyDescent="0.2">
      <c r="E1116" s="3"/>
    </row>
    <row r="1117" spans="5:5" ht="15.75" customHeight="1" x14ac:dyDescent="0.2">
      <c r="E1117" s="3"/>
    </row>
    <row r="1118" spans="5:5" ht="15.75" customHeight="1" x14ac:dyDescent="0.2">
      <c r="E1118" s="3"/>
    </row>
    <row r="1119" spans="5:5" ht="15.75" customHeight="1" x14ac:dyDescent="0.2">
      <c r="E1119" s="3"/>
    </row>
    <row r="1120" spans="5:5" ht="15.75" customHeight="1" x14ac:dyDescent="0.2">
      <c r="E1120" s="3"/>
    </row>
    <row r="1121" spans="5:5" ht="15.75" customHeight="1" x14ac:dyDescent="0.2">
      <c r="E1121" s="3"/>
    </row>
    <row r="1122" spans="5:5" ht="15.75" customHeight="1" x14ac:dyDescent="0.2">
      <c r="E1122" s="3"/>
    </row>
    <row r="1123" spans="5:5" ht="15.75" customHeight="1" x14ac:dyDescent="0.2">
      <c r="E1123" s="3"/>
    </row>
    <row r="1124" spans="5:5" ht="15.75" customHeight="1" x14ac:dyDescent="0.2">
      <c r="E1124" s="3"/>
    </row>
    <row r="1125" spans="5:5" ht="15.75" customHeight="1" x14ac:dyDescent="0.2">
      <c r="E1125" s="3"/>
    </row>
    <row r="1126" spans="5:5" ht="15.75" customHeight="1" x14ac:dyDescent="0.2">
      <c r="E1126" s="3"/>
    </row>
    <row r="1127" spans="5:5" ht="15.75" customHeight="1" x14ac:dyDescent="0.2">
      <c r="E1127" s="3"/>
    </row>
    <row r="1128" spans="5:5" ht="15.75" customHeight="1" x14ac:dyDescent="0.2">
      <c r="E1128" s="3"/>
    </row>
    <row r="1129" spans="5:5" ht="15.75" customHeight="1" x14ac:dyDescent="0.2">
      <c r="E1129" s="3"/>
    </row>
    <row r="1130" spans="5:5" ht="15.75" customHeight="1" x14ac:dyDescent="0.2">
      <c r="E1130" s="3"/>
    </row>
    <row r="1131" spans="5:5" ht="15.75" customHeight="1" x14ac:dyDescent="0.2">
      <c r="E1131" s="3"/>
    </row>
    <row r="1132" spans="5:5" ht="15.75" customHeight="1" x14ac:dyDescent="0.2">
      <c r="E1132" s="3"/>
    </row>
    <row r="1133" spans="5:5" ht="15.75" customHeight="1" x14ac:dyDescent="0.2">
      <c r="E1133" s="3"/>
    </row>
    <row r="1134" spans="5:5" ht="15.75" customHeight="1" x14ac:dyDescent="0.2">
      <c r="E1134" s="3"/>
    </row>
    <row r="1135" spans="5:5" ht="15.75" customHeight="1" x14ac:dyDescent="0.2">
      <c r="E1135" s="3"/>
    </row>
    <row r="1136" spans="5:5" ht="15.75" customHeight="1" x14ac:dyDescent="0.2">
      <c r="E1136" s="3"/>
    </row>
    <row r="1137" spans="5:5" ht="15.75" customHeight="1" x14ac:dyDescent="0.2">
      <c r="E1137" s="3"/>
    </row>
    <row r="1138" spans="5:5" ht="15.75" customHeight="1" x14ac:dyDescent="0.2">
      <c r="E1138" s="3"/>
    </row>
    <row r="1139" spans="5:5" ht="15.75" customHeight="1" x14ac:dyDescent="0.2">
      <c r="E1139" s="3"/>
    </row>
    <row r="1140" spans="5:5" ht="15.75" customHeight="1" x14ac:dyDescent="0.2">
      <c r="E1140" s="3"/>
    </row>
    <row r="1141" spans="5:5" ht="15.75" customHeight="1" x14ac:dyDescent="0.2">
      <c r="E1141" s="3"/>
    </row>
    <row r="1142" spans="5:5" ht="15.75" customHeight="1" x14ac:dyDescent="0.2">
      <c r="E1142" s="3"/>
    </row>
    <row r="1143" spans="5:5" ht="15.75" customHeight="1" x14ac:dyDescent="0.2">
      <c r="E1143" s="3"/>
    </row>
    <row r="1144" spans="5:5" ht="15.75" customHeight="1" x14ac:dyDescent="0.2">
      <c r="E1144" s="3"/>
    </row>
    <row r="1145" spans="5:5" ht="15.75" customHeight="1" x14ac:dyDescent="0.2">
      <c r="E1145" s="3"/>
    </row>
    <row r="1146" spans="5:5" ht="15.75" customHeight="1" x14ac:dyDescent="0.2">
      <c r="E1146" s="3"/>
    </row>
    <row r="1147" spans="5:5" ht="15.75" customHeight="1" x14ac:dyDescent="0.2">
      <c r="E1147" s="3"/>
    </row>
    <row r="1148" spans="5:5" ht="15.75" customHeight="1" x14ac:dyDescent="0.2">
      <c r="E1148" s="3"/>
    </row>
    <row r="1149" spans="5:5" ht="15.75" customHeight="1" x14ac:dyDescent="0.2">
      <c r="E1149" s="3"/>
    </row>
    <row r="1150" spans="5:5" ht="15.75" customHeight="1" x14ac:dyDescent="0.2">
      <c r="E1150" s="3"/>
    </row>
    <row r="1151" spans="5:5" ht="15.75" customHeight="1" x14ac:dyDescent="0.2">
      <c r="E1151" s="3"/>
    </row>
    <row r="1152" spans="5:5" ht="15.75" customHeight="1" x14ac:dyDescent="0.2">
      <c r="E1152" s="3"/>
    </row>
    <row r="1153" spans="5:5" ht="15.75" customHeight="1" x14ac:dyDescent="0.2">
      <c r="E1153" s="3"/>
    </row>
    <row r="1154" spans="5:5" ht="15.75" customHeight="1" x14ac:dyDescent="0.2">
      <c r="E1154" s="3"/>
    </row>
    <row r="1155" spans="5:5" ht="15.75" customHeight="1" x14ac:dyDescent="0.2">
      <c r="E1155" s="3"/>
    </row>
    <row r="1156" spans="5:5" ht="15.75" customHeight="1" x14ac:dyDescent="0.2">
      <c r="E1156" s="3"/>
    </row>
    <row r="1157" spans="5:5" ht="15.75" customHeight="1" x14ac:dyDescent="0.2">
      <c r="E1157" s="3"/>
    </row>
    <row r="1158" spans="5:5" ht="15.75" customHeight="1" x14ac:dyDescent="0.2">
      <c r="E1158" s="3"/>
    </row>
    <row r="1159" spans="5:5" ht="15.75" customHeight="1" x14ac:dyDescent="0.2">
      <c r="E1159" s="3"/>
    </row>
    <row r="1160" spans="5:5" ht="15.75" customHeight="1" x14ac:dyDescent="0.2">
      <c r="E1160" s="3"/>
    </row>
    <row r="1161" spans="5:5" ht="15.75" customHeight="1" x14ac:dyDescent="0.2">
      <c r="E1161" s="3"/>
    </row>
    <row r="1162" spans="5:5" ht="15.75" customHeight="1" x14ac:dyDescent="0.2">
      <c r="E1162" s="3"/>
    </row>
    <row r="1163" spans="5:5" ht="15.75" customHeight="1" x14ac:dyDescent="0.2">
      <c r="E1163" s="3"/>
    </row>
    <row r="1164" spans="5:5" ht="15.75" customHeight="1" x14ac:dyDescent="0.2">
      <c r="E1164" s="3"/>
    </row>
    <row r="1165" spans="5:5" ht="15.75" customHeight="1" x14ac:dyDescent="0.2">
      <c r="E1165" s="3"/>
    </row>
    <row r="1166" spans="5:5" ht="15.75" customHeight="1" x14ac:dyDescent="0.2">
      <c r="E1166" s="3"/>
    </row>
    <row r="1167" spans="5:5" ht="15.75" customHeight="1" x14ac:dyDescent="0.2">
      <c r="E1167" s="3"/>
    </row>
    <row r="1168" spans="5:5" ht="15.75" customHeight="1" x14ac:dyDescent="0.2">
      <c r="E1168" s="3"/>
    </row>
    <row r="1169" spans="5:5" ht="15.75" customHeight="1" x14ac:dyDescent="0.2">
      <c r="E1169" s="3"/>
    </row>
    <row r="1170" spans="5:5" ht="15.75" customHeight="1" x14ac:dyDescent="0.2">
      <c r="E1170" s="3"/>
    </row>
    <row r="1171" spans="5:5" ht="15.75" customHeight="1" x14ac:dyDescent="0.2">
      <c r="E1171" s="3"/>
    </row>
    <row r="1172" spans="5:5" ht="15.75" customHeight="1" x14ac:dyDescent="0.2">
      <c r="E1172" s="3"/>
    </row>
    <row r="1173" spans="5:5" ht="15.75" customHeight="1" x14ac:dyDescent="0.2">
      <c r="E1173" s="3"/>
    </row>
    <row r="1174" spans="5:5" ht="15.75" customHeight="1" x14ac:dyDescent="0.2">
      <c r="E1174" s="3"/>
    </row>
    <row r="1175" spans="5:5" ht="15.75" customHeight="1" x14ac:dyDescent="0.2">
      <c r="E1175" s="3"/>
    </row>
    <row r="1176" spans="5:5" ht="15.75" customHeight="1" x14ac:dyDescent="0.2">
      <c r="E1176" s="3"/>
    </row>
    <row r="1177" spans="5:5" ht="15.75" customHeight="1" x14ac:dyDescent="0.2">
      <c r="E1177" s="3"/>
    </row>
    <row r="1178" spans="5:5" ht="15.75" customHeight="1" x14ac:dyDescent="0.2">
      <c r="E1178" s="3"/>
    </row>
    <row r="1179" spans="5:5" ht="15.75" customHeight="1" x14ac:dyDescent="0.2">
      <c r="E1179" s="3"/>
    </row>
    <row r="1180" spans="5:5" ht="15.75" customHeight="1" x14ac:dyDescent="0.2">
      <c r="E1180" s="3"/>
    </row>
    <row r="1181" spans="5:5" ht="15.75" customHeight="1" x14ac:dyDescent="0.2">
      <c r="E1181" s="3"/>
    </row>
    <row r="1182" spans="5:5" ht="15.75" customHeight="1" x14ac:dyDescent="0.2">
      <c r="E1182" s="3"/>
    </row>
    <row r="1183" spans="5:5" ht="15.75" customHeight="1" x14ac:dyDescent="0.2">
      <c r="E1183" s="3"/>
    </row>
    <row r="1184" spans="5:5" ht="15.75" customHeight="1" x14ac:dyDescent="0.2">
      <c r="E1184" s="3"/>
    </row>
    <row r="1185" spans="5:5" ht="15.75" customHeight="1" x14ac:dyDescent="0.2">
      <c r="E1185" s="3"/>
    </row>
    <row r="1186" spans="5:5" ht="15.75" customHeight="1" x14ac:dyDescent="0.2">
      <c r="E1186" s="3"/>
    </row>
    <row r="1187" spans="5:5" ht="15.75" customHeight="1" x14ac:dyDescent="0.2">
      <c r="E1187" s="3"/>
    </row>
    <row r="1188" spans="5:5" ht="15.75" customHeight="1" x14ac:dyDescent="0.2">
      <c r="E1188" s="3"/>
    </row>
    <row r="1189" spans="5:5" ht="15.75" customHeight="1" x14ac:dyDescent="0.2">
      <c r="E1189" s="3"/>
    </row>
    <row r="1190" spans="5:5" ht="15.75" customHeight="1" x14ac:dyDescent="0.2">
      <c r="E1190" s="3"/>
    </row>
    <row r="1191" spans="5:5" ht="15.75" customHeight="1" x14ac:dyDescent="0.2">
      <c r="E1191" s="3"/>
    </row>
    <row r="1192" spans="5:5" ht="15.75" customHeight="1" x14ac:dyDescent="0.2">
      <c r="E1192" s="3"/>
    </row>
    <row r="1193" spans="5:5" ht="15.75" customHeight="1" x14ac:dyDescent="0.2">
      <c r="E1193" s="3"/>
    </row>
    <row r="1194" spans="5:5" ht="15.75" customHeight="1" x14ac:dyDescent="0.2">
      <c r="E1194" s="3"/>
    </row>
    <row r="1195" spans="5:5" ht="15.75" customHeight="1" x14ac:dyDescent="0.2">
      <c r="E1195" s="3"/>
    </row>
    <row r="1196" spans="5:5" ht="15.75" customHeight="1" x14ac:dyDescent="0.2">
      <c r="E1196" s="3"/>
    </row>
    <row r="1197" spans="5:5" ht="15.75" customHeight="1" x14ac:dyDescent="0.2">
      <c r="E1197" s="3"/>
    </row>
    <row r="1198" spans="5:5" ht="15.75" customHeight="1" x14ac:dyDescent="0.2">
      <c r="E1198" s="3"/>
    </row>
    <row r="1199" spans="5:5" ht="15.75" customHeight="1" x14ac:dyDescent="0.2">
      <c r="E1199" s="3"/>
    </row>
    <row r="1200" spans="5:5" ht="15.75" customHeight="1" x14ac:dyDescent="0.2">
      <c r="E1200" s="3"/>
    </row>
    <row r="1201" spans="5:5" ht="15.75" customHeight="1" x14ac:dyDescent="0.2">
      <c r="E1201" s="3"/>
    </row>
    <row r="1202" spans="5:5" ht="15.75" customHeight="1" x14ac:dyDescent="0.2">
      <c r="E1202" s="3"/>
    </row>
    <row r="1203" spans="5:5" ht="15.75" customHeight="1" x14ac:dyDescent="0.2">
      <c r="E1203" s="3"/>
    </row>
    <row r="1204" spans="5:5" ht="15.75" customHeight="1" x14ac:dyDescent="0.2">
      <c r="E1204" s="3"/>
    </row>
    <row r="1205" spans="5:5" ht="15.75" customHeight="1" x14ac:dyDescent="0.2">
      <c r="E1205" s="3"/>
    </row>
    <row r="1206" spans="5:5" ht="15.75" customHeight="1" x14ac:dyDescent="0.2">
      <c r="E1206" s="3"/>
    </row>
    <row r="1207" spans="5:5" ht="15.75" customHeight="1" x14ac:dyDescent="0.2">
      <c r="E1207" s="3"/>
    </row>
    <row r="1208" spans="5:5" ht="15.75" customHeight="1" x14ac:dyDescent="0.2">
      <c r="E1208" s="3"/>
    </row>
    <row r="1209" spans="5:5" ht="15.75" customHeight="1" x14ac:dyDescent="0.2">
      <c r="E1209" s="3"/>
    </row>
    <row r="1210" spans="5:5" ht="15.75" customHeight="1" x14ac:dyDescent="0.2">
      <c r="E1210" s="3"/>
    </row>
    <row r="1211" spans="5:5" ht="15.75" customHeight="1" x14ac:dyDescent="0.2">
      <c r="E1211" s="3"/>
    </row>
    <row r="1212" spans="5:5" ht="15.75" customHeight="1" x14ac:dyDescent="0.2">
      <c r="E1212" s="3"/>
    </row>
    <row r="1213" spans="5:5" ht="15.75" customHeight="1" x14ac:dyDescent="0.2">
      <c r="E1213" s="3"/>
    </row>
    <row r="1214" spans="5:5" ht="15.75" customHeight="1" x14ac:dyDescent="0.2">
      <c r="E1214" s="3"/>
    </row>
    <row r="1215" spans="5:5" ht="15.75" customHeight="1" x14ac:dyDescent="0.2">
      <c r="E1215" s="3"/>
    </row>
    <row r="1216" spans="5:5" ht="15.75" customHeight="1" x14ac:dyDescent="0.2">
      <c r="E1216" s="3"/>
    </row>
    <row r="1217" spans="5:5" ht="15.75" customHeight="1" x14ac:dyDescent="0.2">
      <c r="E1217" s="3"/>
    </row>
    <row r="1218" spans="5:5" ht="15.75" customHeight="1" x14ac:dyDescent="0.2">
      <c r="E1218" s="3"/>
    </row>
    <row r="1219" spans="5:5" ht="15.75" customHeight="1" x14ac:dyDescent="0.2">
      <c r="E1219" s="3"/>
    </row>
    <row r="1220" spans="5:5" ht="15.75" customHeight="1" x14ac:dyDescent="0.2">
      <c r="E1220" s="3"/>
    </row>
    <row r="1221" spans="5:5" ht="15.75" customHeight="1" x14ac:dyDescent="0.2">
      <c r="E1221" s="3"/>
    </row>
    <row r="1222" spans="5:5" ht="15.75" customHeight="1" x14ac:dyDescent="0.2">
      <c r="E1222" s="3"/>
    </row>
    <row r="1223" spans="5:5" ht="15.75" customHeight="1" x14ac:dyDescent="0.2">
      <c r="E1223" s="3"/>
    </row>
    <row r="1224" spans="5:5" ht="15.75" customHeight="1" x14ac:dyDescent="0.2">
      <c r="E1224" s="3"/>
    </row>
    <row r="1225" spans="5:5" ht="15.75" customHeight="1" x14ac:dyDescent="0.2">
      <c r="E1225" s="3"/>
    </row>
    <row r="1226" spans="5:5" ht="15.75" customHeight="1" x14ac:dyDescent="0.2">
      <c r="E1226" s="3"/>
    </row>
    <row r="1227" spans="5:5" ht="15.75" customHeight="1" x14ac:dyDescent="0.2">
      <c r="E1227" s="3"/>
    </row>
    <row r="1228" spans="5:5" ht="15.75" customHeight="1" x14ac:dyDescent="0.2">
      <c r="E1228" s="3"/>
    </row>
    <row r="1229" spans="5:5" ht="15.75" customHeight="1" x14ac:dyDescent="0.2">
      <c r="E1229" s="3"/>
    </row>
    <row r="1230" spans="5:5" ht="15.75" customHeight="1" x14ac:dyDescent="0.2">
      <c r="E1230" s="3"/>
    </row>
    <row r="1231" spans="5:5" ht="15.75" customHeight="1" x14ac:dyDescent="0.2">
      <c r="E1231" s="3"/>
    </row>
    <row r="1232" spans="5:5" ht="15.75" customHeight="1" x14ac:dyDescent="0.2">
      <c r="E1232" s="3"/>
    </row>
    <row r="1233" spans="5:5" ht="15.75" customHeight="1" x14ac:dyDescent="0.2">
      <c r="E1233" s="3"/>
    </row>
    <row r="1234" spans="5:5" ht="15.75" customHeight="1" x14ac:dyDescent="0.2">
      <c r="E1234" s="3"/>
    </row>
    <row r="1235" spans="5:5" ht="15.75" customHeight="1" x14ac:dyDescent="0.2">
      <c r="E1235" s="3"/>
    </row>
    <row r="1236" spans="5:5" ht="15.75" customHeight="1" x14ac:dyDescent="0.2">
      <c r="E1236" s="3"/>
    </row>
    <row r="1237" spans="5:5" ht="15.75" customHeight="1" x14ac:dyDescent="0.2">
      <c r="E1237" s="3"/>
    </row>
    <row r="1238" spans="5:5" ht="15.75" customHeight="1" x14ac:dyDescent="0.2">
      <c r="E1238" s="3"/>
    </row>
    <row r="1239" spans="5:5" ht="15.75" customHeight="1" x14ac:dyDescent="0.2">
      <c r="E1239" s="3"/>
    </row>
    <row r="1240" spans="5:5" ht="15.75" customHeight="1" x14ac:dyDescent="0.2">
      <c r="E1240" s="3"/>
    </row>
    <row r="1241" spans="5:5" ht="15.75" customHeight="1" x14ac:dyDescent="0.2">
      <c r="E1241" s="3"/>
    </row>
    <row r="1242" spans="5:5" ht="15.75" customHeight="1" x14ac:dyDescent="0.2">
      <c r="E1242" s="3"/>
    </row>
    <row r="1243" spans="5:5" ht="15.75" customHeight="1" x14ac:dyDescent="0.2">
      <c r="E1243" s="3"/>
    </row>
    <row r="1244" spans="5:5" ht="15.75" customHeight="1" x14ac:dyDescent="0.2">
      <c r="E1244" s="3"/>
    </row>
    <row r="1245" spans="5:5" ht="15.75" customHeight="1" x14ac:dyDescent="0.2">
      <c r="E1245" s="3"/>
    </row>
    <row r="1246" spans="5:5" ht="15.75" customHeight="1" x14ac:dyDescent="0.2">
      <c r="E1246" s="3"/>
    </row>
    <row r="1247" spans="5:5" ht="15.75" customHeight="1" x14ac:dyDescent="0.2">
      <c r="E1247" s="3"/>
    </row>
    <row r="1248" spans="5:5" ht="15.75" customHeight="1" x14ac:dyDescent="0.2">
      <c r="E1248" s="3"/>
    </row>
    <row r="1249" spans="5:5" ht="15.75" customHeight="1" x14ac:dyDescent="0.2">
      <c r="E1249" s="3"/>
    </row>
    <row r="1250" spans="5:5" ht="15.75" customHeight="1" x14ac:dyDescent="0.2">
      <c r="E1250" s="3"/>
    </row>
    <row r="1251" spans="5:5" ht="15.75" customHeight="1" x14ac:dyDescent="0.2">
      <c r="E1251" s="3"/>
    </row>
    <row r="1252" spans="5:5" ht="15.75" customHeight="1" x14ac:dyDescent="0.2">
      <c r="E1252" s="3"/>
    </row>
    <row r="1253" spans="5:5" ht="15.75" customHeight="1" x14ac:dyDescent="0.2">
      <c r="E1253" s="3"/>
    </row>
    <row r="1254" spans="5:5" ht="15.75" customHeight="1" x14ac:dyDescent="0.2">
      <c r="E1254" s="3"/>
    </row>
    <row r="1255" spans="5:5" ht="15.75" customHeight="1" x14ac:dyDescent="0.2">
      <c r="E1255" s="3"/>
    </row>
    <row r="1256" spans="5:5" ht="15.75" customHeight="1" x14ac:dyDescent="0.2">
      <c r="E1256" s="3"/>
    </row>
    <row r="1257" spans="5:5" ht="15.75" customHeight="1" x14ac:dyDescent="0.2">
      <c r="E1257" s="3"/>
    </row>
    <row r="1258" spans="5:5" ht="15.75" customHeight="1" x14ac:dyDescent="0.2">
      <c r="E1258" s="3"/>
    </row>
    <row r="1259" spans="5:5" ht="15.75" customHeight="1" x14ac:dyDescent="0.2">
      <c r="E1259" s="3"/>
    </row>
    <row r="1260" spans="5:5" ht="15.75" customHeight="1" x14ac:dyDescent="0.2">
      <c r="E1260" s="3"/>
    </row>
    <row r="1261" spans="5:5" ht="15.75" customHeight="1" x14ac:dyDescent="0.2">
      <c r="E1261" s="3"/>
    </row>
    <row r="1262" spans="5:5" ht="15.75" customHeight="1" x14ac:dyDescent="0.2">
      <c r="E1262" s="3"/>
    </row>
    <row r="1263" spans="5:5" ht="15.75" customHeight="1" x14ac:dyDescent="0.2">
      <c r="E1263" s="3"/>
    </row>
    <row r="1264" spans="5:5" ht="15.75" customHeight="1" x14ac:dyDescent="0.2">
      <c r="E1264" s="3"/>
    </row>
    <row r="1265" spans="5:5" ht="15.75" customHeight="1" x14ac:dyDescent="0.2">
      <c r="E1265" s="3"/>
    </row>
    <row r="1266" spans="5:5" ht="15.75" customHeight="1" x14ac:dyDescent="0.2">
      <c r="E1266" s="3"/>
    </row>
    <row r="1267" spans="5:5" ht="15.75" customHeight="1" x14ac:dyDescent="0.2">
      <c r="E1267" s="3"/>
    </row>
    <row r="1268" spans="5:5" ht="15.75" customHeight="1" x14ac:dyDescent="0.2">
      <c r="E1268" s="3"/>
    </row>
    <row r="1269" spans="5:5" ht="15.75" customHeight="1" x14ac:dyDescent="0.2">
      <c r="E1269" s="3"/>
    </row>
    <row r="1270" spans="5:5" ht="15.75" customHeight="1" x14ac:dyDescent="0.2">
      <c r="E1270" s="3"/>
    </row>
    <row r="1271" spans="5:5" ht="15.75" customHeight="1" x14ac:dyDescent="0.2">
      <c r="E1271" s="3"/>
    </row>
    <row r="1272" spans="5:5" ht="15.75" customHeight="1" x14ac:dyDescent="0.2">
      <c r="E1272" s="3"/>
    </row>
    <row r="1273" spans="5:5" ht="15.75" customHeight="1" x14ac:dyDescent="0.2">
      <c r="E1273" s="3"/>
    </row>
    <row r="1274" spans="5:5" ht="15.75" customHeight="1" x14ac:dyDescent="0.2">
      <c r="E1274" s="3"/>
    </row>
    <row r="1275" spans="5:5" ht="15.75" customHeight="1" x14ac:dyDescent="0.2">
      <c r="E1275" s="3"/>
    </row>
    <row r="1276" spans="5:5" ht="15.75" customHeight="1" x14ac:dyDescent="0.2">
      <c r="E1276" s="3"/>
    </row>
    <row r="1277" spans="5:5" ht="15.75" customHeight="1" x14ac:dyDescent="0.2">
      <c r="E1277" s="3"/>
    </row>
    <row r="1278" spans="5:5" ht="15.75" customHeight="1" x14ac:dyDescent="0.2">
      <c r="E1278" s="3"/>
    </row>
    <row r="1279" spans="5:5" ht="15.75" customHeight="1" x14ac:dyDescent="0.2">
      <c r="E1279" s="3"/>
    </row>
    <row r="1280" spans="5:5" ht="15.75" customHeight="1" x14ac:dyDescent="0.2">
      <c r="E1280" s="3"/>
    </row>
    <row r="1281" spans="5:5" ht="15.75" customHeight="1" x14ac:dyDescent="0.2">
      <c r="E1281" s="3"/>
    </row>
    <row r="1282" spans="5:5" ht="15.75" customHeight="1" x14ac:dyDescent="0.2">
      <c r="E1282" s="3"/>
    </row>
    <row r="1283" spans="5:5" ht="15.75" customHeight="1" x14ac:dyDescent="0.2">
      <c r="E1283" s="3"/>
    </row>
    <row r="1284" spans="5:5" ht="15.75" customHeight="1" x14ac:dyDescent="0.2">
      <c r="E1284" s="3"/>
    </row>
    <row r="1285" spans="5:5" ht="15.75" customHeight="1" x14ac:dyDescent="0.2">
      <c r="E1285" s="3"/>
    </row>
    <row r="1286" spans="5:5" ht="15.75" customHeight="1" x14ac:dyDescent="0.2">
      <c r="E1286" s="3"/>
    </row>
    <row r="1287" spans="5:5" ht="15.75" customHeight="1" x14ac:dyDescent="0.2">
      <c r="E1287" s="3"/>
    </row>
    <row r="1288" spans="5:5" ht="15.75" customHeight="1" x14ac:dyDescent="0.2">
      <c r="E1288" s="3"/>
    </row>
    <row r="1289" spans="5:5" ht="15.75" customHeight="1" x14ac:dyDescent="0.2">
      <c r="E1289" s="3"/>
    </row>
    <row r="1290" spans="5:5" ht="15.75" customHeight="1" x14ac:dyDescent="0.2">
      <c r="E1290" s="3"/>
    </row>
    <row r="1291" spans="5:5" ht="15.75" customHeight="1" x14ac:dyDescent="0.2">
      <c r="E1291" s="3"/>
    </row>
    <row r="1292" spans="5:5" ht="15.75" customHeight="1" x14ac:dyDescent="0.2">
      <c r="E1292" s="3"/>
    </row>
    <row r="1293" spans="5:5" ht="15.75" customHeight="1" x14ac:dyDescent="0.2">
      <c r="E1293" s="3"/>
    </row>
    <row r="1294" spans="5:5" ht="15.75" customHeight="1" x14ac:dyDescent="0.2">
      <c r="E1294" s="3"/>
    </row>
    <row r="1295" spans="5:5" ht="15.75" customHeight="1" x14ac:dyDescent="0.2">
      <c r="E1295" s="3"/>
    </row>
    <row r="1296" spans="5:5" ht="15.75" customHeight="1" x14ac:dyDescent="0.2">
      <c r="E1296" s="3"/>
    </row>
    <row r="1297" spans="5:5" ht="15.75" customHeight="1" x14ac:dyDescent="0.2">
      <c r="E1297" s="3"/>
    </row>
    <row r="1298" spans="5:5" ht="15.75" customHeight="1" x14ac:dyDescent="0.2">
      <c r="E1298" s="3"/>
    </row>
    <row r="1299" spans="5:5" ht="15.75" customHeight="1" x14ac:dyDescent="0.2">
      <c r="E1299" s="3"/>
    </row>
    <row r="1300" spans="5:5" ht="15.75" customHeight="1" x14ac:dyDescent="0.2">
      <c r="E1300" s="3"/>
    </row>
    <row r="1301" spans="5:5" ht="15.75" customHeight="1" x14ac:dyDescent="0.2">
      <c r="E1301" s="3"/>
    </row>
    <row r="1302" spans="5:5" ht="15.75" customHeight="1" x14ac:dyDescent="0.2">
      <c r="E1302" s="3"/>
    </row>
    <row r="1303" spans="5:5" ht="15.75" customHeight="1" x14ac:dyDescent="0.2">
      <c r="E1303" s="3"/>
    </row>
    <row r="1304" spans="5:5" ht="15.75" customHeight="1" x14ac:dyDescent="0.2">
      <c r="E1304" s="3"/>
    </row>
    <row r="1305" spans="5:5" ht="15.75" customHeight="1" x14ac:dyDescent="0.2">
      <c r="E1305" s="3"/>
    </row>
    <row r="1306" spans="5:5" ht="15.75" customHeight="1" x14ac:dyDescent="0.2">
      <c r="E1306" s="3"/>
    </row>
    <row r="1307" spans="5:5" ht="15.75" customHeight="1" x14ac:dyDescent="0.2">
      <c r="E1307" s="3"/>
    </row>
    <row r="1308" spans="5:5" ht="15.75" customHeight="1" x14ac:dyDescent="0.2">
      <c r="E1308" s="3"/>
    </row>
    <row r="1309" spans="5:5" ht="15.75" customHeight="1" x14ac:dyDescent="0.2">
      <c r="E1309" s="3"/>
    </row>
    <row r="1310" spans="5:5" ht="15.75" customHeight="1" x14ac:dyDescent="0.2">
      <c r="E1310" s="3"/>
    </row>
    <row r="1311" spans="5:5" ht="15.75" customHeight="1" x14ac:dyDescent="0.2">
      <c r="E1311" s="3"/>
    </row>
    <row r="1312" spans="5:5" ht="15.75" customHeight="1" x14ac:dyDescent="0.2">
      <c r="E1312" s="3"/>
    </row>
    <row r="1313" spans="5:5" ht="15.75" customHeight="1" x14ac:dyDescent="0.2">
      <c r="E1313" s="3"/>
    </row>
    <row r="1314" spans="5:5" ht="15.75" customHeight="1" x14ac:dyDescent="0.2">
      <c r="E1314" s="3"/>
    </row>
    <row r="1315" spans="5:5" ht="15.75" customHeight="1" x14ac:dyDescent="0.2">
      <c r="E1315" s="3"/>
    </row>
    <row r="1316" spans="5:5" ht="15.75" customHeight="1" x14ac:dyDescent="0.2">
      <c r="E1316" s="3"/>
    </row>
    <row r="1317" spans="5:5" ht="15.75" customHeight="1" x14ac:dyDescent="0.2">
      <c r="E1317" s="3"/>
    </row>
    <row r="1318" spans="5:5" ht="15.75" customHeight="1" x14ac:dyDescent="0.2">
      <c r="E1318" s="3"/>
    </row>
    <row r="1319" spans="5:5" ht="15.75" customHeight="1" x14ac:dyDescent="0.2">
      <c r="E1319" s="3"/>
    </row>
    <row r="1320" spans="5:5" ht="15.75" customHeight="1" x14ac:dyDescent="0.2">
      <c r="E1320" s="3"/>
    </row>
    <row r="1321" spans="5:5" ht="15.75" customHeight="1" x14ac:dyDescent="0.2">
      <c r="E1321" s="3"/>
    </row>
    <row r="1322" spans="5:5" ht="15.75" customHeight="1" x14ac:dyDescent="0.2">
      <c r="E1322" s="3"/>
    </row>
    <row r="1323" spans="5:5" ht="15.75" customHeight="1" x14ac:dyDescent="0.2">
      <c r="E1323" s="3"/>
    </row>
    <row r="1324" spans="5:5" ht="15.75" customHeight="1" x14ac:dyDescent="0.2">
      <c r="E1324" s="3"/>
    </row>
    <row r="1325" spans="5:5" ht="15.75" customHeight="1" x14ac:dyDescent="0.2">
      <c r="E1325" s="3"/>
    </row>
    <row r="1326" spans="5:5" ht="15.75" customHeight="1" x14ac:dyDescent="0.2">
      <c r="E1326" s="3"/>
    </row>
    <row r="1327" spans="5:5" ht="15.75" customHeight="1" x14ac:dyDescent="0.2">
      <c r="E1327" s="3"/>
    </row>
    <row r="1328" spans="5:5" ht="15.75" customHeight="1" x14ac:dyDescent="0.2">
      <c r="E1328" s="3"/>
    </row>
    <row r="1329" spans="5:5" ht="15.75" customHeight="1" x14ac:dyDescent="0.2">
      <c r="E1329" s="3"/>
    </row>
    <row r="1330" spans="5:5" ht="15.75" customHeight="1" x14ac:dyDescent="0.2">
      <c r="E1330" s="3"/>
    </row>
    <row r="1331" spans="5:5" ht="15.75" customHeight="1" x14ac:dyDescent="0.2">
      <c r="E1331" s="3"/>
    </row>
    <row r="1332" spans="5:5" ht="15.75" customHeight="1" x14ac:dyDescent="0.2">
      <c r="E1332" s="3"/>
    </row>
    <row r="1333" spans="5:5" ht="15.75" customHeight="1" x14ac:dyDescent="0.2">
      <c r="E1333" s="3"/>
    </row>
    <row r="1334" spans="5:5" ht="15.75" customHeight="1" x14ac:dyDescent="0.2">
      <c r="E1334" s="3"/>
    </row>
    <row r="1335" spans="5:5" ht="15.75" customHeight="1" x14ac:dyDescent="0.2">
      <c r="E1335" s="3"/>
    </row>
    <row r="1336" spans="5:5" ht="15.75" customHeight="1" x14ac:dyDescent="0.2">
      <c r="E1336" s="3"/>
    </row>
    <row r="1337" spans="5:5" ht="15.75" customHeight="1" x14ac:dyDescent="0.2">
      <c r="E1337" s="3"/>
    </row>
    <row r="1338" spans="5:5" ht="15.75" customHeight="1" x14ac:dyDescent="0.2">
      <c r="E1338" s="3"/>
    </row>
    <row r="1339" spans="5:5" ht="15.75" customHeight="1" x14ac:dyDescent="0.2">
      <c r="E1339" s="3"/>
    </row>
    <row r="1340" spans="5:5" ht="15.75" customHeight="1" x14ac:dyDescent="0.2">
      <c r="E1340" s="3"/>
    </row>
    <row r="1341" spans="5:5" ht="15.75" customHeight="1" x14ac:dyDescent="0.2">
      <c r="E1341" s="3"/>
    </row>
    <row r="1342" spans="5:5" ht="15.75" customHeight="1" x14ac:dyDescent="0.2">
      <c r="E1342" s="3"/>
    </row>
    <row r="1343" spans="5:5" ht="15.75" customHeight="1" x14ac:dyDescent="0.2">
      <c r="E1343" s="3"/>
    </row>
    <row r="1344" spans="5:5" ht="15.75" customHeight="1" x14ac:dyDescent="0.2">
      <c r="E1344" s="3"/>
    </row>
    <row r="1345" spans="5:5" ht="15.75" customHeight="1" x14ac:dyDescent="0.2">
      <c r="E1345" s="3"/>
    </row>
    <row r="1346" spans="5:5" ht="15.75" customHeight="1" x14ac:dyDescent="0.2">
      <c r="E1346" s="3"/>
    </row>
    <row r="1347" spans="5:5" ht="15.75" customHeight="1" x14ac:dyDescent="0.2">
      <c r="E1347" s="3"/>
    </row>
    <row r="1348" spans="5:5" ht="15.75" customHeight="1" x14ac:dyDescent="0.2">
      <c r="E1348" s="3"/>
    </row>
    <row r="1349" spans="5:5" ht="15.75" customHeight="1" x14ac:dyDescent="0.2">
      <c r="E1349" s="3"/>
    </row>
    <row r="1350" spans="5:5" ht="15.75" customHeight="1" x14ac:dyDescent="0.2">
      <c r="E1350" s="3"/>
    </row>
    <row r="1351" spans="5:5" ht="15.75" customHeight="1" x14ac:dyDescent="0.2">
      <c r="E1351" s="3"/>
    </row>
    <row r="1352" spans="5:5" ht="15.75" customHeight="1" x14ac:dyDescent="0.2">
      <c r="E1352" s="3"/>
    </row>
    <row r="1353" spans="5:5" ht="15.75" customHeight="1" x14ac:dyDescent="0.2">
      <c r="E1353" s="3"/>
    </row>
    <row r="1354" spans="5:5" ht="15.75" customHeight="1" x14ac:dyDescent="0.2">
      <c r="E1354" s="3"/>
    </row>
    <row r="1355" spans="5:5" ht="15.75" customHeight="1" x14ac:dyDescent="0.2">
      <c r="E1355" s="3"/>
    </row>
    <row r="1356" spans="5:5" ht="15.75" customHeight="1" x14ac:dyDescent="0.2">
      <c r="E1356" s="3"/>
    </row>
    <row r="1357" spans="5:5" ht="15.75" customHeight="1" x14ac:dyDescent="0.2">
      <c r="E1357" s="3"/>
    </row>
    <row r="1358" spans="5:5" ht="15.75" customHeight="1" x14ac:dyDescent="0.2">
      <c r="E1358" s="3"/>
    </row>
    <row r="1359" spans="5:5" ht="15.75" customHeight="1" x14ac:dyDescent="0.2">
      <c r="E1359" s="3"/>
    </row>
    <row r="1360" spans="5:5" ht="15.75" customHeight="1" x14ac:dyDescent="0.2">
      <c r="E1360" s="3"/>
    </row>
    <row r="1361" spans="5:5" ht="15.75" customHeight="1" x14ac:dyDescent="0.2">
      <c r="E1361" s="3"/>
    </row>
    <row r="1362" spans="5:5" ht="15.75" customHeight="1" x14ac:dyDescent="0.2">
      <c r="E1362" s="3"/>
    </row>
    <row r="1363" spans="5:5" ht="15.75" customHeight="1" x14ac:dyDescent="0.2">
      <c r="E1363" s="3"/>
    </row>
    <row r="1364" spans="5:5" ht="15.75" customHeight="1" x14ac:dyDescent="0.2">
      <c r="E1364" s="3"/>
    </row>
    <row r="1365" spans="5:5" ht="15.75" customHeight="1" x14ac:dyDescent="0.2">
      <c r="E1365" s="3"/>
    </row>
    <row r="1366" spans="5:5" ht="15.75" customHeight="1" x14ac:dyDescent="0.2">
      <c r="E1366" s="3"/>
    </row>
    <row r="1367" spans="5:5" ht="15.75" customHeight="1" x14ac:dyDescent="0.2">
      <c r="E1367" s="3"/>
    </row>
    <row r="1368" spans="5:5" ht="15.75" customHeight="1" x14ac:dyDescent="0.2">
      <c r="E1368" s="3"/>
    </row>
    <row r="1369" spans="5:5" ht="15.75" customHeight="1" x14ac:dyDescent="0.2">
      <c r="E1369" s="3"/>
    </row>
    <row r="1370" spans="5:5" ht="15.75" customHeight="1" x14ac:dyDescent="0.2">
      <c r="E1370" s="3"/>
    </row>
    <row r="1371" spans="5:5" ht="15.75" customHeight="1" x14ac:dyDescent="0.2">
      <c r="E1371" s="3"/>
    </row>
    <row r="1372" spans="5:5" ht="15.75" customHeight="1" x14ac:dyDescent="0.2">
      <c r="E1372" s="3"/>
    </row>
    <row r="1373" spans="5:5" ht="15.75" customHeight="1" x14ac:dyDescent="0.2">
      <c r="E1373" s="3"/>
    </row>
    <row r="1374" spans="5:5" ht="15.75" customHeight="1" x14ac:dyDescent="0.2">
      <c r="E1374" s="3"/>
    </row>
    <row r="1375" spans="5:5" ht="15.75" customHeight="1" x14ac:dyDescent="0.2">
      <c r="E1375" s="3"/>
    </row>
    <row r="1376" spans="5:5" ht="15.75" customHeight="1" x14ac:dyDescent="0.2">
      <c r="E1376" s="3"/>
    </row>
    <row r="1377" spans="5:5" ht="15.75" customHeight="1" x14ac:dyDescent="0.2">
      <c r="E1377" s="3"/>
    </row>
    <row r="1378" spans="5:5" ht="15.75" customHeight="1" x14ac:dyDescent="0.2">
      <c r="E1378" s="3"/>
    </row>
    <row r="1379" spans="5:5" ht="15.75" customHeight="1" x14ac:dyDescent="0.2">
      <c r="E1379" s="3"/>
    </row>
    <row r="1380" spans="5:5" ht="15.75" customHeight="1" x14ac:dyDescent="0.2">
      <c r="E1380" s="3"/>
    </row>
    <row r="1381" spans="5:5" ht="15.75" customHeight="1" x14ac:dyDescent="0.2">
      <c r="E1381" s="3"/>
    </row>
    <row r="1382" spans="5:5" ht="15.75" customHeight="1" x14ac:dyDescent="0.2">
      <c r="E1382" s="3"/>
    </row>
    <row r="1383" spans="5:5" ht="15.75" customHeight="1" x14ac:dyDescent="0.2">
      <c r="E1383" s="3"/>
    </row>
    <row r="1384" spans="5:5" ht="15.75" customHeight="1" x14ac:dyDescent="0.2">
      <c r="E1384" s="3"/>
    </row>
    <row r="1385" spans="5:5" ht="15.75" customHeight="1" x14ac:dyDescent="0.2">
      <c r="E1385" s="3"/>
    </row>
    <row r="1386" spans="5:5" ht="15.75" customHeight="1" x14ac:dyDescent="0.2">
      <c r="E1386" s="3"/>
    </row>
    <row r="1387" spans="5:5" ht="15.75" customHeight="1" x14ac:dyDescent="0.2">
      <c r="E1387" s="3"/>
    </row>
    <row r="1388" spans="5:5" ht="15.75" customHeight="1" x14ac:dyDescent="0.2">
      <c r="E1388" s="3"/>
    </row>
    <row r="1389" spans="5:5" ht="15.75" customHeight="1" x14ac:dyDescent="0.2">
      <c r="E1389" s="3"/>
    </row>
    <row r="1390" spans="5:5" ht="15.75" customHeight="1" x14ac:dyDescent="0.2">
      <c r="E1390" s="3"/>
    </row>
    <row r="1391" spans="5:5" ht="15.75" customHeight="1" x14ac:dyDescent="0.2">
      <c r="E1391" s="3"/>
    </row>
    <row r="1392" spans="5:5" ht="15.75" customHeight="1" x14ac:dyDescent="0.2">
      <c r="E1392" s="3"/>
    </row>
    <row r="1393" spans="5:5" ht="15.75" customHeight="1" x14ac:dyDescent="0.2">
      <c r="E1393" s="3"/>
    </row>
    <row r="1394" spans="5:5" ht="15.75" customHeight="1" x14ac:dyDescent="0.2">
      <c r="E1394" s="3"/>
    </row>
    <row r="1395" spans="5:5" ht="15.75" customHeight="1" x14ac:dyDescent="0.2">
      <c r="E1395" s="3"/>
    </row>
    <row r="1396" spans="5:5" ht="15.75" customHeight="1" x14ac:dyDescent="0.2">
      <c r="E1396" s="3"/>
    </row>
    <row r="1397" spans="5:5" ht="15.75" customHeight="1" x14ac:dyDescent="0.2">
      <c r="E1397" s="3"/>
    </row>
    <row r="1398" spans="5:5" ht="15.75" customHeight="1" x14ac:dyDescent="0.2">
      <c r="E1398" s="3"/>
    </row>
    <row r="1399" spans="5:5" ht="15.75" customHeight="1" x14ac:dyDescent="0.2">
      <c r="E1399" s="3"/>
    </row>
    <row r="1400" spans="5:5" ht="15.75" customHeight="1" x14ac:dyDescent="0.2">
      <c r="E1400" s="3"/>
    </row>
    <row r="1401" spans="5:5" ht="15.75" customHeight="1" x14ac:dyDescent="0.2">
      <c r="E1401" s="3"/>
    </row>
    <row r="1402" spans="5:5" ht="15.75" customHeight="1" x14ac:dyDescent="0.2">
      <c r="E1402" s="3"/>
    </row>
    <row r="1403" spans="5:5" ht="15.75" customHeight="1" x14ac:dyDescent="0.2">
      <c r="E1403" s="3"/>
    </row>
    <row r="1404" spans="5:5" ht="15.75" customHeight="1" x14ac:dyDescent="0.2">
      <c r="E1404" s="3"/>
    </row>
    <row r="1405" spans="5:5" ht="15.75" customHeight="1" x14ac:dyDescent="0.2">
      <c r="E1405" s="3"/>
    </row>
    <row r="1406" spans="5:5" ht="15.75" customHeight="1" x14ac:dyDescent="0.2">
      <c r="E1406" s="3"/>
    </row>
    <row r="1407" spans="5:5" ht="15.75" customHeight="1" x14ac:dyDescent="0.2">
      <c r="E1407" s="3"/>
    </row>
    <row r="1408" spans="5:5" ht="15.75" customHeight="1" x14ac:dyDescent="0.2">
      <c r="E1408" s="3"/>
    </row>
    <row r="1409" spans="5:5" ht="15.75" customHeight="1" x14ac:dyDescent="0.2">
      <c r="E1409" s="3"/>
    </row>
    <row r="1410" spans="5:5" ht="15.75" customHeight="1" x14ac:dyDescent="0.2">
      <c r="E1410" s="3"/>
    </row>
    <row r="1411" spans="5:5" ht="15.75" customHeight="1" x14ac:dyDescent="0.2">
      <c r="E1411" s="3"/>
    </row>
    <row r="1412" spans="5:5" ht="15.75" customHeight="1" x14ac:dyDescent="0.2">
      <c r="E1412" s="3"/>
    </row>
    <row r="1413" spans="5:5" ht="15.75" customHeight="1" x14ac:dyDescent="0.2">
      <c r="E1413" s="3"/>
    </row>
    <row r="1414" spans="5:5" ht="15.75" customHeight="1" x14ac:dyDescent="0.2">
      <c r="E1414" s="3"/>
    </row>
    <row r="1415" spans="5:5" ht="15.75" customHeight="1" x14ac:dyDescent="0.2">
      <c r="E1415" s="3"/>
    </row>
    <row r="1416" spans="5:5" ht="15.75" customHeight="1" x14ac:dyDescent="0.2">
      <c r="E1416" s="3"/>
    </row>
    <row r="1417" spans="5:5" ht="15.75" customHeight="1" x14ac:dyDescent="0.2">
      <c r="E1417" s="3"/>
    </row>
    <row r="1418" spans="5:5" ht="15.75" customHeight="1" x14ac:dyDescent="0.2">
      <c r="E1418" s="3"/>
    </row>
    <row r="1419" spans="5:5" ht="15.75" customHeight="1" x14ac:dyDescent="0.2">
      <c r="E1419" s="3"/>
    </row>
    <row r="1420" spans="5:5" ht="15.75" customHeight="1" x14ac:dyDescent="0.2">
      <c r="E1420" s="3"/>
    </row>
    <row r="1421" spans="5:5" ht="15.75" customHeight="1" x14ac:dyDescent="0.2">
      <c r="E1421" s="3"/>
    </row>
    <row r="1422" spans="5:5" ht="15.75" customHeight="1" x14ac:dyDescent="0.2">
      <c r="E1422" s="3"/>
    </row>
    <row r="1423" spans="5:5" ht="15.75" customHeight="1" x14ac:dyDescent="0.2">
      <c r="E1423" s="3"/>
    </row>
    <row r="1424" spans="5:5" ht="15.75" customHeight="1" x14ac:dyDescent="0.2">
      <c r="E1424" s="3"/>
    </row>
    <row r="1425" spans="5:5" ht="15.75" customHeight="1" x14ac:dyDescent="0.2">
      <c r="E1425" s="3"/>
    </row>
    <row r="1426" spans="5:5" ht="15.75" customHeight="1" x14ac:dyDescent="0.2">
      <c r="E1426" s="3"/>
    </row>
    <row r="1427" spans="5:5" ht="15.75" customHeight="1" x14ac:dyDescent="0.2">
      <c r="E1427" s="3"/>
    </row>
    <row r="1428" spans="5:5" ht="15.75" customHeight="1" x14ac:dyDescent="0.2">
      <c r="E1428" s="3"/>
    </row>
    <row r="1429" spans="5:5" ht="15.75" customHeight="1" x14ac:dyDescent="0.2">
      <c r="E1429" s="3"/>
    </row>
    <row r="1430" spans="5:5" ht="15.75" customHeight="1" x14ac:dyDescent="0.2">
      <c r="E1430" s="3"/>
    </row>
    <row r="1431" spans="5:5" ht="15.75" customHeight="1" x14ac:dyDescent="0.2">
      <c r="E1431" s="3"/>
    </row>
    <row r="1432" spans="5:5" ht="15.75" customHeight="1" x14ac:dyDescent="0.2">
      <c r="E1432" s="3"/>
    </row>
    <row r="1433" spans="5:5" ht="15.75" customHeight="1" x14ac:dyDescent="0.2">
      <c r="E1433" s="3"/>
    </row>
    <row r="1434" spans="5:5" ht="15.75" customHeight="1" x14ac:dyDescent="0.2">
      <c r="E1434" s="3"/>
    </row>
    <row r="1435" spans="5:5" ht="15.75" customHeight="1" x14ac:dyDescent="0.2">
      <c r="E1435" s="3"/>
    </row>
    <row r="1436" spans="5:5" ht="15.75" customHeight="1" x14ac:dyDescent="0.2">
      <c r="E1436" s="3"/>
    </row>
    <row r="1437" spans="5:5" ht="15.75" customHeight="1" x14ac:dyDescent="0.2">
      <c r="E1437" s="3"/>
    </row>
    <row r="1438" spans="5:5" ht="15.75" customHeight="1" x14ac:dyDescent="0.2">
      <c r="E1438" s="3"/>
    </row>
    <row r="1439" spans="5:5" ht="15.75" customHeight="1" x14ac:dyDescent="0.2">
      <c r="E1439" s="3"/>
    </row>
    <row r="1440" spans="5:5" ht="15.75" customHeight="1" x14ac:dyDescent="0.2">
      <c r="E1440" s="3"/>
    </row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322"/>
  <sheetViews>
    <sheetView workbookViewId="0">
      <pane xSplit="2" ySplit="1" topLeftCell="C510" activePane="bottomRight" state="frozen"/>
      <selection pane="topRight" activeCell="C1" sqref="C1"/>
      <selection pane="bottomLeft" activeCell="A2" sqref="A2"/>
      <selection pane="bottomRight" activeCell="A510" sqref="A510"/>
    </sheetView>
  </sheetViews>
  <sheetFormatPr baseColWidth="10" defaultColWidth="11.1640625" defaultRowHeight="15" customHeight="1" x14ac:dyDescent="0.2"/>
  <cols>
    <col min="1" max="2" width="10.5" customWidth="1"/>
    <col min="3" max="3" width="10.5" style="205" customWidth="1"/>
    <col min="4" max="5" width="10.5" customWidth="1"/>
    <col min="6" max="6" width="10.5" style="221" customWidth="1"/>
    <col min="7" max="8" width="10.5" style="190" customWidth="1"/>
    <col min="9" max="26" width="10.5" customWidth="1"/>
  </cols>
  <sheetData>
    <row r="1" spans="1:26" ht="33.75" customHeight="1" x14ac:dyDescent="0.2">
      <c r="A1" s="3"/>
      <c r="B1" s="3" t="s">
        <v>49</v>
      </c>
      <c r="C1" s="15" t="s">
        <v>50</v>
      </c>
      <c r="D1" s="3" t="s">
        <v>51</v>
      </c>
      <c r="E1" s="3" t="s">
        <v>52</v>
      </c>
      <c r="F1" s="40" t="s">
        <v>53</v>
      </c>
      <c r="G1" s="3" t="s">
        <v>54</v>
      </c>
      <c r="H1" s="2" t="s">
        <v>55</v>
      </c>
      <c r="I1" s="2" t="s">
        <v>56</v>
      </c>
      <c r="J1" s="2" t="s">
        <v>57</v>
      </c>
      <c r="K1" s="2" t="s">
        <v>58</v>
      </c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B2" s="1" t="s">
        <v>35</v>
      </c>
      <c r="C2" s="15"/>
      <c r="D2" s="3"/>
      <c r="E2" s="3"/>
      <c r="F2" s="40"/>
      <c r="G2" s="3"/>
      <c r="H2" s="2"/>
      <c r="I2" s="2"/>
      <c r="J2" s="2"/>
      <c r="K2" s="2"/>
      <c r="L2" s="2"/>
      <c r="M2" s="2"/>
      <c r="N2" s="3"/>
    </row>
    <row r="3" spans="1:26" ht="15.75" customHeight="1" x14ac:dyDescent="0.2">
      <c r="A3" s="4"/>
      <c r="B3" s="4" t="s">
        <v>59</v>
      </c>
      <c r="C3" s="15"/>
      <c r="D3" s="3"/>
      <c r="E3" s="3"/>
      <c r="F3" s="40"/>
      <c r="G3" s="3"/>
      <c r="H3" s="2"/>
      <c r="I3" s="2"/>
      <c r="J3" s="2"/>
      <c r="K3" s="2"/>
      <c r="L3" s="2"/>
      <c r="M3" s="2"/>
      <c r="N3" s="3"/>
    </row>
    <row r="4" spans="1:26" ht="15.75" customHeight="1" x14ac:dyDescent="0.2">
      <c r="A4" s="4" t="s">
        <v>60</v>
      </c>
      <c r="B4" s="4" t="s">
        <v>102</v>
      </c>
      <c r="C4" s="15"/>
      <c r="D4" s="3"/>
      <c r="E4" s="3"/>
      <c r="F4" s="40"/>
      <c r="G4" s="3"/>
      <c r="H4" s="2"/>
      <c r="I4" s="2"/>
      <c r="J4" s="2"/>
      <c r="K4" s="2"/>
      <c r="L4" s="2"/>
      <c r="M4" s="2"/>
      <c r="N4" s="3"/>
    </row>
    <row r="5" spans="1:26" ht="15.75" customHeight="1" x14ac:dyDescent="0.2">
      <c r="A5" s="4"/>
      <c r="B5" s="5" t="s">
        <v>62</v>
      </c>
      <c r="C5" s="15"/>
      <c r="D5" s="3"/>
      <c r="E5" s="3"/>
      <c r="F5" s="40"/>
      <c r="G5" s="3"/>
      <c r="H5" s="2"/>
      <c r="I5" s="2"/>
      <c r="J5" s="2"/>
      <c r="K5" s="2"/>
      <c r="L5" s="2"/>
      <c r="M5" s="2"/>
      <c r="N5" s="3"/>
    </row>
    <row r="6" spans="1:26" ht="15.75" customHeight="1" x14ac:dyDescent="0.2">
      <c r="A6" s="4"/>
      <c r="B6" s="5"/>
      <c r="C6" s="15">
        <v>45463</v>
      </c>
      <c r="D6" s="19">
        <v>0.53125</v>
      </c>
      <c r="E6" s="3"/>
      <c r="F6" s="40"/>
      <c r="G6" s="3"/>
      <c r="H6" s="2"/>
      <c r="I6" s="2"/>
      <c r="J6" s="2">
        <v>6.5</v>
      </c>
      <c r="K6" s="2">
        <v>7.5</v>
      </c>
      <c r="L6" s="2"/>
      <c r="M6" s="2"/>
      <c r="N6" s="3"/>
    </row>
    <row r="7" spans="1:26" ht="15.75" customHeight="1" x14ac:dyDescent="0.2">
      <c r="A7" s="4"/>
      <c r="B7" s="5"/>
      <c r="C7" s="15">
        <v>45463</v>
      </c>
      <c r="D7" s="19">
        <v>0.53472222222222221</v>
      </c>
      <c r="E7" s="3">
        <v>0.1</v>
      </c>
      <c r="F7" s="40">
        <v>10.09</v>
      </c>
      <c r="G7" s="3">
        <v>105.5</v>
      </c>
      <c r="H7" s="2">
        <v>17.399999999999999</v>
      </c>
      <c r="I7" s="2"/>
      <c r="J7" s="2"/>
      <c r="K7" s="2"/>
      <c r="L7" s="2"/>
      <c r="M7" s="2"/>
      <c r="N7" s="3"/>
    </row>
    <row r="8" spans="1:26" ht="15.75" customHeight="1" x14ac:dyDescent="0.2">
      <c r="A8" s="4"/>
      <c r="B8" s="5"/>
      <c r="C8" s="15">
        <v>45463</v>
      </c>
      <c r="D8" s="19">
        <v>0.53472222222222221</v>
      </c>
      <c r="E8" s="3">
        <v>1</v>
      </c>
      <c r="F8" s="40">
        <v>10.25</v>
      </c>
      <c r="G8" s="3">
        <v>106</v>
      </c>
      <c r="H8" s="2">
        <v>17.100000000000001</v>
      </c>
      <c r="I8" s="2"/>
      <c r="J8" s="2"/>
      <c r="K8" s="2"/>
      <c r="L8" s="2"/>
      <c r="M8" s="2"/>
      <c r="N8" s="3"/>
    </row>
    <row r="9" spans="1:26" ht="15.75" customHeight="1" x14ac:dyDescent="0.2">
      <c r="A9" s="4"/>
      <c r="B9" s="5"/>
      <c r="C9" s="15">
        <v>45463</v>
      </c>
      <c r="D9" s="19">
        <v>0.53472222222222221</v>
      </c>
      <c r="E9" s="3">
        <v>2</v>
      </c>
      <c r="F9" s="40">
        <v>10.3</v>
      </c>
      <c r="G9" s="3">
        <v>103.9</v>
      </c>
      <c r="H9" s="2">
        <v>16.7</v>
      </c>
      <c r="I9" s="2"/>
      <c r="J9" s="2"/>
      <c r="K9" s="2"/>
      <c r="L9" s="2"/>
      <c r="M9" s="2"/>
      <c r="N9" s="3"/>
    </row>
    <row r="10" spans="1:26" ht="15.75" customHeight="1" x14ac:dyDescent="0.2">
      <c r="A10" s="4"/>
      <c r="B10" s="5"/>
      <c r="C10" s="15">
        <v>45463</v>
      </c>
      <c r="D10" s="19">
        <v>0.53472222222222221</v>
      </c>
      <c r="E10" s="3">
        <v>3</v>
      </c>
      <c r="F10" s="40">
        <v>10.35</v>
      </c>
      <c r="G10" s="3">
        <v>103.9</v>
      </c>
      <c r="H10" s="2">
        <v>15.8</v>
      </c>
      <c r="I10" s="2"/>
      <c r="J10" s="2"/>
      <c r="K10" s="2"/>
      <c r="L10" s="2"/>
      <c r="M10" s="2"/>
      <c r="N10" s="3"/>
    </row>
    <row r="11" spans="1:26" ht="15.75" customHeight="1" x14ac:dyDescent="0.2">
      <c r="A11" s="4"/>
      <c r="B11" s="5"/>
      <c r="C11" s="15">
        <v>45463</v>
      </c>
      <c r="D11" s="19">
        <v>0.53472222222222221</v>
      </c>
      <c r="E11" s="3">
        <v>4</v>
      </c>
      <c r="F11" s="40">
        <v>10.42</v>
      </c>
      <c r="G11" s="3">
        <v>104.2</v>
      </c>
      <c r="H11" s="2">
        <v>15.3</v>
      </c>
      <c r="I11" s="2"/>
      <c r="J11" s="2"/>
      <c r="K11" s="2"/>
      <c r="L11" s="2"/>
      <c r="M11" s="2"/>
      <c r="N11" s="3"/>
    </row>
    <row r="12" spans="1:26" ht="15.75" customHeight="1" x14ac:dyDescent="0.2">
      <c r="A12" s="4"/>
      <c r="B12" s="5"/>
      <c r="C12" s="15">
        <v>45463</v>
      </c>
      <c r="D12" s="19">
        <v>0.53472222222222221</v>
      </c>
      <c r="E12" s="3">
        <v>5</v>
      </c>
      <c r="F12" s="40">
        <v>10.51</v>
      </c>
      <c r="G12" s="3">
        <v>103.9</v>
      </c>
      <c r="H12" s="2">
        <v>14.6</v>
      </c>
      <c r="I12" s="2"/>
      <c r="J12" s="2"/>
      <c r="K12" s="2"/>
      <c r="L12" s="2"/>
      <c r="M12" s="2"/>
      <c r="N12" s="3"/>
    </row>
    <row r="13" spans="1:26" ht="15.75" customHeight="1" x14ac:dyDescent="0.2">
      <c r="A13" s="4"/>
      <c r="B13" s="5"/>
      <c r="C13" s="15">
        <v>45463</v>
      </c>
      <c r="D13" s="19">
        <v>0.53472222222222221</v>
      </c>
      <c r="E13" s="3">
        <v>6</v>
      </c>
      <c r="F13" s="40">
        <v>10.62</v>
      </c>
      <c r="G13" s="3">
        <v>102.8</v>
      </c>
      <c r="H13" s="2">
        <v>13.9</v>
      </c>
      <c r="I13" s="2"/>
      <c r="J13" s="2"/>
      <c r="K13" s="2"/>
      <c r="L13" s="2"/>
      <c r="M13" s="2"/>
      <c r="N13" s="3"/>
    </row>
    <row r="14" spans="1:26" ht="15.75" customHeight="1" x14ac:dyDescent="0.2">
      <c r="A14" s="4"/>
      <c r="B14" s="5"/>
      <c r="C14" s="15">
        <v>45463</v>
      </c>
      <c r="D14" s="19">
        <v>0.53472222222222221</v>
      </c>
      <c r="E14" s="3">
        <v>7</v>
      </c>
      <c r="F14" s="40">
        <v>10.67</v>
      </c>
      <c r="G14" s="3">
        <v>102.2</v>
      </c>
      <c r="H14" s="2">
        <v>13.4</v>
      </c>
      <c r="I14" s="2"/>
      <c r="J14" s="2"/>
      <c r="K14" s="2"/>
      <c r="L14" s="2"/>
      <c r="M14" s="2"/>
      <c r="N14" s="3"/>
    </row>
    <row r="15" spans="1:26" ht="15.75" customHeight="1" x14ac:dyDescent="0.2">
      <c r="A15" s="4"/>
      <c r="B15" s="5"/>
      <c r="C15" s="15">
        <v>45463</v>
      </c>
      <c r="D15" s="19">
        <v>0.53472222222222221</v>
      </c>
      <c r="E15" s="3">
        <v>8</v>
      </c>
      <c r="F15" s="40">
        <v>10.69</v>
      </c>
      <c r="G15" s="3">
        <v>102</v>
      </c>
      <c r="H15" s="2">
        <v>13.2</v>
      </c>
      <c r="I15" s="2"/>
      <c r="J15" s="2"/>
      <c r="K15" s="2"/>
      <c r="L15" s="2"/>
      <c r="M15" s="2"/>
      <c r="N15" s="3"/>
    </row>
    <row r="16" spans="1:26" ht="15.75" customHeight="1" x14ac:dyDescent="0.2">
      <c r="A16" s="4"/>
      <c r="B16" s="5"/>
      <c r="C16" s="15">
        <v>45463</v>
      </c>
      <c r="D16" s="19">
        <v>0.53472222222222221</v>
      </c>
      <c r="E16" s="3">
        <v>9</v>
      </c>
      <c r="F16" s="40">
        <v>10.69</v>
      </c>
      <c r="G16" s="3">
        <v>99</v>
      </c>
      <c r="H16" s="2">
        <v>12.4</v>
      </c>
      <c r="I16" s="2"/>
      <c r="J16" s="2"/>
      <c r="K16" s="2"/>
      <c r="L16" s="2"/>
      <c r="M16" s="2"/>
      <c r="N16" s="3"/>
    </row>
    <row r="17" spans="1:14" ht="15.75" customHeight="1" x14ac:dyDescent="0.2">
      <c r="A17" s="4"/>
      <c r="B17" s="5"/>
      <c r="C17" s="15">
        <v>45463</v>
      </c>
      <c r="D17" s="19">
        <v>0.53472222222222221</v>
      </c>
      <c r="E17" s="3">
        <v>10</v>
      </c>
      <c r="F17" s="40">
        <v>10.73</v>
      </c>
      <c r="G17" s="3">
        <v>98.6</v>
      </c>
      <c r="H17" s="2">
        <v>11.6</v>
      </c>
      <c r="I17" s="2"/>
      <c r="J17" s="2"/>
      <c r="K17" s="2"/>
      <c r="L17" s="2"/>
      <c r="M17" s="2"/>
      <c r="N17" s="3"/>
    </row>
    <row r="18" spans="1:14" ht="15.75" customHeight="1" x14ac:dyDescent="0.2">
      <c r="A18" s="4"/>
      <c r="B18" s="5"/>
      <c r="C18" s="15">
        <v>45463</v>
      </c>
      <c r="D18" s="19">
        <v>0.53472222222222221</v>
      </c>
      <c r="E18" s="3">
        <v>11</v>
      </c>
      <c r="F18" s="40">
        <v>10.71</v>
      </c>
      <c r="G18" s="3">
        <v>96.8</v>
      </c>
      <c r="H18" s="2">
        <v>10.9</v>
      </c>
      <c r="I18" s="2"/>
      <c r="J18" s="2"/>
      <c r="K18" s="2"/>
      <c r="L18" s="2"/>
      <c r="M18" s="2"/>
      <c r="N18" s="3"/>
    </row>
    <row r="19" spans="1:14" ht="15.75" customHeight="1" x14ac:dyDescent="0.2">
      <c r="A19" s="4"/>
      <c r="B19" s="5"/>
      <c r="C19" s="15"/>
      <c r="D19" s="3"/>
      <c r="E19" s="3"/>
      <c r="F19" s="40"/>
      <c r="G19" s="3"/>
      <c r="H19" s="2"/>
      <c r="I19" s="2"/>
      <c r="J19" s="2"/>
      <c r="K19" s="2"/>
      <c r="L19" s="2"/>
      <c r="M19" s="2"/>
      <c r="N19" s="3"/>
    </row>
    <row r="20" spans="1:14" ht="15.75" customHeight="1" x14ac:dyDescent="0.2">
      <c r="A20" s="4"/>
      <c r="B20" s="5"/>
      <c r="C20" s="15">
        <v>45496</v>
      </c>
      <c r="D20" s="19">
        <v>0.41666666666666669</v>
      </c>
      <c r="E20" s="3"/>
      <c r="F20" s="40"/>
      <c r="G20" s="3"/>
      <c r="H20" s="2"/>
      <c r="I20" s="2"/>
      <c r="J20" s="2">
        <v>8</v>
      </c>
      <c r="K20" s="2">
        <v>9</v>
      </c>
      <c r="L20" s="2"/>
      <c r="M20" s="2"/>
      <c r="N20" s="3"/>
    </row>
    <row r="21" spans="1:14" ht="15.75" customHeight="1" x14ac:dyDescent="0.2">
      <c r="A21" s="4"/>
      <c r="B21" s="5"/>
      <c r="C21" s="15">
        <v>45496</v>
      </c>
      <c r="D21" s="19">
        <v>0.4201388888888889</v>
      </c>
      <c r="E21" s="3">
        <v>0.1</v>
      </c>
      <c r="F21" s="40">
        <v>8.68</v>
      </c>
      <c r="G21" s="3">
        <v>104.6</v>
      </c>
      <c r="H21" s="2">
        <v>25.4</v>
      </c>
      <c r="I21" s="2"/>
      <c r="J21" s="2"/>
      <c r="K21" s="2"/>
      <c r="L21" s="2"/>
      <c r="M21" s="2"/>
      <c r="N21" s="3"/>
    </row>
    <row r="22" spans="1:14" ht="15.75" customHeight="1" x14ac:dyDescent="0.2">
      <c r="A22" s="4"/>
      <c r="B22" s="5"/>
      <c r="C22" s="15">
        <v>45496</v>
      </c>
      <c r="D22" s="19">
        <v>0.4201388888888889</v>
      </c>
      <c r="E22" s="3">
        <v>1</v>
      </c>
      <c r="F22" s="40">
        <v>8.66</v>
      </c>
      <c r="G22" s="3">
        <v>103.9</v>
      </c>
      <c r="H22" s="2">
        <v>24.6</v>
      </c>
      <c r="I22" s="2"/>
      <c r="J22" s="2"/>
      <c r="K22" s="2"/>
      <c r="L22" s="2"/>
      <c r="M22" s="2"/>
      <c r="N22" s="3"/>
    </row>
    <row r="23" spans="1:14" ht="15.75" customHeight="1" x14ac:dyDescent="0.2">
      <c r="A23" s="4"/>
      <c r="B23" s="5"/>
      <c r="C23" s="15">
        <v>45496</v>
      </c>
      <c r="D23" s="19">
        <v>0.4201388888888889</v>
      </c>
      <c r="E23" s="3">
        <v>2</v>
      </c>
      <c r="F23" s="40">
        <v>8.6199999999999992</v>
      </c>
      <c r="G23" s="3">
        <v>103.8</v>
      </c>
      <c r="H23" s="2">
        <v>24.7</v>
      </c>
      <c r="I23" s="2"/>
      <c r="J23" s="2"/>
      <c r="K23" s="2"/>
      <c r="L23" s="2"/>
      <c r="M23" s="2"/>
      <c r="N23" s="3"/>
    </row>
    <row r="24" spans="1:14" ht="15.75" customHeight="1" x14ac:dyDescent="0.2">
      <c r="A24" s="4"/>
      <c r="B24" s="5"/>
      <c r="C24" s="15">
        <v>45496</v>
      </c>
      <c r="D24" s="19">
        <v>0.4201388888888889</v>
      </c>
      <c r="E24" s="3">
        <v>3</v>
      </c>
      <c r="F24" s="40">
        <v>8.6</v>
      </c>
      <c r="G24" s="3">
        <v>103.6</v>
      </c>
      <c r="H24" s="2">
        <v>24.7</v>
      </c>
      <c r="I24" s="2"/>
      <c r="J24" s="2"/>
      <c r="K24" s="2"/>
      <c r="L24" s="2"/>
      <c r="M24" s="2"/>
      <c r="N24" s="3"/>
    </row>
    <row r="25" spans="1:14" ht="15.75" customHeight="1" x14ac:dyDescent="0.2">
      <c r="A25" s="4"/>
      <c r="B25" s="5"/>
      <c r="C25" s="15">
        <v>45496</v>
      </c>
      <c r="D25" s="19">
        <v>0.4201388888888889</v>
      </c>
      <c r="E25" s="3">
        <v>4</v>
      </c>
      <c r="F25" s="40">
        <v>8.59</v>
      </c>
      <c r="G25" s="3">
        <v>103.8</v>
      </c>
      <c r="H25" s="2">
        <v>24.7</v>
      </c>
      <c r="I25" s="2"/>
      <c r="J25" s="2"/>
      <c r="K25" s="2"/>
      <c r="L25" s="2"/>
      <c r="M25" s="2"/>
      <c r="N25" s="3"/>
    </row>
    <row r="26" spans="1:14" ht="15.75" customHeight="1" x14ac:dyDescent="0.2">
      <c r="A26" s="4"/>
      <c r="B26" s="5"/>
      <c r="C26" s="15">
        <v>45496</v>
      </c>
      <c r="D26" s="19">
        <v>0.4201388888888889</v>
      </c>
      <c r="E26" s="3">
        <v>5</v>
      </c>
      <c r="F26" s="40">
        <v>8.57</v>
      </c>
      <c r="G26" s="3">
        <v>103.1</v>
      </c>
      <c r="H26" s="2">
        <v>24.7</v>
      </c>
      <c r="I26" s="2"/>
      <c r="J26" s="2"/>
      <c r="K26" s="2"/>
      <c r="L26" s="2"/>
      <c r="M26" s="2"/>
      <c r="N26" s="3"/>
    </row>
    <row r="27" spans="1:14" ht="15.75" customHeight="1" x14ac:dyDescent="0.2">
      <c r="A27" s="4"/>
      <c r="B27" s="5"/>
      <c r="C27" s="15">
        <v>45496</v>
      </c>
      <c r="D27" s="19">
        <v>0.4201388888888889</v>
      </c>
      <c r="E27" s="3">
        <v>6</v>
      </c>
      <c r="F27" s="40">
        <v>8.5500000000000007</v>
      </c>
      <c r="G27" s="3">
        <v>102.7</v>
      </c>
      <c r="H27" s="2">
        <v>24.6</v>
      </c>
      <c r="I27" s="2"/>
      <c r="J27" s="2"/>
      <c r="K27" s="2"/>
      <c r="L27" s="2"/>
      <c r="M27" s="2"/>
      <c r="N27" s="3"/>
    </row>
    <row r="28" spans="1:14" ht="15.75" customHeight="1" x14ac:dyDescent="0.2">
      <c r="A28" s="4"/>
      <c r="B28" s="5"/>
      <c r="C28" s="15">
        <v>45496</v>
      </c>
      <c r="D28" s="19">
        <v>0.4201388888888889</v>
      </c>
      <c r="E28" s="3">
        <v>7</v>
      </c>
      <c r="F28" s="40">
        <v>8.5299999999999994</v>
      </c>
      <c r="G28" s="3">
        <v>102.1</v>
      </c>
      <c r="H28" s="2">
        <v>24.5</v>
      </c>
      <c r="I28" s="2"/>
      <c r="J28" s="2"/>
      <c r="K28" s="2"/>
      <c r="L28" s="2"/>
      <c r="M28" s="2"/>
      <c r="N28" s="3"/>
    </row>
    <row r="29" spans="1:14" ht="15.75" customHeight="1" x14ac:dyDescent="0.2">
      <c r="A29" s="4"/>
      <c r="B29" s="5"/>
      <c r="C29" s="15">
        <v>45496</v>
      </c>
      <c r="D29" s="19">
        <v>0.4201388888888889</v>
      </c>
      <c r="E29" s="3">
        <v>8</v>
      </c>
      <c r="F29" s="40">
        <v>9.52</v>
      </c>
      <c r="G29" s="3">
        <v>105</v>
      </c>
      <c r="H29" s="2">
        <v>22</v>
      </c>
      <c r="I29" s="2"/>
      <c r="J29" s="2"/>
      <c r="K29" s="2"/>
      <c r="L29" s="2"/>
      <c r="M29" s="2"/>
      <c r="N29" s="3"/>
    </row>
    <row r="30" spans="1:14" ht="15.75" customHeight="1" x14ac:dyDescent="0.2">
      <c r="A30" s="4"/>
      <c r="B30" s="5"/>
      <c r="C30" s="15">
        <v>45496</v>
      </c>
      <c r="D30" s="19">
        <v>0.4201388888888889</v>
      </c>
      <c r="E30" s="3">
        <v>9</v>
      </c>
      <c r="F30" s="40">
        <v>10.25</v>
      </c>
      <c r="G30" s="3">
        <v>112.6</v>
      </c>
      <c r="H30" s="2">
        <v>20.100000000000001</v>
      </c>
      <c r="I30" s="2"/>
      <c r="J30" s="2"/>
      <c r="K30" s="2"/>
      <c r="L30" s="2"/>
      <c r="M30" s="2"/>
      <c r="N30" s="3"/>
    </row>
    <row r="31" spans="1:14" ht="15.75" customHeight="1" x14ac:dyDescent="0.2">
      <c r="A31" s="4"/>
      <c r="B31" s="5"/>
      <c r="C31" s="15">
        <v>45496</v>
      </c>
      <c r="D31" s="19">
        <v>0.4201388888888889</v>
      </c>
      <c r="E31" s="3">
        <v>10</v>
      </c>
      <c r="F31" s="40">
        <v>10.52</v>
      </c>
      <c r="G31" s="3">
        <v>112.7</v>
      </c>
      <c r="H31" s="2">
        <v>19</v>
      </c>
      <c r="I31" s="2"/>
      <c r="J31" s="2"/>
      <c r="K31" s="2"/>
      <c r="L31" s="2"/>
      <c r="M31" s="2"/>
      <c r="N31" s="3"/>
    </row>
    <row r="32" spans="1:14" ht="15.75" customHeight="1" x14ac:dyDescent="0.2">
      <c r="A32" s="4"/>
      <c r="B32" s="5"/>
      <c r="C32" s="15">
        <v>45496</v>
      </c>
      <c r="D32" s="19">
        <v>0.4201388888888889</v>
      </c>
      <c r="E32" s="3">
        <v>11</v>
      </c>
      <c r="F32" s="40">
        <v>10.57</v>
      </c>
      <c r="G32" s="3">
        <v>112.3</v>
      </c>
      <c r="H32" s="2">
        <v>19.3</v>
      </c>
      <c r="I32" s="2"/>
      <c r="J32" s="2"/>
      <c r="K32" s="2"/>
      <c r="L32" s="2"/>
      <c r="M32" s="2"/>
      <c r="N32" s="3"/>
    </row>
    <row r="33" spans="1:14" ht="15.75" customHeight="1" x14ac:dyDescent="0.2">
      <c r="A33" s="4"/>
      <c r="B33" s="5"/>
      <c r="C33" s="15"/>
      <c r="D33" s="3"/>
      <c r="E33" s="3"/>
      <c r="F33" s="40"/>
      <c r="G33" s="3"/>
      <c r="H33" s="2"/>
      <c r="I33" s="2"/>
      <c r="J33" s="2"/>
      <c r="K33" s="2"/>
      <c r="L33" s="2"/>
      <c r="M33" s="2"/>
      <c r="N33" s="3"/>
    </row>
    <row r="34" spans="1:14" ht="15.75" customHeight="1" x14ac:dyDescent="0.2">
      <c r="A34" s="4"/>
      <c r="B34" s="5"/>
      <c r="C34" s="15">
        <v>45524</v>
      </c>
      <c r="D34" s="19">
        <v>0.375</v>
      </c>
      <c r="E34" s="3"/>
      <c r="F34" s="40"/>
      <c r="G34" s="3"/>
      <c r="H34" s="2"/>
      <c r="I34" s="2"/>
      <c r="J34" s="2">
        <v>9</v>
      </c>
      <c r="K34" s="2">
        <v>9.5</v>
      </c>
      <c r="L34" s="2"/>
      <c r="M34" s="2"/>
      <c r="N34" s="3"/>
    </row>
    <row r="35" spans="1:14" ht="15.75" customHeight="1" x14ac:dyDescent="0.2">
      <c r="A35" s="4"/>
      <c r="B35" s="5"/>
      <c r="C35" s="15">
        <v>45524</v>
      </c>
      <c r="D35" s="19">
        <v>0.37708333333333338</v>
      </c>
      <c r="E35" s="3">
        <v>0.1</v>
      </c>
      <c r="F35" s="40">
        <v>9.0399999999999991</v>
      </c>
      <c r="G35" s="3">
        <v>103.7</v>
      </c>
      <c r="H35" s="2">
        <v>22.2</v>
      </c>
      <c r="I35" s="2"/>
      <c r="J35" s="2"/>
      <c r="K35" s="2"/>
      <c r="L35" s="2"/>
      <c r="M35" s="2"/>
      <c r="N35" s="3"/>
    </row>
    <row r="36" spans="1:14" ht="15.75" customHeight="1" x14ac:dyDescent="0.2">
      <c r="A36" s="4"/>
      <c r="B36" s="5"/>
      <c r="C36" s="15">
        <v>45524</v>
      </c>
      <c r="D36" s="19">
        <v>0.37708333333333338</v>
      </c>
      <c r="E36" s="3">
        <v>1</v>
      </c>
      <c r="F36" s="40">
        <v>9.02</v>
      </c>
      <c r="G36" s="3">
        <v>103.6</v>
      </c>
      <c r="H36" s="2">
        <v>22.2</v>
      </c>
      <c r="I36" s="2"/>
      <c r="J36" s="2"/>
      <c r="K36" s="2"/>
      <c r="L36" s="2"/>
      <c r="M36" s="2"/>
      <c r="N36" s="3"/>
    </row>
    <row r="37" spans="1:14" ht="15.75" customHeight="1" x14ac:dyDescent="0.2">
      <c r="A37" s="4"/>
      <c r="B37" s="5"/>
      <c r="C37" s="15">
        <v>45524</v>
      </c>
      <c r="D37" s="19">
        <v>0.37708333333333338</v>
      </c>
      <c r="E37" s="3">
        <v>2</v>
      </c>
      <c r="F37" s="40">
        <v>9</v>
      </c>
      <c r="G37" s="3">
        <v>103.4</v>
      </c>
      <c r="H37" s="2">
        <v>22.2</v>
      </c>
      <c r="I37" s="2"/>
      <c r="J37" s="2"/>
      <c r="K37" s="2"/>
      <c r="L37" s="2"/>
      <c r="M37" s="2"/>
      <c r="N37" s="3"/>
    </row>
    <row r="38" spans="1:14" ht="15.75" customHeight="1" x14ac:dyDescent="0.2">
      <c r="A38" s="4"/>
      <c r="B38" s="5"/>
      <c r="C38" s="15">
        <v>45524</v>
      </c>
      <c r="D38" s="19">
        <v>0.37708333333333338</v>
      </c>
      <c r="E38" s="3">
        <v>3</v>
      </c>
      <c r="F38" s="40">
        <v>8.98</v>
      </c>
      <c r="G38" s="3">
        <v>103</v>
      </c>
      <c r="H38" s="2">
        <v>22.2</v>
      </c>
      <c r="I38" s="2"/>
      <c r="J38" s="2"/>
      <c r="K38" s="2"/>
      <c r="L38" s="2"/>
      <c r="M38" s="2"/>
      <c r="N38" s="3"/>
    </row>
    <row r="39" spans="1:14" ht="15.75" customHeight="1" x14ac:dyDescent="0.2">
      <c r="A39" s="4"/>
      <c r="B39" s="5"/>
      <c r="C39" s="15">
        <v>45524</v>
      </c>
      <c r="D39" s="19">
        <v>0.37708333333333338</v>
      </c>
      <c r="E39" s="3">
        <v>4</v>
      </c>
      <c r="F39" s="40">
        <v>8.9600000000000009</v>
      </c>
      <c r="G39" s="3">
        <v>102.8</v>
      </c>
      <c r="H39" s="2">
        <v>22.2</v>
      </c>
      <c r="I39" s="2"/>
      <c r="J39" s="2"/>
      <c r="K39" s="2"/>
      <c r="L39" s="2"/>
      <c r="M39" s="2"/>
      <c r="N39" s="3"/>
    </row>
    <row r="40" spans="1:14" ht="15.75" customHeight="1" x14ac:dyDescent="0.2">
      <c r="A40" s="4"/>
      <c r="B40" s="5"/>
      <c r="C40" s="15">
        <v>45524</v>
      </c>
      <c r="D40" s="19">
        <v>0.37708333333333338</v>
      </c>
      <c r="E40" s="3">
        <v>5</v>
      </c>
      <c r="F40" s="40">
        <v>8.94</v>
      </c>
      <c r="G40" s="3">
        <v>102.6</v>
      </c>
      <c r="H40" s="2">
        <v>22.2</v>
      </c>
      <c r="I40" s="2"/>
      <c r="J40" s="2"/>
      <c r="K40" s="2"/>
      <c r="L40" s="2"/>
      <c r="M40" s="2"/>
      <c r="N40" s="3"/>
    </row>
    <row r="41" spans="1:14" ht="15.75" customHeight="1" x14ac:dyDescent="0.2">
      <c r="A41" s="4"/>
      <c r="B41" s="5"/>
      <c r="C41" s="15">
        <v>45524</v>
      </c>
      <c r="D41" s="19">
        <v>0.37708333333333338</v>
      </c>
      <c r="E41" s="3">
        <v>6</v>
      </c>
      <c r="F41" s="40">
        <v>8.9</v>
      </c>
      <c r="G41" s="3">
        <v>102.2</v>
      </c>
      <c r="H41" s="2">
        <v>22.2</v>
      </c>
      <c r="I41" s="2"/>
      <c r="J41" s="2"/>
      <c r="K41" s="2"/>
      <c r="L41" s="2"/>
      <c r="M41" s="2"/>
      <c r="N41" s="3"/>
    </row>
    <row r="42" spans="1:14" ht="15.75" customHeight="1" x14ac:dyDescent="0.2">
      <c r="A42" s="4"/>
      <c r="B42" s="5"/>
      <c r="C42" s="15">
        <v>45524</v>
      </c>
      <c r="D42" s="19">
        <v>0.37708333333333338</v>
      </c>
      <c r="E42" s="3">
        <v>7</v>
      </c>
      <c r="F42" s="40">
        <v>8.8800000000000008</v>
      </c>
      <c r="G42" s="3">
        <v>101.8</v>
      </c>
      <c r="H42" s="2">
        <v>22.1</v>
      </c>
      <c r="I42" s="2"/>
      <c r="J42" s="2"/>
      <c r="K42" s="2"/>
      <c r="L42" s="2"/>
      <c r="M42" s="2"/>
      <c r="N42" s="3"/>
    </row>
    <row r="43" spans="1:14" ht="15.75" customHeight="1" x14ac:dyDescent="0.2">
      <c r="A43" s="4"/>
      <c r="B43" s="5"/>
      <c r="C43" s="15">
        <v>45524</v>
      </c>
      <c r="D43" s="19">
        <v>0.37708333333333338</v>
      </c>
      <c r="E43" s="3">
        <v>8</v>
      </c>
      <c r="F43" s="40">
        <v>8.8800000000000008</v>
      </c>
      <c r="G43" s="3">
        <v>101.3</v>
      </c>
      <c r="H43" s="2">
        <v>21.9</v>
      </c>
      <c r="I43" s="2"/>
      <c r="J43" s="2"/>
      <c r="K43" s="2"/>
      <c r="L43" s="2"/>
      <c r="M43" s="2"/>
      <c r="N43" s="3"/>
    </row>
    <row r="44" spans="1:14" ht="15.75" customHeight="1" x14ac:dyDescent="0.2">
      <c r="A44" s="4"/>
      <c r="B44" s="5"/>
      <c r="C44" s="15">
        <v>45524</v>
      </c>
      <c r="D44" s="19">
        <v>0.37708333333333338</v>
      </c>
      <c r="E44" s="3">
        <v>9</v>
      </c>
      <c r="F44" s="40">
        <v>9.8699999999999992</v>
      </c>
      <c r="G44" s="3">
        <v>106.9</v>
      </c>
      <c r="H44" s="2">
        <v>18.899999999999999</v>
      </c>
      <c r="I44" s="2"/>
      <c r="J44" s="2"/>
      <c r="K44" s="2"/>
      <c r="L44" s="2"/>
      <c r="M44" s="2"/>
      <c r="N44" s="3"/>
    </row>
    <row r="45" spans="1:14" ht="15.75" customHeight="1" x14ac:dyDescent="0.2">
      <c r="A45" s="4"/>
      <c r="B45" s="5"/>
      <c r="C45" s="15">
        <v>45524</v>
      </c>
      <c r="D45" s="19">
        <v>0.37708333333333338</v>
      </c>
      <c r="E45" s="3">
        <v>10</v>
      </c>
      <c r="F45" s="40">
        <v>10.199999999999999</v>
      </c>
      <c r="G45" s="3">
        <v>105.7</v>
      </c>
      <c r="H45" s="2">
        <v>17.399999999999999</v>
      </c>
      <c r="I45" s="2"/>
      <c r="J45" s="2"/>
      <c r="K45" s="2"/>
      <c r="L45" s="2"/>
      <c r="M45" s="2"/>
      <c r="N45" s="3"/>
    </row>
    <row r="46" spans="1:14" ht="15.75" customHeight="1" x14ac:dyDescent="0.2">
      <c r="A46" s="4"/>
      <c r="B46" s="5"/>
      <c r="C46" s="15">
        <v>45524</v>
      </c>
      <c r="D46" s="19">
        <v>0.37708333333333338</v>
      </c>
      <c r="E46" s="3">
        <v>11</v>
      </c>
      <c r="F46" s="40">
        <v>10.199999999999999</v>
      </c>
      <c r="G46" s="3">
        <v>103.1</v>
      </c>
      <c r="H46" s="2">
        <v>16</v>
      </c>
      <c r="I46" s="2"/>
      <c r="J46" s="2"/>
      <c r="K46" s="2"/>
      <c r="L46" s="2"/>
      <c r="M46" s="2"/>
      <c r="N46" s="3"/>
    </row>
    <row r="47" spans="1:14" ht="15.75" customHeight="1" x14ac:dyDescent="0.2">
      <c r="A47" s="4"/>
      <c r="B47" s="5"/>
      <c r="C47" s="15"/>
      <c r="D47" s="3"/>
      <c r="E47" s="3"/>
      <c r="F47" s="40"/>
      <c r="G47" s="3"/>
      <c r="H47" s="2"/>
      <c r="I47" s="2"/>
      <c r="J47" s="2"/>
      <c r="K47" s="2"/>
      <c r="L47" s="2"/>
      <c r="M47" s="2"/>
      <c r="N47" s="3"/>
    </row>
    <row r="48" spans="1:14" ht="15.75" customHeight="1" x14ac:dyDescent="0.2">
      <c r="A48" s="4"/>
      <c r="B48" s="5"/>
      <c r="C48" s="15">
        <v>45566</v>
      </c>
      <c r="D48" s="19">
        <v>0.50694444444444442</v>
      </c>
      <c r="E48" s="3"/>
      <c r="F48" s="40"/>
      <c r="G48" s="3"/>
      <c r="H48" s="2"/>
      <c r="I48" s="2"/>
      <c r="J48" s="2">
        <v>8</v>
      </c>
      <c r="K48" s="2">
        <v>9.5</v>
      </c>
      <c r="L48" s="2"/>
      <c r="M48" s="2"/>
      <c r="N48" s="3"/>
    </row>
    <row r="49" spans="1:26" ht="15.75" customHeight="1" x14ac:dyDescent="0.2">
      <c r="A49" s="4"/>
      <c r="B49" s="5"/>
      <c r="C49" s="15">
        <v>45566</v>
      </c>
      <c r="D49" s="19">
        <v>0.51041666666666663</v>
      </c>
      <c r="E49" s="3">
        <v>0.1</v>
      </c>
      <c r="F49" s="40">
        <v>9.5299999999999994</v>
      </c>
      <c r="G49" s="3">
        <v>99.4</v>
      </c>
      <c r="H49" s="2">
        <v>17.399999999999999</v>
      </c>
      <c r="I49" s="2"/>
      <c r="J49" s="2"/>
      <c r="K49" s="2"/>
      <c r="L49" s="2"/>
      <c r="M49" s="2"/>
      <c r="N49" s="3"/>
    </row>
    <row r="50" spans="1:26" ht="15.75" customHeight="1" x14ac:dyDescent="0.2">
      <c r="A50" s="4"/>
      <c r="B50" s="5"/>
      <c r="C50" s="15">
        <v>45566</v>
      </c>
      <c r="D50" s="19">
        <v>0.51041666666666663</v>
      </c>
      <c r="E50" s="3">
        <v>1</v>
      </c>
      <c r="F50" s="40">
        <v>9.5</v>
      </c>
      <c r="G50" s="3">
        <v>99.1</v>
      </c>
      <c r="H50" s="2">
        <v>17.399999999999999</v>
      </c>
      <c r="I50" s="2"/>
      <c r="J50" s="2"/>
      <c r="K50" s="2"/>
      <c r="L50" s="2"/>
      <c r="M50" s="2"/>
      <c r="N50" s="3"/>
    </row>
    <row r="51" spans="1:26" ht="15.75" customHeight="1" x14ac:dyDescent="0.2">
      <c r="A51" s="4"/>
      <c r="B51" s="5"/>
      <c r="C51" s="15">
        <v>45566</v>
      </c>
      <c r="D51" s="19">
        <v>0.51041666666666663</v>
      </c>
      <c r="E51" s="3">
        <v>2</v>
      </c>
      <c r="F51" s="40">
        <v>9.49</v>
      </c>
      <c r="G51" s="3">
        <v>98.7</v>
      </c>
      <c r="H51" s="2">
        <v>17.3</v>
      </c>
      <c r="I51" s="2"/>
      <c r="J51" s="2"/>
      <c r="K51" s="2"/>
      <c r="L51" s="2"/>
      <c r="M51" s="2"/>
      <c r="N51" s="3"/>
    </row>
    <row r="52" spans="1:26" ht="15.75" customHeight="1" x14ac:dyDescent="0.2">
      <c r="A52" s="4"/>
      <c r="B52" s="5"/>
      <c r="C52" s="15">
        <v>45566</v>
      </c>
      <c r="D52" s="19">
        <v>0.51041666666666663</v>
      </c>
      <c r="E52" s="3">
        <v>3</v>
      </c>
      <c r="F52" s="40">
        <v>9.4600000000000009</v>
      </c>
      <c r="G52" s="3">
        <v>98.5</v>
      </c>
      <c r="H52" s="2">
        <v>17.3</v>
      </c>
      <c r="I52" s="2"/>
      <c r="J52" s="2"/>
      <c r="K52" s="2"/>
      <c r="L52" s="2"/>
      <c r="M52" s="2"/>
      <c r="N52" s="3"/>
    </row>
    <row r="53" spans="1:26" ht="15.75" customHeight="1" x14ac:dyDescent="0.2">
      <c r="A53" s="4"/>
      <c r="B53" s="5"/>
      <c r="C53" s="15">
        <v>45566</v>
      </c>
      <c r="D53" s="19">
        <v>0.51041666666666663</v>
      </c>
      <c r="E53" s="3">
        <v>4</v>
      </c>
      <c r="F53" s="40">
        <v>9.44</v>
      </c>
      <c r="G53" s="3">
        <v>98.3</v>
      </c>
      <c r="H53" s="2">
        <v>17.3</v>
      </c>
      <c r="I53" s="2"/>
      <c r="J53" s="2"/>
      <c r="K53" s="2"/>
      <c r="L53" s="2"/>
      <c r="M53" s="2"/>
      <c r="N53" s="3"/>
    </row>
    <row r="54" spans="1:26" ht="15.75" customHeight="1" x14ac:dyDescent="0.2">
      <c r="A54" s="4"/>
      <c r="B54" s="5"/>
      <c r="C54" s="15">
        <v>45566</v>
      </c>
      <c r="D54" s="19">
        <v>0.51041666666666663</v>
      </c>
      <c r="E54" s="3">
        <v>5</v>
      </c>
      <c r="F54" s="40">
        <v>9.42</v>
      </c>
      <c r="G54" s="3">
        <v>98.1</v>
      </c>
      <c r="H54" s="2">
        <v>17.3</v>
      </c>
      <c r="I54" s="2"/>
      <c r="J54" s="2"/>
      <c r="K54" s="2"/>
      <c r="L54" s="2"/>
      <c r="M54" s="2"/>
      <c r="N54" s="3"/>
    </row>
    <row r="55" spans="1:26" ht="15.75" customHeight="1" x14ac:dyDescent="0.2">
      <c r="A55" s="4"/>
      <c r="B55" s="5"/>
      <c r="C55" s="15">
        <v>45566</v>
      </c>
      <c r="D55" s="19">
        <v>0.51041666666666663</v>
      </c>
      <c r="E55" s="3">
        <v>6</v>
      </c>
      <c r="F55" s="40">
        <v>9.41</v>
      </c>
      <c r="G55" s="3">
        <v>98</v>
      </c>
      <c r="H55" s="2">
        <v>17.3</v>
      </c>
      <c r="I55" s="2"/>
      <c r="J55" s="2"/>
      <c r="K55" s="2"/>
      <c r="L55" s="2"/>
      <c r="M55" s="2"/>
      <c r="N55" s="3"/>
    </row>
    <row r="56" spans="1:26" ht="15.75" customHeight="1" x14ac:dyDescent="0.2">
      <c r="A56" s="4"/>
      <c r="B56" s="5"/>
      <c r="C56" s="15">
        <v>45566</v>
      </c>
      <c r="D56" s="19">
        <v>0.51041666666666663</v>
      </c>
      <c r="E56" s="3">
        <v>7</v>
      </c>
      <c r="F56" s="40">
        <v>9.4</v>
      </c>
      <c r="G56" s="3">
        <v>97.9</v>
      </c>
      <c r="H56" s="2">
        <v>17.3</v>
      </c>
      <c r="I56" s="2"/>
      <c r="J56" s="2"/>
      <c r="K56" s="2"/>
      <c r="L56" s="2"/>
      <c r="M56" s="2"/>
      <c r="N56" s="3"/>
    </row>
    <row r="57" spans="1:26" ht="15.75" customHeight="1" x14ac:dyDescent="0.2">
      <c r="A57" s="4"/>
      <c r="B57" s="5"/>
      <c r="C57" s="15">
        <v>45566</v>
      </c>
      <c r="D57" s="19">
        <v>0.51041666666666663</v>
      </c>
      <c r="E57" s="3">
        <v>8</v>
      </c>
      <c r="F57" s="40">
        <v>9.39</v>
      </c>
      <c r="G57" s="3">
        <v>97.7</v>
      </c>
      <c r="H57" s="2">
        <v>17.3</v>
      </c>
      <c r="I57" s="2"/>
      <c r="J57" s="2"/>
      <c r="K57" s="2"/>
      <c r="L57" s="2"/>
      <c r="M57" s="2"/>
      <c r="N57" s="3"/>
    </row>
    <row r="58" spans="1:26" ht="15.75" customHeight="1" x14ac:dyDescent="0.2">
      <c r="A58" s="4"/>
      <c r="B58" s="5"/>
      <c r="C58" s="15">
        <v>45566</v>
      </c>
      <c r="D58" s="19">
        <v>0.51041666666666663</v>
      </c>
      <c r="E58" s="3">
        <v>9</v>
      </c>
      <c r="F58" s="40">
        <v>9.35</v>
      </c>
      <c r="G58" s="3">
        <v>97.3</v>
      </c>
      <c r="H58" s="2">
        <v>17.3</v>
      </c>
      <c r="I58" s="2"/>
      <c r="J58" s="2"/>
      <c r="K58" s="2"/>
      <c r="L58" s="2"/>
      <c r="M58" s="2"/>
      <c r="N58" s="3"/>
    </row>
    <row r="59" spans="1:26" ht="15.75" customHeight="1" x14ac:dyDescent="0.2">
      <c r="A59" s="4"/>
      <c r="B59" s="5"/>
      <c r="C59" s="15">
        <v>45566</v>
      </c>
      <c r="D59" s="19">
        <v>0.51041666666666663</v>
      </c>
      <c r="E59" s="3">
        <v>10</v>
      </c>
      <c r="F59" s="40">
        <v>9.31</v>
      </c>
      <c r="G59" s="3">
        <v>96.7</v>
      </c>
      <c r="H59" s="2">
        <v>17.3</v>
      </c>
      <c r="I59" s="2"/>
      <c r="J59" s="2"/>
      <c r="K59" s="2"/>
      <c r="L59" s="2"/>
      <c r="M59" s="2"/>
      <c r="N59" s="3"/>
    </row>
    <row r="60" spans="1:26" ht="15.75" customHeight="1" x14ac:dyDescent="0.2">
      <c r="A60" s="4"/>
      <c r="B60" s="5"/>
      <c r="C60" s="15">
        <v>45566</v>
      </c>
      <c r="D60" s="19">
        <v>0.51041666666666663</v>
      </c>
      <c r="E60" s="3">
        <v>11</v>
      </c>
      <c r="F60" s="40">
        <v>9.2899999999999991</v>
      </c>
      <c r="G60" s="3">
        <v>96.6</v>
      </c>
      <c r="H60" s="2">
        <v>17.2</v>
      </c>
      <c r="I60" s="2"/>
      <c r="J60" s="2"/>
      <c r="K60" s="2"/>
      <c r="L60" s="2"/>
      <c r="M60" s="2"/>
      <c r="N60" s="3"/>
    </row>
    <row r="61" spans="1:26" ht="15.75" customHeight="1" x14ac:dyDescent="0.2">
      <c r="A61" s="4"/>
      <c r="B61" s="5"/>
      <c r="C61" s="15"/>
      <c r="D61" s="3"/>
      <c r="E61" s="3"/>
      <c r="F61" s="40"/>
      <c r="G61" s="3"/>
      <c r="H61" s="2"/>
      <c r="I61" s="2"/>
      <c r="J61" s="2"/>
      <c r="K61" s="2"/>
      <c r="L61" s="2"/>
      <c r="M61" s="2"/>
      <c r="N61" s="3"/>
    </row>
    <row r="62" spans="1:26" ht="15.75" customHeight="1" x14ac:dyDescent="0.2">
      <c r="A62" s="4"/>
      <c r="B62" s="5"/>
      <c r="C62" s="15"/>
      <c r="D62" s="3"/>
      <c r="E62" s="3"/>
      <c r="F62" s="40"/>
      <c r="G62" s="3"/>
      <c r="H62" s="2"/>
      <c r="I62" s="2"/>
      <c r="J62" s="2"/>
      <c r="K62" s="2"/>
      <c r="L62" s="2"/>
      <c r="M62" s="2"/>
      <c r="N62" s="3"/>
    </row>
    <row r="63" spans="1:26" ht="15.75" customHeight="1" x14ac:dyDescent="0.2">
      <c r="C63" s="6">
        <v>44369</v>
      </c>
      <c r="D63" s="185">
        <v>0.44444444444444442</v>
      </c>
      <c r="J63">
        <v>6.5</v>
      </c>
      <c r="K63">
        <v>7.5</v>
      </c>
      <c r="L63" s="7"/>
      <c r="M63" s="3"/>
      <c r="N63" s="3"/>
    </row>
    <row r="64" spans="1:26" ht="15" customHeight="1" x14ac:dyDescent="0.2">
      <c r="A64" s="3"/>
      <c r="B64" s="3"/>
      <c r="C64" s="6">
        <v>44369</v>
      </c>
      <c r="D64" s="185">
        <v>0.44444444444444442</v>
      </c>
      <c r="E64">
        <v>0.1</v>
      </c>
      <c r="F64" s="221">
        <v>8.11</v>
      </c>
      <c r="G64" s="190">
        <v>88.2</v>
      </c>
      <c r="H64" s="190">
        <v>19.399999999999999</v>
      </c>
      <c r="L64" s="7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3:14" ht="15.75" customHeight="1" x14ac:dyDescent="0.2">
      <c r="C65" s="6">
        <v>44369</v>
      </c>
      <c r="D65" s="185">
        <v>0.44444444444444442</v>
      </c>
      <c r="E65">
        <v>1</v>
      </c>
      <c r="F65" s="221">
        <v>8.18</v>
      </c>
      <c r="G65" s="190">
        <v>88.4</v>
      </c>
      <c r="H65" s="190">
        <v>19.100000000000001</v>
      </c>
      <c r="L65" s="7"/>
      <c r="M65" s="3"/>
      <c r="N65" s="3"/>
    </row>
    <row r="66" spans="3:14" ht="15.75" customHeight="1" x14ac:dyDescent="0.2">
      <c r="C66" s="6">
        <v>44369</v>
      </c>
      <c r="D66" s="185">
        <v>0.44444444444444442</v>
      </c>
      <c r="E66">
        <v>2</v>
      </c>
      <c r="F66" s="221">
        <v>8.1999999999999993</v>
      </c>
      <c r="G66" s="190">
        <v>88.3</v>
      </c>
      <c r="H66" s="190">
        <v>18.899999999999999</v>
      </c>
      <c r="L66" s="7"/>
      <c r="M66" s="3"/>
      <c r="N66" s="3"/>
    </row>
    <row r="67" spans="3:14" ht="15.75" customHeight="1" x14ac:dyDescent="0.2">
      <c r="C67" s="6">
        <v>44369</v>
      </c>
      <c r="D67" s="185">
        <v>0.44444444444444442</v>
      </c>
      <c r="E67">
        <v>3</v>
      </c>
      <c r="F67" s="221">
        <v>8.2200000000000006</v>
      </c>
      <c r="G67" s="190">
        <v>88</v>
      </c>
      <c r="H67" s="190">
        <v>18.7</v>
      </c>
    </row>
    <row r="68" spans="3:14" ht="15.75" customHeight="1" x14ac:dyDescent="0.2">
      <c r="C68" s="6">
        <v>44369</v>
      </c>
      <c r="D68" s="185">
        <v>0.44444444444444442</v>
      </c>
      <c r="E68">
        <v>4</v>
      </c>
      <c r="F68" s="40">
        <v>8.26</v>
      </c>
      <c r="G68" s="3">
        <v>88</v>
      </c>
      <c r="H68" s="2">
        <v>18.399999999999999</v>
      </c>
      <c r="I68" s="2"/>
      <c r="J68" s="2"/>
      <c r="K68" s="2"/>
      <c r="L68" s="2"/>
      <c r="M68" s="2"/>
      <c r="N68" s="3"/>
    </row>
    <row r="69" spans="3:14" ht="15.75" customHeight="1" x14ac:dyDescent="0.2">
      <c r="C69" s="6">
        <v>44369</v>
      </c>
      <c r="D69" s="185">
        <v>0.44444444444444442</v>
      </c>
      <c r="E69">
        <v>5</v>
      </c>
      <c r="F69" s="221">
        <v>8.3800000000000008</v>
      </c>
      <c r="G69" s="190">
        <v>87.9</v>
      </c>
      <c r="H69" s="190">
        <v>17.600000000000001</v>
      </c>
    </row>
    <row r="70" spans="3:14" ht="15.75" customHeight="1" x14ac:dyDescent="0.2">
      <c r="C70" s="6">
        <v>44369</v>
      </c>
      <c r="D70" s="185">
        <v>0.44444444444444442</v>
      </c>
      <c r="E70">
        <v>6</v>
      </c>
      <c r="F70" s="221">
        <v>8.49</v>
      </c>
      <c r="G70" s="190">
        <v>87.3</v>
      </c>
      <c r="H70" s="190">
        <v>16.8</v>
      </c>
    </row>
    <row r="71" spans="3:14" ht="15.75" customHeight="1" x14ac:dyDescent="0.2">
      <c r="C71" s="6">
        <v>44369</v>
      </c>
      <c r="D71" s="185">
        <v>0.44444444444444442</v>
      </c>
      <c r="E71">
        <v>7</v>
      </c>
      <c r="F71" s="221">
        <v>8.6300000000000008</v>
      </c>
      <c r="G71" s="190">
        <v>86.3</v>
      </c>
      <c r="H71" s="190">
        <v>15.4</v>
      </c>
    </row>
    <row r="72" spans="3:14" ht="15.75" customHeight="1" x14ac:dyDescent="0.2">
      <c r="C72" s="6">
        <v>44369</v>
      </c>
      <c r="D72" s="185">
        <v>0.44444444444444442</v>
      </c>
      <c r="E72">
        <v>8</v>
      </c>
      <c r="F72" s="221">
        <v>8.77</v>
      </c>
      <c r="G72" s="190">
        <v>85</v>
      </c>
      <c r="H72" s="190">
        <v>13.9</v>
      </c>
    </row>
    <row r="73" spans="3:14" ht="15.75" customHeight="1" x14ac:dyDescent="0.2">
      <c r="C73" s="6">
        <v>44369</v>
      </c>
      <c r="D73" s="185">
        <v>0.44444444444444442</v>
      </c>
      <c r="E73">
        <v>9</v>
      </c>
      <c r="F73" s="221">
        <v>8.83</v>
      </c>
      <c r="G73" s="190">
        <v>84.8</v>
      </c>
      <c r="H73" s="190">
        <v>13.5</v>
      </c>
    </row>
    <row r="74" spans="3:14" ht="15.75" customHeight="1" x14ac:dyDescent="0.2">
      <c r="C74" s="6">
        <v>44369</v>
      </c>
      <c r="D74" s="185">
        <v>0.44444444444444442</v>
      </c>
      <c r="E74">
        <v>10</v>
      </c>
      <c r="F74" s="221">
        <v>8.8699999999999992</v>
      </c>
      <c r="G74" s="190">
        <v>84.7</v>
      </c>
      <c r="H74" s="190">
        <v>13.2</v>
      </c>
    </row>
    <row r="75" spans="3:14" ht="15.75" customHeight="1" x14ac:dyDescent="0.2">
      <c r="C75" s="6">
        <v>44369</v>
      </c>
      <c r="D75" s="185">
        <v>0.44444444444444442</v>
      </c>
      <c r="E75">
        <v>11</v>
      </c>
      <c r="F75" s="221">
        <v>8.6300000000000008</v>
      </c>
      <c r="G75" s="190">
        <v>81.8</v>
      </c>
      <c r="H75" s="190">
        <v>13.1</v>
      </c>
    </row>
    <row r="76" spans="3:14" ht="15.75" customHeight="1" x14ac:dyDescent="0.2"/>
    <row r="77" spans="3:14" ht="15.75" customHeight="1" x14ac:dyDescent="0.2">
      <c r="C77" s="205">
        <v>44403</v>
      </c>
      <c r="D77" s="185">
        <v>0.36458333333333331</v>
      </c>
      <c r="J77">
        <v>11</v>
      </c>
      <c r="K77">
        <v>11.5</v>
      </c>
    </row>
    <row r="78" spans="3:14" ht="15.75" customHeight="1" x14ac:dyDescent="0.2">
      <c r="C78" s="205">
        <v>44403</v>
      </c>
      <c r="D78" s="185">
        <v>0.375</v>
      </c>
      <c r="E78">
        <v>0.1</v>
      </c>
      <c r="F78" s="221">
        <v>6.93</v>
      </c>
      <c r="G78" s="190">
        <v>81.8</v>
      </c>
      <c r="H78" s="190">
        <v>23.7</v>
      </c>
    </row>
    <row r="79" spans="3:14" ht="15.75" customHeight="1" x14ac:dyDescent="0.2">
      <c r="C79" s="205">
        <v>44403</v>
      </c>
      <c r="D79" s="185">
        <v>0.375</v>
      </c>
      <c r="E79">
        <v>1</v>
      </c>
      <c r="F79" s="221">
        <v>6.91</v>
      </c>
      <c r="G79" s="190">
        <v>81.599999999999994</v>
      </c>
      <c r="H79" s="190">
        <v>23.7</v>
      </c>
    </row>
    <row r="80" spans="3:14" ht="15.75" customHeight="1" x14ac:dyDescent="0.2">
      <c r="C80" s="205">
        <v>44403</v>
      </c>
      <c r="D80" s="185">
        <v>0.375</v>
      </c>
      <c r="E80">
        <v>2</v>
      </c>
      <c r="F80" s="221">
        <v>6.89</v>
      </c>
      <c r="G80" s="190">
        <v>81.400000000000006</v>
      </c>
      <c r="H80" s="190">
        <v>23.7</v>
      </c>
    </row>
    <row r="81" spans="3:11" ht="15.75" customHeight="1" x14ac:dyDescent="0.2">
      <c r="C81" s="205">
        <v>44403</v>
      </c>
      <c r="D81" s="185">
        <v>0.375</v>
      </c>
      <c r="E81">
        <v>3</v>
      </c>
      <c r="F81" s="221">
        <v>6.88</v>
      </c>
      <c r="G81" s="190">
        <v>81.2</v>
      </c>
      <c r="H81" s="190">
        <v>23.7</v>
      </c>
    </row>
    <row r="82" spans="3:11" ht="15.75" customHeight="1" x14ac:dyDescent="0.2">
      <c r="C82" s="205">
        <v>44403</v>
      </c>
      <c r="D82" s="185">
        <v>0.375</v>
      </c>
      <c r="E82">
        <v>4</v>
      </c>
      <c r="F82" s="221">
        <v>6.86</v>
      </c>
      <c r="G82" s="190">
        <v>81</v>
      </c>
      <c r="H82" s="190">
        <v>23.7</v>
      </c>
    </row>
    <row r="83" spans="3:11" ht="15.75" customHeight="1" x14ac:dyDescent="0.2">
      <c r="C83" s="205">
        <v>44403</v>
      </c>
      <c r="D83" s="185">
        <v>0.375</v>
      </c>
      <c r="E83">
        <v>5</v>
      </c>
      <c r="F83" s="221">
        <v>6.85</v>
      </c>
      <c r="G83" s="190">
        <v>80.7</v>
      </c>
      <c r="H83" s="190">
        <v>23.6</v>
      </c>
    </row>
    <row r="84" spans="3:11" ht="15.75" customHeight="1" x14ac:dyDescent="0.2">
      <c r="C84" s="205">
        <v>44403</v>
      </c>
      <c r="D84" s="185">
        <v>0.375</v>
      </c>
      <c r="E84">
        <v>6</v>
      </c>
      <c r="F84" s="221">
        <v>6.83</v>
      </c>
      <c r="G84" s="190">
        <v>80.5</v>
      </c>
      <c r="H84" s="190">
        <v>23.6</v>
      </c>
    </row>
    <row r="85" spans="3:11" ht="15.75" customHeight="1" x14ac:dyDescent="0.2">
      <c r="C85" s="205">
        <v>44403</v>
      </c>
      <c r="D85" s="185">
        <v>0.375</v>
      </c>
      <c r="E85">
        <v>7</v>
      </c>
      <c r="F85" s="221">
        <v>6.84</v>
      </c>
      <c r="G85" s="190">
        <v>80.400000000000006</v>
      </c>
      <c r="H85" s="190">
        <v>23.5</v>
      </c>
    </row>
    <row r="86" spans="3:11" ht="15.75" customHeight="1" x14ac:dyDescent="0.2">
      <c r="C86" s="205">
        <v>44403</v>
      </c>
      <c r="D86" s="185">
        <v>0.375</v>
      </c>
      <c r="E86">
        <v>8</v>
      </c>
      <c r="F86" s="221">
        <v>6.87</v>
      </c>
      <c r="G86" s="190">
        <v>80.400000000000006</v>
      </c>
      <c r="H86" s="190">
        <v>23.2</v>
      </c>
    </row>
    <row r="87" spans="3:11" ht="15.75" customHeight="1" x14ac:dyDescent="0.2">
      <c r="C87" s="205">
        <v>44403</v>
      </c>
      <c r="D87" s="185">
        <v>0.375</v>
      </c>
      <c r="E87">
        <v>9</v>
      </c>
      <c r="F87" s="221">
        <v>8.3000000000000007</v>
      </c>
      <c r="G87" s="190">
        <v>89.4</v>
      </c>
      <c r="H87" s="190">
        <v>18.899999999999999</v>
      </c>
    </row>
    <row r="88" spans="3:11" ht="15.75" customHeight="1" x14ac:dyDescent="0.2">
      <c r="C88" s="205">
        <v>44403</v>
      </c>
      <c r="D88" s="185">
        <v>0.375</v>
      </c>
      <c r="E88">
        <v>11</v>
      </c>
      <c r="F88" s="221">
        <v>8.52</v>
      </c>
      <c r="G88" s="190">
        <v>81.7</v>
      </c>
      <c r="H88" s="190">
        <v>13.6</v>
      </c>
    </row>
    <row r="89" spans="3:11" ht="15.75" customHeight="1" x14ac:dyDescent="0.2"/>
    <row r="90" spans="3:11" ht="15.75" customHeight="1" x14ac:dyDescent="0.2">
      <c r="C90" s="205">
        <v>44438</v>
      </c>
      <c r="D90" s="185">
        <v>0.36736111111111108</v>
      </c>
      <c r="J90">
        <v>9.5</v>
      </c>
      <c r="K90">
        <v>10.5</v>
      </c>
    </row>
    <row r="91" spans="3:11" ht="15.75" customHeight="1" x14ac:dyDescent="0.2">
      <c r="C91" s="205">
        <v>44438</v>
      </c>
      <c r="D91" s="185">
        <v>0.36736111111111108</v>
      </c>
      <c r="E91">
        <v>0.1</v>
      </c>
      <c r="F91" s="221">
        <v>7.69</v>
      </c>
      <c r="G91" s="190">
        <v>84.5</v>
      </c>
      <c r="H91" s="190">
        <v>20</v>
      </c>
    </row>
    <row r="92" spans="3:11" ht="15.75" customHeight="1" x14ac:dyDescent="0.2">
      <c r="C92" s="205">
        <v>44438</v>
      </c>
      <c r="D92" s="185">
        <v>0.36736111111111108</v>
      </c>
      <c r="E92">
        <v>1</v>
      </c>
      <c r="F92" s="221">
        <v>7.66</v>
      </c>
      <c r="G92" s="190">
        <v>84.4</v>
      </c>
      <c r="H92" s="190">
        <v>20.100000000000001</v>
      </c>
    </row>
    <row r="93" spans="3:11" ht="15.75" customHeight="1" x14ac:dyDescent="0.2">
      <c r="C93" s="205">
        <v>44438</v>
      </c>
      <c r="D93" s="185">
        <v>0.36736111111111108</v>
      </c>
      <c r="E93">
        <v>2</v>
      </c>
      <c r="F93" s="221">
        <v>7.64</v>
      </c>
      <c r="G93" s="190">
        <v>84.2</v>
      </c>
      <c r="H93" s="190">
        <v>20.100000000000001</v>
      </c>
    </row>
    <row r="94" spans="3:11" ht="15.75" customHeight="1" x14ac:dyDescent="0.2">
      <c r="C94" s="205">
        <v>44438</v>
      </c>
      <c r="D94" s="185">
        <v>0.36736111111111108</v>
      </c>
      <c r="E94">
        <v>3</v>
      </c>
      <c r="F94" s="221">
        <v>7.62</v>
      </c>
      <c r="G94" s="190">
        <v>84</v>
      </c>
      <c r="H94" s="190">
        <v>20.100000000000001</v>
      </c>
    </row>
    <row r="95" spans="3:11" ht="15.75" customHeight="1" x14ac:dyDescent="0.2">
      <c r="C95" s="205">
        <v>44438</v>
      </c>
      <c r="D95" s="185">
        <v>0.36736111111111108</v>
      </c>
      <c r="E95">
        <v>4</v>
      </c>
      <c r="F95" s="221">
        <v>7.6</v>
      </c>
      <c r="G95" s="190">
        <v>83.8</v>
      </c>
      <c r="H95" s="190">
        <v>20.100000000000001</v>
      </c>
    </row>
    <row r="96" spans="3:11" ht="15.75" customHeight="1" x14ac:dyDescent="0.2">
      <c r="C96" s="205">
        <v>44438</v>
      </c>
      <c r="D96" s="185">
        <v>0.36736111111111108</v>
      </c>
      <c r="E96">
        <v>5</v>
      </c>
      <c r="F96" s="221">
        <v>7.59</v>
      </c>
      <c r="G96" s="190">
        <v>83.4</v>
      </c>
      <c r="H96" s="190">
        <v>20</v>
      </c>
    </row>
    <row r="97" spans="3:11" ht="15.75" customHeight="1" x14ac:dyDescent="0.2">
      <c r="C97" s="205">
        <v>44438</v>
      </c>
      <c r="D97" s="185">
        <v>0.36736111111111108</v>
      </c>
      <c r="E97">
        <v>6</v>
      </c>
      <c r="F97" s="221">
        <v>7.54</v>
      </c>
      <c r="G97" s="190">
        <v>82.8</v>
      </c>
      <c r="H97" s="190">
        <v>20</v>
      </c>
    </row>
    <row r="98" spans="3:11" ht="15.75" customHeight="1" x14ac:dyDescent="0.2">
      <c r="C98" s="205">
        <v>44438</v>
      </c>
      <c r="D98" s="185">
        <v>0.36736111111111108</v>
      </c>
      <c r="E98">
        <v>7</v>
      </c>
      <c r="F98" s="221">
        <v>7.51</v>
      </c>
      <c r="G98" s="190">
        <v>82.5</v>
      </c>
      <c r="H98" s="190">
        <v>20</v>
      </c>
    </row>
    <row r="99" spans="3:11" ht="15.75" customHeight="1" x14ac:dyDescent="0.2">
      <c r="C99" s="205">
        <v>44438</v>
      </c>
      <c r="D99" s="185">
        <v>0.36736111111111108</v>
      </c>
      <c r="E99">
        <v>8</v>
      </c>
      <c r="F99" s="221">
        <v>7.52</v>
      </c>
      <c r="G99" s="190">
        <v>82.7</v>
      </c>
      <c r="H99" s="190">
        <v>20</v>
      </c>
    </row>
    <row r="100" spans="3:11" ht="15.75" customHeight="1" x14ac:dyDescent="0.2">
      <c r="C100" s="205">
        <v>44438</v>
      </c>
      <c r="D100" s="185">
        <v>0.36736111111111108</v>
      </c>
      <c r="E100">
        <v>9</v>
      </c>
      <c r="F100" s="221">
        <v>7.44</v>
      </c>
      <c r="G100" s="190">
        <v>81.7</v>
      </c>
      <c r="H100" s="190">
        <v>19.899999999999999</v>
      </c>
    </row>
    <row r="101" spans="3:11" ht="15.75" customHeight="1" x14ac:dyDescent="0.2">
      <c r="C101" s="205">
        <v>44438</v>
      </c>
      <c r="D101" s="185">
        <v>0.36736111111111108</v>
      </c>
      <c r="E101">
        <v>10</v>
      </c>
      <c r="F101" s="221">
        <v>7.33</v>
      </c>
      <c r="G101" s="190">
        <v>80.3</v>
      </c>
      <c r="H101" s="190">
        <v>19.899999999999999</v>
      </c>
    </row>
    <row r="102" spans="3:11" ht="15.75" customHeight="1" x14ac:dyDescent="0.2">
      <c r="D102" s="185"/>
    </row>
    <row r="103" spans="3:11" ht="15.75" customHeight="1" x14ac:dyDescent="0.2">
      <c r="C103" s="205">
        <v>44459</v>
      </c>
      <c r="D103" s="185">
        <v>0.36458333333333331</v>
      </c>
      <c r="J103">
        <v>10</v>
      </c>
      <c r="K103">
        <v>10.5</v>
      </c>
    </row>
    <row r="104" spans="3:11" ht="15.75" customHeight="1" x14ac:dyDescent="0.2">
      <c r="C104" s="205">
        <v>44459</v>
      </c>
      <c r="D104" s="185">
        <v>0.37152777777777773</v>
      </c>
      <c r="E104">
        <v>0.1</v>
      </c>
      <c r="F104" s="221">
        <v>7.76</v>
      </c>
      <c r="G104" s="190">
        <v>80.5</v>
      </c>
      <c r="H104" s="190">
        <v>17.100000000000001</v>
      </c>
    </row>
    <row r="105" spans="3:11" ht="15.75" customHeight="1" x14ac:dyDescent="0.2">
      <c r="C105" s="205">
        <v>44459</v>
      </c>
      <c r="D105" s="185">
        <v>0.37152777777777773</v>
      </c>
      <c r="E105">
        <v>1</v>
      </c>
      <c r="F105" s="221">
        <v>7.69</v>
      </c>
      <c r="G105" s="190">
        <v>80.099999999999994</v>
      </c>
      <c r="H105" s="190">
        <v>17.2</v>
      </c>
    </row>
    <row r="106" spans="3:11" ht="15.75" customHeight="1" x14ac:dyDescent="0.2">
      <c r="C106" s="205">
        <v>44459</v>
      </c>
      <c r="D106" s="185">
        <v>0.37152777777777773</v>
      </c>
      <c r="E106">
        <v>2</v>
      </c>
      <c r="F106" s="221">
        <v>7.66</v>
      </c>
      <c r="G106" s="190">
        <v>79.7</v>
      </c>
      <c r="H106" s="190">
        <v>17.3</v>
      </c>
    </row>
    <row r="107" spans="3:11" ht="15.75" customHeight="1" x14ac:dyDescent="0.2">
      <c r="C107" s="205">
        <v>44459</v>
      </c>
      <c r="D107" s="185">
        <v>0.37152777777777773</v>
      </c>
      <c r="E107">
        <v>3</v>
      </c>
      <c r="F107" s="221">
        <v>7.63</v>
      </c>
      <c r="G107" s="190">
        <v>79.5</v>
      </c>
      <c r="H107" s="190">
        <v>17.3</v>
      </c>
    </row>
    <row r="108" spans="3:11" ht="15.75" customHeight="1" x14ac:dyDescent="0.2">
      <c r="C108" s="205">
        <v>44459</v>
      </c>
      <c r="D108" s="185">
        <v>0.37152777777777773</v>
      </c>
      <c r="E108">
        <v>4</v>
      </c>
      <c r="F108" s="221">
        <v>7.61</v>
      </c>
      <c r="G108" s="190">
        <v>79.2</v>
      </c>
      <c r="H108" s="190">
        <v>17.3</v>
      </c>
    </row>
    <row r="109" spans="3:11" ht="15.75" customHeight="1" x14ac:dyDescent="0.2">
      <c r="C109" s="205">
        <v>44459</v>
      </c>
      <c r="D109" s="185">
        <v>0.37152777777777773</v>
      </c>
      <c r="E109">
        <v>5</v>
      </c>
      <c r="F109" s="221">
        <v>7.57</v>
      </c>
      <c r="G109" s="190">
        <v>79</v>
      </c>
      <c r="H109" s="190">
        <v>17.399999999999999</v>
      </c>
    </row>
    <row r="110" spans="3:11" ht="15.75" customHeight="1" x14ac:dyDescent="0.2">
      <c r="C110" s="205">
        <v>44459</v>
      </c>
      <c r="D110" s="185">
        <v>0.37152777777777773</v>
      </c>
      <c r="E110">
        <v>6</v>
      </c>
      <c r="F110" s="221">
        <v>7.56</v>
      </c>
      <c r="G110" s="190">
        <v>78.900000000000006</v>
      </c>
      <c r="H110" s="190">
        <v>17.399999999999999</v>
      </c>
    </row>
    <row r="111" spans="3:11" ht="15.75" customHeight="1" x14ac:dyDescent="0.2">
      <c r="C111" s="205">
        <v>44459</v>
      </c>
      <c r="D111" s="185">
        <v>0.37152777777777773</v>
      </c>
      <c r="E111">
        <v>7</v>
      </c>
      <c r="F111" s="221">
        <v>7.54</v>
      </c>
      <c r="G111" s="190">
        <v>78.7</v>
      </c>
      <c r="H111" s="190">
        <v>17.399999999999999</v>
      </c>
    </row>
    <row r="112" spans="3:11" ht="15.75" customHeight="1" x14ac:dyDescent="0.2">
      <c r="C112" s="205">
        <v>44459</v>
      </c>
      <c r="D112" s="185">
        <v>0.37152777777777773</v>
      </c>
      <c r="E112">
        <v>8</v>
      </c>
      <c r="F112" s="221">
        <v>7.53</v>
      </c>
      <c r="G112" s="190">
        <v>78.599999999999994</v>
      </c>
      <c r="H112" s="190">
        <v>17.399999999999999</v>
      </c>
    </row>
    <row r="113" spans="3:11" ht="15.75" customHeight="1" x14ac:dyDescent="0.2">
      <c r="C113" s="205">
        <v>44459</v>
      </c>
      <c r="D113" s="185">
        <v>0.37152777777777773</v>
      </c>
      <c r="E113">
        <v>9</v>
      </c>
      <c r="F113" s="221">
        <v>7.46</v>
      </c>
      <c r="G113" s="190">
        <v>77.5</v>
      </c>
      <c r="H113" s="190">
        <v>17.3</v>
      </c>
    </row>
    <row r="114" spans="3:11" ht="15.75" customHeight="1" x14ac:dyDescent="0.2">
      <c r="C114" s="205">
        <v>44459</v>
      </c>
      <c r="D114" s="185">
        <v>0.37152777777777773</v>
      </c>
      <c r="E114">
        <v>10</v>
      </c>
      <c r="F114" s="221">
        <v>7.38</v>
      </c>
      <c r="G114" s="190">
        <v>76.8</v>
      </c>
      <c r="H114" s="190">
        <v>17.3</v>
      </c>
    </row>
    <row r="115" spans="3:11" ht="15.75" customHeight="1" x14ac:dyDescent="0.2">
      <c r="C115" s="205">
        <v>44459</v>
      </c>
      <c r="D115" s="185">
        <v>0.37152777777777773</v>
      </c>
      <c r="E115">
        <v>11</v>
      </c>
      <c r="F115" s="221">
        <v>7.4</v>
      </c>
      <c r="G115" s="190">
        <v>76.7</v>
      </c>
      <c r="H115" s="190">
        <v>17.100000000000001</v>
      </c>
    </row>
    <row r="116" spans="3:11" ht="15.75" customHeight="1" x14ac:dyDescent="0.2"/>
    <row r="117" spans="3:11" ht="15.75" customHeight="1" x14ac:dyDescent="0.2"/>
    <row r="118" spans="3:11" ht="15.75" customHeight="1" x14ac:dyDescent="0.2">
      <c r="C118" s="16">
        <v>44007</v>
      </c>
      <c r="D118" s="30">
        <v>0.38194444444444442</v>
      </c>
      <c r="J118" s="1">
        <v>5.5</v>
      </c>
      <c r="K118" s="1">
        <v>5.5</v>
      </c>
    </row>
    <row r="119" spans="3:11" ht="15.75" customHeight="1" x14ac:dyDescent="0.2">
      <c r="C119" s="16">
        <v>44007</v>
      </c>
      <c r="D119" s="12">
        <v>0.3888888888888889</v>
      </c>
      <c r="E119" s="1">
        <v>0.1</v>
      </c>
      <c r="F119" s="24">
        <v>8.49</v>
      </c>
      <c r="G119" s="216">
        <v>90.2</v>
      </c>
      <c r="H119" s="7">
        <v>18.3</v>
      </c>
    </row>
    <row r="120" spans="3:11" ht="15.75" customHeight="1" x14ac:dyDescent="0.2">
      <c r="C120" s="16">
        <v>44007</v>
      </c>
      <c r="D120" s="12">
        <v>0.3888888888888889</v>
      </c>
      <c r="E120" s="1">
        <v>1</v>
      </c>
      <c r="F120" s="24">
        <v>8.77</v>
      </c>
      <c r="H120" s="7">
        <v>17.100000000000001</v>
      </c>
    </row>
    <row r="121" spans="3:11" ht="15.75" customHeight="1" x14ac:dyDescent="0.2">
      <c r="C121" s="16">
        <v>44007</v>
      </c>
      <c r="D121" s="12">
        <v>0.3888888888888889</v>
      </c>
      <c r="E121" s="1">
        <v>2</v>
      </c>
      <c r="F121" s="24">
        <v>8.93</v>
      </c>
      <c r="H121" s="7">
        <v>16.3</v>
      </c>
    </row>
    <row r="122" spans="3:11" ht="15.75" customHeight="1" x14ac:dyDescent="0.2">
      <c r="C122" s="16">
        <v>44007</v>
      </c>
      <c r="D122" s="12">
        <v>0.3888888888888889</v>
      </c>
      <c r="E122" s="1">
        <v>3</v>
      </c>
      <c r="F122" s="24">
        <v>8.94</v>
      </c>
      <c r="H122" s="7">
        <v>15.7</v>
      </c>
    </row>
    <row r="123" spans="3:11" ht="15.75" customHeight="1" x14ac:dyDescent="0.2">
      <c r="C123" s="16">
        <v>44007</v>
      </c>
      <c r="D123" s="12">
        <v>0.3888888888888889</v>
      </c>
      <c r="E123" s="1">
        <v>4</v>
      </c>
      <c r="F123" s="24">
        <v>8.99</v>
      </c>
      <c r="H123" s="7">
        <v>14.9</v>
      </c>
    </row>
    <row r="124" spans="3:11" ht="15.75" customHeight="1" x14ac:dyDescent="0.2">
      <c r="C124" s="16">
        <v>44007</v>
      </c>
      <c r="D124" s="12">
        <v>0.3888888888888889</v>
      </c>
      <c r="E124" s="1">
        <v>5</v>
      </c>
      <c r="F124" s="24">
        <v>8.92</v>
      </c>
      <c r="H124" s="7">
        <v>14.2</v>
      </c>
    </row>
    <row r="125" spans="3:11" ht="15.75" customHeight="1" x14ac:dyDescent="0.2">
      <c r="C125" s="16">
        <v>44007</v>
      </c>
      <c r="D125" s="12">
        <v>0.3888888888888889</v>
      </c>
      <c r="E125" s="1">
        <v>6</v>
      </c>
      <c r="F125" s="24">
        <v>8.8699999999999992</v>
      </c>
      <c r="H125" s="7">
        <v>13.4</v>
      </c>
    </row>
    <row r="126" spans="3:11" ht="15.75" customHeight="1" x14ac:dyDescent="0.2">
      <c r="C126" s="16">
        <v>44007</v>
      </c>
      <c r="D126" s="12">
        <v>0.3888888888888889</v>
      </c>
      <c r="E126" s="1">
        <v>7</v>
      </c>
      <c r="F126" s="24">
        <v>8.77</v>
      </c>
      <c r="H126" s="7">
        <v>12.9</v>
      </c>
    </row>
    <row r="127" spans="3:11" ht="15.75" customHeight="1" x14ac:dyDescent="0.2">
      <c r="C127" s="16">
        <v>44007</v>
      </c>
      <c r="D127" s="12">
        <v>0.3888888888888889</v>
      </c>
      <c r="E127" s="1">
        <v>8</v>
      </c>
      <c r="F127" s="24">
        <v>8.6999999999999993</v>
      </c>
      <c r="H127" s="7">
        <v>12.6</v>
      </c>
    </row>
    <row r="128" spans="3:11" ht="15.75" customHeight="1" x14ac:dyDescent="0.2">
      <c r="C128" s="16">
        <v>44007</v>
      </c>
      <c r="D128" s="12">
        <v>0.3888888888888889</v>
      </c>
      <c r="E128" s="1">
        <v>9</v>
      </c>
      <c r="F128" s="24">
        <v>8.58</v>
      </c>
      <c r="H128" s="7">
        <v>12</v>
      </c>
    </row>
    <row r="129" spans="3:11" ht="15.75" customHeight="1" x14ac:dyDescent="0.2">
      <c r="C129" s="16">
        <v>44007</v>
      </c>
      <c r="D129" s="12">
        <v>0.3888888888888889</v>
      </c>
      <c r="E129" s="1">
        <v>10</v>
      </c>
      <c r="F129" s="24">
        <v>8.5</v>
      </c>
      <c r="H129" s="7">
        <v>11.6</v>
      </c>
    </row>
    <row r="130" spans="3:11" ht="15.75" customHeight="1" x14ac:dyDescent="0.2">
      <c r="C130" s="16">
        <v>44007</v>
      </c>
      <c r="D130" s="12">
        <v>0.3888888888888889</v>
      </c>
      <c r="E130" s="1">
        <v>11</v>
      </c>
      <c r="F130" s="24">
        <v>8.3800000000000008</v>
      </c>
      <c r="G130" s="7">
        <v>76</v>
      </c>
      <c r="H130" s="7">
        <v>11.1</v>
      </c>
    </row>
    <row r="131" spans="3:11" ht="15.75" customHeight="1" x14ac:dyDescent="0.2">
      <c r="C131" s="16"/>
      <c r="F131" s="24"/>
      <c r="H131" s="7"/>
    </row>
    <row r="132" spans="3:11" ht="15.75" customHeight="1" x14ac:dyDescent="0.2">
      <c r="C132" s="16">
        <v>44039</v>
      </c>
      <c r="D132" s="30">
        <v>0.38194444444444442</v>
      </c>
      <c r="F132" s="24"/>
      <c r="H132" s="7"/>
      <c r="J132" s="1">
        <v>8</v>
      </c>
      <c r="K132" s="1">
        <v>8</v>
      </c>
    </row>
    <row r="133" spans="3:11" ht="15.75" customHeight="1" x14ac:dyDescent="0.2">
      <c r="C133" s="16">
        <v>44039</v>
      </c>
      <c r="D133" s="12">
        <v>0.3888888888888889</v>
      </c>
      <c r="E133" s="1">
        <v>0.1</v>
      </c>
      <c r="F133" s="24">
        <v>7.4</v>
      </c>
      <c r="G133" s="216">
        <v>84.9</v>
      </c>
      <c r="H133" s="7">
        <v>22.2</v>
      </c>
    </row>
    <row r="134" spans="3:11" ht="15.75" customHeight="1" x14ac:dyDescent="0.2">
      <c r="C134" s="16">
        <v>44039</v>
      </c>
      <c r="D134" s="12">
        <v>0.3888888888888889</v>
      </c>
      <c r="E134" s="1">
        <v>1</v>
      </c>
      <c r="F134" s="24">
        <v>7.39</v>
      </c>
      <c r="H134" s="7">
        <v>22.1</v>
      </c>
    </row>
    <row r="135" spans="3:11" ht="15.75" customHeight="1" x14ac:dyDescent="0.2">
      <c r="C135" s="16">
        <v>44039</v>
      </c>
      <c r="D135" s="12">
        <v>0.3888888888888889</v>
      </c>
      <c r="E135" s="1">
        <v>2</v>
      </c>
      <c r="F135" s="24">
        <v>9.3800000000000008</v>
      </c>
      <c r="H135" s="7">
        <v>22</v>
      </c>
    </row>
    <row r="136" spans="3:11" ht="15.75" customHeight="1" x14ac:dyDescent="0.2">
      <c r="C136" s="16">
        <v>44039</v>
      </c>
      <c r="D136" s="12">
        <v>0.3888888888888889</v>
      </c>
      <c r="E136" s="1">
        <v>3</v>
      </c>
      <c r="F136" s="24">
        <v>7.37</v>
      </c>
      <c r="H136" s="7">
        <v>21.9</v>
      </c>
    </row>
    <row r="137" spans="3:11" ht="15.75" customHeight="1" x14ac:dyDescent="0.2">
      <c r="C137" s="16">
        <v>44039</v>
      </c>
      <c r="D137" s="12">
        <v>0.3888888888888889</v>
      </c>
      <c r="E137" s="1">
        <v>4</v>
      </c>
      <c r="F137" s="24">
        <v>7.31</v>
      </c>
      <c r="H137" s="7">
        <v>21.8</v>
      </c>
    </row>
    <row r="138" spans="3:11" ht="15.75" customHeight="1" x14ac:dyDescent="0.2">
      <c r="C138" s="16">
        <v>44039</v>
      </c>
      <c r="D138" s="12">
        <v>0.3888888888888889</v>
      </c>
      <c r="E138" s="1">
        <v>5</v>
      </c>
      <c r="F138" s="24">
        <v>7.32</v>
      </c>
      <c r="H138" s="7">
        <v>21.8</v>
      </c>
    </row>
    <row r="139" spans="3:11" ht="15.75" customHeight="1" x14ac:dyDescent="0.2">
      <c r="C139" s="16">
        <v>44039</v>
      </c>
      <c r="D139" s="12">
        <v>0.3888888888888889</v>
      </c>
      <c r="E139" s="1">
        <v>6</v>
      </c>
      <c r="F139" s="24">
        <v>7.22</v>
      </c>
      <c r="H139" s="7">
        <v>21.6</v>
      </c>
    </row>
    <row r="140" spans="3:11" ht="15.75" customHeight="1" x14ac:dyDescent="0.2">
      <c r="C140" s="16">
        <v>44039</v>
      </c>
      <c r="D140" s="12">
        <v>0.3888888888888889</v>
      </c>
      <c r="E140" s="1">
        <v>7</v>
      </c>
      <c r="F140" s="24">
        <v>7.48</v>
      </c>
      <c r="H140" s="7">
        <v>20.5</v>
      </c>
    </row>
    <row r="141" spans="3:11" ht="15.75" customHeight="1" x14ac:dyDescent="0.2">
      <c r="C141" s="16">
        <v>44039</v>
      </c>
      <c r="D141" s="12">
        <v>0.3888888888888889</v>
      </c>
      <c r="E141" s="1">
        <v>8</v>
      </c>
      <c r="F141" s="24">
        <v>7.65</v>
      </c>
      <c r="H141" s="7">
        <v>19.2</v>
      </c>
    </row>
    <row r="142" spans="3:11" ht="15.75" customHeight="1" x14ac:dyDescent="0.2">
      <c r="C142" s="16">
        <v>44039</v>
      </c>
      <c r="D142" s="12">
        <v>0.3888888888888889</v>
      </c>
      <c r="E142" s="1">
        <v>9</v>
      </c>
      <c r="F142" s="24">
        <v>7.98</v>
      </c>
      <c r="H142" s="7">
        <v>17.600000000000001</v>
      </c>
    </row>
    <row r="143" spans="3:11" ht="15.75" customHeight="1" x14ac:dyDescent="0.2">
      <c r="C143" s="16">
        <v>44039</v>
      </c>
      <c r="D143" s="12">
        <v>0.3888888888888889</v>
      </c>
      <c r="E143" s="1">
        <v>10</v>
      </c>
      <c r="F143" s="24">
        <v>8.19</v>
      </c>
      <c r="H143" s="7">
        <v>14.5</v>
      </c>
    </row>
    <row r="144" spans="3:11" ht="15.75" customHeight="1" x14ac:dyDescent="0.2">
      <c r="C144" s="16">
        <v>44039</v>
      </c>
      <c r="D144" s="12">
        <v>0.3888888888888889</v>
      </c>
      <c r="E144" s="1">
        <v>11</v>
      </c>
      <c r="F144" s="24">
        <v>8.27</v>
      </c>
      <c r="G144" s="216">
        <v>78.2</v>
      </c>
      <c r="H144" s="7">
        <v>12.9</v>
      </c>
    </row>
    <row r="145" spans="3:11" ht="15.75" customHeight="1" x14ac:dyDescent="0.2">
      <c r="C145" s="16"/>
      <c r="F145" s="24"/>
      <c r="H145" s="7"/>
    </row>
    <row r="146" spans="3:11" ht="15.75" customHeight="1" x14ac:dyDescent="0.2">
      <c r="C146" s="16">
        <v>44068</v>
      </c>
      <c r="F146" s="24"/>
      <c r="H146" s="7"/>
      <c r="J146" s="1">
        <v>9</v>
      </c>
      <c r="K146" s="1">
        <v>10.5</v>
      </c>
    </row>
    <row r="147" spans="3:11" ht="15.75" customHeight="1" x14ac:dyDescent="0.2">
      <c r="C147" s="16">
        <v>44068</v>
      </c>
      <c r="D147" s="12">
        <v>0.38194444444444442</v>
      </c>
      <c r="E147" s="1">
        <v>0.1</v>
      </c>
      <c r="F147" s="24">
        <v>7.32</v>
      </c>
      <c r="G147" s="216">
        <v>83.8</v>
      </c>
      <c r="H147" s="7">
        <v>22.1</v>
      </c>
    </row>
    <row r="148" spans="3:11" ht="15.75" customHeight="1" x14ac:dyDescent="0.2">
      <c r="C148" s="16">
        <v>44068</v>
      </c>
      <c r="D148" s="12">
        <v>0.38194444444444442</v>
      </c>
      <c r="E148" s="1">
        <v>1</v>
      </c>
      <c r="F148" s="24">
        <v>7.29</v>
      </c>
      <c r="H148" s="7">
        <v>22.2</v>
      </c>
    </row>
    <row r="149" spans="3:11" ht="15.75" customHeight="1" x14ac:dyDescent="0.2">
      <c r="C149" s="16">
        <v>44068</v>
      </c>
      <c r="D149" s="12">
        <v>0.38194444444444442</v>
      </c>
      <c r="E149" s="1">
        <v>2</v>
      </c>
      <c r="F149" s="24">
        <v>7.29</v>
      </c>
      <c r="H149" s="7">
        <v>22.1</v>
      </c>
    </row>
    <row r="150" spans="3:11" ht="15.75" customHeight="1" x14ac:dyDescent="0.2">
      <c r="C150" s="16">
        <v>44068</v>
      </c>
      <c r="D150" s="12">
        <v>0.38194444444444442</v>
      </c>
      <c r="E150" s="1">
        <v>3</v>
      </c>
      <c r="F150" s="24">
        <v>7.28</v>
      </c>
      <c r="H150" s="7">
        <v>22.1</v>
      </c>
    </row>
    <row r="151" spans="3:11" ht="15.75" customHeight="1" x14ac:dyDescent="0.2">
      <c r="C151" s="16">
        <v>44068</v>
      </c>
      <c r="D151" s="12">
        <v>0.38194444444444442</v>
      </c>
      <c r="E151" s="1">
        <v>4</v>
      </c>
      <c r="F151" s="24">
        <v>7.27</v>
      </c>
      <c r="H151" s="7">
        <v>22.1</v>
      </c>
    </row>
    <row r="152" spans="3:11" ht="15.75" customHeight="1" x14ac:dyDescent="0.2">
      <c r="C152" s="16">
        <v>44068</v>
      </c>
      <c r="D152" s="12">
        <v>0.38194444444444442</v>
      </c>
      <c r="E152" s="1">
        <v>5</v>
      </c>
      <c r="F152" s="24">
        <v>7.24</v>
      </c>
      <c r="H152" s="7">
        <v>22.1</v>
      </c>
    </row>
    <row r="153" spans="3:11" ht="15.75" customHeight="1" x14ac:dyDescent="0.2">
      <c r="C153" s="16">
        <v>44068</v>
      </c>
      <c r="D153" s="12">
        <v>0.38194444444444442</v>
      </c>
      <c r="E153" s="1">
        <v>6</v>
      </c>
      <c r="F153" s="24">
        <v>7.23</v>
      </c>
      <c r="H153" s="7">
        <v>22</v>
      </c>
    </row>
    <row r="154" spans="3:11" ht="15.75" customHeight="1" x14ac:dyDescent="0.2">
      <c r="C154" s="16">
        <v>44068</v>
      </c>
      <c r="D154" s="12">
        <v>0.38194444444444442</v>
      </c>
      <c r="E154" s="1">
        <v>7</v>
      </c>
      <c r="F154" s="24">
        <v>7.17</v>
      </c>
      <c r="H154" s="7">
        <v>22</v>
      </c>
    </row>
    <row r="155" spans="3:11" ht="15.75" customHeight="1" x14ac:dyDescent="0.2">
      <c r="C155" s="16">
        <v>44068</v>
      </c>
      <c r="D155" s="12">
        <v>0.38194444444444442</v>
      </c>
      <c r="E155" s="1">
        <v>8</v>
      </c>
      <c r="F155" s="24">
        <v>7.24</v>
      </c>
      <c r="H155" s="7">
        <v>21.7</v>
      </c>
    </row>
    <row r="156" spans="3:11" ht="15.75" customHeight="1" x14ac:dyDescent="0.2">
      <c r="C156" s="16">
        <v>44068</v>
      </c>
      <c r="D156" s="12">
        <v>0.38194444444444442</v>
      </c>
      <c r="E156" s="1">
        <v>9</v>
      </c>
      <c r="F156" s="24">
        <v>7.24</v>
      </c>
      <c r="H156" s="7">
        <v>21.7</v>
      </c>
    </row>
    <row r="157" spans="3:11" ht="15.75" customHeight="1" x14ac:dyDescent="0.2">
      <c r="C157" s="16">
        <v>44068</v>
      </c>
      <c r="D157" s="12">
        <v>0.38194444444444442</v>
      </c>
      <c r="E157" s="1">
        <v>10</v>
      </c>
      <c r="F157" s="24">
        <v>7.26</v>
      </c>
      <c r="H157" s="7">
        <v>21.5</v>
      </c>
    </row>
    <row r="158" spans="3:11" ht="15.75" customHeight="1" x14ac:dyDescent="0.2">
      <c r="C158" s="16">
        <v>44068</v>
      </c>
      <c r="D158" s="12">
        <v>0.38194444444444442</v>
      </c>
      <c r="E158" s="1">
        <v>11</v>
      </c>
      <c r="F158" s="24">
        <v>7.34</v>
      </c>
      <c r="G158" s="216">
        <v>82.4</v>
      </c>
      <c r="H158" s="7">
        <v>21</v>
      </c>
    </row>
    <row r="159" spans="3:11" ht="15.75" customHeight="1" x14ac:dyDescent="0.2">
      <c r="C159" s="16"/>
      <c r="F159" s="24"/>
      <c r="H159" s="7"/>
    </row>
    <row r="160" spans="3:11" ht="15.75" customHeight="1" x14ac:dyDescent="0.2">
      <c r="C160" s="16"/>
      <c r="F160" s="24"/>
      <c r="H160" s="7"/>
    </row>
    <row r="161" spans="3:11" ht="15.75" customHeight="1" x14ac:dyDescent="0.2">
      <c r="C161" s="16"/>
      <c r="F161" s="24"/>
      <c r="H161" s="7"/>
    </row>
    <row r="162" spans="3:11" ht="15.75" customHeight="1" x14ac:dyDescent="0.2">
      <c r="C162" s="16">
        <v>44102</v>
      </c>
      <c r="F162" s="24"/>
      <c r="H162" s="7"/>
      <c r="J162" s="1">
        <v>8</v>
      </c>
      <c r="K162" s="1">
        <v>9</v>
      </c>
    </row>
    <row r="163" spans="3:11" ht="15.75" customHeight="1" x14ac:dyDescent="0.2">
      <c r="C163" s="16">
        <v>44102</v>
      </c>
      <c r="D163" s="12">
        <v>0.38541666666666669</v>
      </c>
      <c r="E163" s="1">
        <v>0.1</v>
      </c>
      <c r="F163" s="24">
        <v>8.08</v>
      </c>
      <c r="G163" s="216">
        <v>82.7</v>
      </c>
      <c r="H163" s="7">
        <v>16.5</v>
      </c>
    </row>
    <row r="164" spans="3:11" ht="15.75" customHeight="1" x14ac:dyDescent="0.2">
      <c r="C164" s="16">
        <v>44102</v>
      </c>
      <c r="D164" s="12">
        <v>0.38541666666666669</v>
      </c>
      <c r="E164" s="1">
        <v>1</v>
      </c>
      <c r="F164" s="24">
        <v>7.94</v>
      </c>
      <c r="G164" s="216">
        <v>81.8</v>
      </c>
      <c r="H164" s="7">
        <v>16.8</v>
      </c>
    </row>
    <row r="165" spans="3:11" ht="15.75" customHeight="1" x14ac:dyDescent="0.2">
      <c r="C165" s="16">
        <v>44102</v>
      </c>
      <c r="D165" s="12">
        <v>0.38541666666666669</v>
      </c>
      <c r="E165" s="1">
        <v>2</v>
      </c>
      <c r="F165" s="24">
        <v>7.9</v>
      </c>
      <c r="G165" s="216">
        <v>81.5</v>
      </c>
      <c r="H165" s="7">
        <v>16.899999999999999</v>
      </c>
    </row>
    <row r="166" spans="3:11" ht="15.75" customHeight="1" x14ac:dyDescent="0.2">
      <c r="C166" s="16">
        <v>44102</v>
      </c>
      <c r="D166" s="12">
        <v>0.38541666666666669</v>
      </c>
      <c r="E166" s="1">
        <v>3</v>
      </c>
      <c r="F166" s="24">
        <v>7.88</v>
      </c>
      <c r="G166" s="216">
        <v>81.3</v>
      </c>
      <c r="H166" s="7">
        <v>16.899999999999999</v>
      </c>
    </row>
    <row r="167" spans="3:11" ht="15.75" customHeight="1" x14ac:dyDescent="0.2">
      <c r="C167" s="16">
        <v>44102</v>
      </c>
      <c r="D167" s="12">
        <v>0.38541666666666669</v>
      </c>
      <c r="E167" s="1">
        <v>4</v>
      </c>
      <c r="F167" s="24">
        <v>7.86</v>
      </c>
      <c r="G167" s="216">
        <v>81.099999999999994</v>
      </c>
      <c r="H167" s="7">
        <v>16.899999999999999</v>
      </c>
    </row>
    <row r="168" spans="3:11" ht="15.75" customHeight="1" x14ac:dyDescent="0.2">
      <c r="C168" s="16">
        <v>44102</v>
      </c>
      <c r="D168" s="12">
        <v>0.38541666666666669</v>
      </c>
      <c r="E168" s="1">
        <v>5</v>
      </c>
      <c r="F168" s="24">
        <v>7.84</v>
      </c>
      <c r="G168" s="216">
        <v>80.900000000000006</v>
      </c>
      <c r="H168" s="7">
        <v>16.899999999999999</v>
      </c>
    </row>
    <row r="169" spans="3:11" ht="15.75" customHeight="1" x14ac:dyDescent="0.2">
      <c r="C169" s="16">
        <v>44102</v>
      </c>
      <c r="D169" s="12">
        <v>0.38541666666666669</v>
      </c>
      <c r="E169" s="1">
        <v>6</v>
      </c>
      <c r="F169" s="24">
        <v>7.8</v>
      </c>
      <c r="G169" s="216">
        <v>80.7</v>
      </c>
      <c r="H169" s="7">
        <v>16.899999999999999</v>
      </c>
    </row>
    <row r="170" spans="3:11" ht="15.75" customHeight="1" x14ac:dyDescent="0.2">
      <c r="C170" s="16">
        <v>44102</v>
      </c>
      <c r="D170" s="12">
        <v>0.38541666666666669</v>
      </c>
      <c r="E170" s="1">
        <v>7</v>
      </c>
      <c r="F170" s="24">
        <v>7.79</v>
      </c>
      <c r="G170" s="216">
        <v>80.400000000000006</v>
      </c>
      <c r="H170" s="7">
        <v>16.899999999999999</v>
      </c>
    </row>
    <row r="171" spans="3:11" ht="15.75" customHeight="1" x14ac:dyDescent="0.2">
      <c r="C171" s="16">
        <v>44102</v>
      </c>
      <c r="D171" s="12">
        <v>0.38541666666666669</v>
      </c>
      <c r="E171" s="1">
        <v>8</v>
      </c>
      <c r="F171" s="24">
        <v>7.77</v>
      </c>
      <c r="G171" s="216">
        <v>80.2</v>
      </c>
      <c r="H171" s="7">
        <v>16.899999999999999</v>
      </c>
    </row>
    <row r="172" spans="3:11" ht="15.75" customHeight="1" x14ac:dyDescent="0.2">
      <c r="C172" s="16">
        <v>44102</v>
      </c>
      <c r="D172" s="12">
        <v>0.38541666666666669</v>
      </c>
      <c r="E172" s="1">
        <v>9</v>
      </c>
      <c r="F172" s="24">
        <v>7.74</v>
      </c>
      <c r="G172" s="216">
        <v>79.900000000000006</v>
      </c>
      <c r="H172" s="7">
        <v>16.899999999999999</v>
      </c>
    </row>
    <row r="173" spans="3:11" ht="15.75" customHeight="1" x14ac:dyDescent="0.2">
      <c r="C173" s="16">
        <v>44102</v>
      </c>
      <c r="D173" s="12">
        <v>0.38541666666666669</v>
      </c>
      <c r="E173" s="1">
        <v>10</v>
      </c>
      <c r="F173" s="24">
        <v>7.69</v>
      </c>
      <c r="G173" s="216">
        <v>79.099999999999994</v>
      </c>
      <c r="H173" s="7">
        <v>16.8</v>
      </c>
    </row>
    <row r="174" spans="3:11" ht="15.75" customHeight="1" x14ac:dyDescent="0.2">
      <c r="C174" s="16">
        <v>44102</v>
      </c>
      <c r="D174" s="12">
        <v>0.38541666666666669</v>
      </c>
      <c r="E174" s="1">
        <v>11</v>
      </c>
      <c r="F174" s="24">
        <v>7.64</v>
      </c>
      <c r="G174" s="216">
        <v>78.3</v>
      </c>
      <c r="H174" s="7">
        <v>16.7</v>
      </c>
    </row>
    <row r="175" spans="3:11" ht="15.75" customHeight="1" x14ac:dyDescent="0.2">
      <c r="F175" s="24"/>
      <c r="H175" s="7"/>
    </row>
    <row r="176" spans="3:11" ht="15.75" customHeight="1" x14ac:dyDescent="0.2">
      <c r="F176" s="24"/>
      <c r="H176" s="7"/>
    </row>
    <row r="177" spans="3:11" ht="15.75" customHeight="1" x14ac:dyDescent="0.2">
      <c r="F177" s="24"/>
      <c r="H177" s="7"/>
    </row>
    <row r="178" spans="3:11" ht="15.75" customHeight="1" x14ac:dyDescent="0.2">
      <c r="C178" s="16">
        <v>43620</v>
      </c>
      <c r="D178" s="12">
        <v>0.52708333333333335</v>
      </c>
      <c r="F178" s="24"/>
      <c r="H178" s="7"/>
      <c r="J178" s="1">
        <v>7</v>
      </c>
      <c r="K178" s="1">
        <v>8</v>
      </c>
    </row>
    <row r="179" spans="3:11" ht="15.75" customHeight="1" x14ac:dyDescent="0.2">
      <c r="C179" s="16">
        <v>43620</v>
      </c>
      <c r="D179" s="12">
        <v>0.52708333333333335</v>
      </c>
      <c r="E179" s="1">
        <v>0.1</v>
      </c>
      <c r="F179" s="24">
        <v>7.96</v>
      </c>
      <c r="G179" s="216">
        <v>80.7</v>
      </c>
      <c r="H179" s="7">
        <v>16.8</v>
      </c>
    </row>
    <row r="180" spans="3:11" ht="15.75" customHeight="1" x14ac:dyDescent="0.2">
      <c r="C180" s="16">
        <v>43620</v>
      </c>
      <c r="D180" s="12">
        <v>0.52708333333333335</v>
      </c>
      <c r="E180" s="1">
        <v>1</v>
      </c>
      <c r="F180" s="24">
        <v>7.96</v>
      </c>
      <c r="H180" s="7">
        <v>16.3</v>
      </c>
    </row>
    <row r="181" spans="3:11" ht="15.75" customHeight="1" x14ac:dyDescent="0.2">
      <c r="C181" s="16">
        <v>43620</v>
      </c>
      <c r="D181" s="12">
        <v>0.52708333333333335</v>
      </c>
      <c r="E181" s="1">
        <v>2</v>
      </c>
      <c r="F181" s="24">
        <v>7.96</v>
      </c>
      <c r="H181" s="7">
        <v>16.3</v>
      </c>
    </row>
    <row r="182" spans="3:11" ht="15.75" customHeight="1" x14ac:dyDescent="0.2">
      <c r="C182" s="16">
        <v>43620</v>
      </c>
      <c r="D182" s="12">
        <v>0.52708333333333335</v>
      </c>
      <c r="E182" s="1">
        <v>3</v>
      </c>
      <c r="F182" s="24">
        <v>7.98</v>
      </c>
      <c r="H182" s="7">
        <v>16.3</v>
      </c>
    </row>
    <row r="183" spans="3:11" ht="15.75" customHeight="1" x14ac:dyDescent="0.2">
      <c r="C183" s="16">
        <v>43620</v>
      </c>
      <c r="D183" s="12">
        <v>0.52708333333333335</v>
      </c>
      <c r="E183" s="1">
        <v>4</v>
      </c>
      <c r="F183" s="24">
        <v>7.97</v>
      </c>
      <c r="H183" s="7">
        <v>16.2</v>
      </c>
    </row>
    <row r="184" spans="3:11" ht="15.75" customHeight="1" x14ac:dyDescent="0.2">
      <c r="C184" s="16">
        <v>43620</v>
      </c>
      <c r="D184" s="12">
        <v>0.52708333333333335</v>
      </c>
      <c r="E184" s="1">
        <v>5</v>
      </c>
      <c r="F184" s="24">
        <v>7.96</v>
      </c>
      <c r="H184" s="7">
        <v>16.2</v>
      </c>
    </row>
    <row r="185" spans="3:11" ht="15.75" customHeight="1" x14ac:dyDescent="0.2">
      <c r="C185" s="16">
        <v>43620</v>
      </c>
      <c r="D185" s="12">
        <v>0.52708333333333335</v>
      </c>
      <c r="E185" s="1">
        <v>6</v>
      </c>
      <c r="F185" s="24">
        <v>7.96</v>
      </c>
      <c r="H185" s="7">
        <v>16.100000000000001</v>
      </c>
    </row>
    <row r="186" spans="3:11" ht="15.75" customHeight="1" x14ac:dyDescent="0.2">
      <c r="C186" s="16">
        <v>43620</v>
      </c>
      <c r="D186" s="12">
        <v>0.52708333333333335</v>
      </c>
      <c r="E186" s="1">
        <v>7</v>
      </c>
      <c r="F186" s="24">
        <v>7.98</v>
      </c>
      <c r="H186" s="7">
        <v>15.3</v>
      </c>
    </row>
    <row r="187" spans="3:11" ht="15.75" customHeight="1" x14ac:dyDescent="0.2">
      <c r="C187" s="16">
        <v>43620</v>
      </c>
      <c r="D187" s="12">
        <v>0.52708333333333335</v>
      </c>
      <c r="E187" s="1">
        <v>8</v>
      </c>
      <c r="F187" s="24">
        <v>8.01</v>
      </c>
      <c r="H187" s="7">
        <v>14.8</v>
      </c>
    </row>
    <row r="188" spans="3:11" ht="15.75" customHeight="1" x14ac:dyDescent="0.2">
      <c r="C188" s="16">
        <v>43620</v>
      </c>
      <c r="D188" s="12">
        <v>0.52708333333333335</v>
      </c>
      <c r="E188" s="1">
        <v>9</v>
      </c>
      <c r="F188" s="24">
        <v>8.01</v>
      </c>
      <c r="H188" s="7">
        <v>14.5</v>
      </c>
    </row>
    <row r="189" spans="3:11" ht="15.75" customHeight="1" x14ac:dyDescent="0.2">
      <c r="C189" s="16">
        <v>43620</v>
      </c>
      <c r="D189" s="12">
        <v>0.52708333333333335</v>
      </c>
      <c r="E189" s="1">
        <v>10</v>
      </c>
      <c r="F189" s="24">
        <v>8.1999999999999993</v>
      </c>
      <c r="H189" s="7">
        <v>13.7</v>
      </c>
    </row>
    <row r="190" spans="3:11" ht="15.75" customHeight="1" x14ac:dyDescent="0.2">
      <c r="C190" s="16">
        <v>43620</v>
      </c>
      <c r="D190" s="12">
        <v>0.52708333333333335</v>
      </c>
      <c r="E190" s="1">
        <v>11</v>
      </c>
      <c r="F190" s="24">
        <v>8.25</v>
      </c>
      <c r="G190" s="216">
        <v>79.400000000000006</v>
      </c>
      <c r="H190" s="7">
        <v>13.5</v>
      </c>
    </row>
    <row r="191" spans="3:11" ht="15.75" customHeight="1" x14ac:dyDescent="0.2">
      <c r="C191" s="16"/>
      <c r="D191" s="12"/>
      <c r="F191" s="24"/>
      <c r="H191" s="7"/>
    </row>
    <row r="192" spans="3:11" ht="15.75" customHeight="1" x14ac:dyDescent="0.2">
      <c r="C192" s="16">
        <v>43671</v>
      </c>
      <c r="D192" s="12">
        <v>0.44722222222222219</v>
      </c>
      <c r="F192" s="24"/>
      <c r="H192" s="7"/>
      <c r="J192" s="1">
        <v>7.5</v>
      </c>
      <c r="K192" s="1">
        <v>9.5</v>
      </c>
    </row>
    <row r="193" spans="3:8" ht="15.75" customHeight="1" x14ac:dyDescent="0.2">
      <c r="C193" s="16">
        <v>43671</v>
      </c>
      <c r="D193" s="12">
        <v>0.45694444444444443</v>
      </c>
      <c r="E193" s="1">
        <v>0.1</v>
      </c>
      <c r="F193" s="24">
        <v>7.44</v>
      </c>
      <c r="G193" s="216">
        <v>82.6</v>
      </c>
      <c r="H193" s="7">
        <v>20.5</v>
      </c>
    </row>
    <row r="194" spans="3:8" ht="15.75" customHeight="1" x14ac:dyDescent="0.2">
      <c r="C194" s="16">
        <v>43671</v>
      </c>
      <c r="D194" s="12">
        <v>0.45694444444444443</v>
      </c>
      <c r="E194" s="1">
        <v>1</v>
      </c>
      <c r="F194" s="24">
        <v>7.43</v>
      </c>
      <c r="H194" s="7">
        <v>20.6</v>
      </c>
    </row>
    <row r="195" spans="3:8" ht="15.75" customHeight="1" x14ac:dyDescent="0.2">
      <c r="C195" s="16">
        <v>43671</v>
      </c>
      <c r="D195" s="12">
        <v>0.45694444444444443</v>
      </c>
      <c r="E195" s="1">
        <v>2</v>
      </c>
      <c r="F195" s="24">
        <v>7.42</v>
      </c>
      <c r="H195" s="7">
        <v>20.6</v>
      </c>
    </row>
    <row r="196" spans="3:8" ht="15.75" customHeight="1" x14ac:dyDescent="0.2">
      <c r="C196" s="16">
        <v>43671</v>
      </c>
      <c r="D196" s="12">
        <v>0.45694444444444443</v>
      </c>
      <c r="E196" s="1">
        <v>3</v>
      </c>
      <c r="F196" s="24">
        <v>7.42</v>
      </c>
      <c r="H196" s="7">
        <v>20.5</v>
      </c>
    </row>
    <row r="197" spans="3:8" ht="15.75" customHeight="1" x14ac:dyDescent="0.2">
      <c r="C197" s="16">
        <v>43671</v>
      </c>
      <c r="D197" s="12">
        <v>0.45694444444444443</v>
      </c>
      <c r="E197" s="1">
        <v>4</v>
      </c>
      <c r="F197" s="24">
        <v>7.42</v>
      </c>
      <c r="H197" s="7">
        <v>20.5</v>
      </c>
    </row>
    <row r="198" spans="3:8" ht="15.75" customHeight="1" x14ac:dyDescent="0.2">
      <c r="C198" s="16">
        <v>43671</v>
      </c>
      <c r="D198" s="12">
        <v>0.45694444444444443</v>
      </c>
      <c r="E198" s="1">
        <v>5</v>
      </c>
      <c r="F198" s="24">
        <v>7.43</v>
      </c>
      <c r="H198" s="7">
        <v>20.399999999999999</v>
      </c>
    </row>
    <row r="199" spans="3:8" ht="15.75" customHeight="1" x14ac:dyDescent="0.2">
      <c r="C199" s="16">
        <v>43671</v>
      </c>
      <c r="D199" s="12">
        <v>0.45694444444444443</v>
      </c>
      <c r="E199" s="1">
        <v>6</v>
      </c>
      <c r="F199" s="24">
        <v>7.42</v>
      </c>
      <c r="H199" s="7">
        <v>20.2</v>
      </c>
    </row>
    <row r="200" spans="3:8" ht="15.75" customHeight="1" x14ac:dyDescent="0.2">
      <c r="C200" s="16">
        <v>43671</v>
      </c>
      <c r="D200" s="12">
        <v>0.45694444444444443</v>
      </c>
      <c r="E200" s="1">
        <v>7</v>
      </c>
      <c r="F200" s="24">
        <v>7.41</v>
      </c>
      <c r="H200" s="7">
        <v>20.100000000000001</v>
      </c>
    </row>
    <row r="201" spans="3:8" ht="15.75" customHeight="1" x14ac:dyDescent="0.2">
      <c r="C201" s="16">
        <v>43671</v>
      </c>
      <c r="D201" s="12">
        <v>0.45694444444444443</v>
      </c>
      <c r="E201" s="1">
        <v>8</v>
      </c>
      <c r="F201" s="24">
        <v>7.4</v>
      </c>
      <c r="G201" s="216">
        <v>81.400000000000006</v>
      </c>
      <c r="H201" s="7">
        <v>20</v>
      </c>
    </row>
    <row r="202" spans="3:8" ht="15.75" customHeight="1" x14ac:dyDescent="0.2">
      <c r="C202" s="16">
        <v>43671</v>
      </c>
      <c r="D202" s="12">
        <v>0.45694444444444443</v>
      </c>
      <c r="E202" s="1">
        <v>9</v>
      </c>
      <c r="F202" s="24">
        <v>7.41</v>
      </c>
      <c r="G202" s="216">
        <v>81.2</v>
      </c>
      <c r="H202" s="7">
        <v>19.899999999999999</v>
      </c>
    </row>
    <row r="203" spans="3:8" ht="15.75" customHeight="1" x14ac:dyDescent="0.2">
      <c r="C203" s="16">
        <v>43671</v>
      </c>
      <c r="D203" s="12">
        <v>0.45694444444444443</v>
      </c>
      <c r="E203" s="1">
        <v>10</v>
      </c>
      <c r="F203" s="24">
        <v>7.66</v>
      </c>
      <c r="G203" s="216">
        <v>78</v>
      </c>
      <c r="H203" s="7">
        <v>16.100000000000001</v>
      </c>
    </row>
    <row r="204" spans="3:8" ht="15.75" customHeight="1" x14ac:dyDescent="0.2">
      <c r="C204" s="16">
        <v>43671</v>
      </c>
      <c r="D204" s="12">
        <v>0.45694444444444443</v>
      </c>
      <c r="E204" s="1">
        <v>11</v>
      </c>
      <c r="F204" s="24">
        <v>8.92</v>
      </c>
      <c r="G204" s="216">
        <v>79.3</v>
      </c>
      <c r="H204" s="7">
        <v>10.199999999999999</v>
      </c>
    </row>
    <row r="205" spans="3:8" ht="15.75" customHeight="1" x14ac:dyDescent="0.2">
      <c r="C205" s="16"/>
      <c r="D205" s="12"/>
      <c r="F205" s="24"/>
      <c r="H205" s="7"/>
    </row>
    <row r="206" spans="3:8" ht="15.75" customHeight="1" x14ac:dyDescent="0.2">
      <c r="C206" s="16"/>
      <c r="D206" s="12"/>
      <c r="F206" s="24"/>
      <c r="H206" s="7"/>
    </row>
    <row r="207" spans="3:8" ht="15.75" customHeight="1" x14ac:dyDescent="0.2">
      <c r="C207" s="16"/>
      <c r="D207" s="12"/>
      <c r="F207" s="24"/>
      <c r="H207" s="7"/>
    </row>
    <row r="208" spans="3:8" ht="15.75" customHeight="1" x14ac:dyDescent="0.2">
      <c r="F208" s="24"/>
      <c r="H208" s="7"/>
    </row>
    <row r="209" spans="3:11" ht="15.75" customHeight="1" x14ac:dyDescent="0.2">
      <c r="C209" s="16">
        <v>43705</v>
      </c>
      <c r="D209" s="12">
        <v>0.47569444444444442</v>
      </c>
      <c r="F209" s="24"/>
      <c r="H209" s="7"/>
      <c r="J209" s="1">
        <v>9.5</v>
      </c>
      <c r="K209" s="1">
        <v>11</v>
      </c>
    </row>
    <row r="210" spans="3:11" ht="15.75" customHeight="1" x14ac:dyDescent="0.2">
      <c r="C210" s="16">
        <v>43705</v>
      </c>
      <c r="D210" s="12">
        <v>0.48958333333333331</v>
      </c>
      <c r="E210" s="1">
        <v>0.1</v>
      </c>
      <c r="F210" s="24">
        <v>7.32</v>
      </c>
      <c r="G210" s="216">
        <v>83.2</v>
      </c>
      <c r="H210" s="7">
        <v>21.7</v>
      </c>
    </row>
    <row r="211" spans="3:11" ht="15.75" customHeight="1" x14ac:dyDescent="0.2">
      <c r="C211" s="16">
        <v>43705</v>
      </c>
      <c r="D211" s="12">
        <v>0.48958333333333331</v>
      </c>
      <c r="E211" s="1">
        <v>1</v>
      </c>
      <c r="F211" s="222">
        <v>7.31</v>
      </c>
      <c r="H211" s="7">
        <v>21.7</v>
      </c>
    </row>
    <row r="212" spans="3:11" ht="15.75" customHeight="1" x14ac:dyDescent="0.2">
      <c r="C212" s="16">
        <v>43705</v>
      </c>
      <c r="D212" s="12">
        <v>0.48958333333333331</v>
      </c>
      <c r="E212" s="1">
        <v>2</v>
      </c>
      <c r="F212" s="24">
        <v>7.32</v>
      </c>
      <c r="H212" s="7">
        <v>21.5</v>
      </c>
    </row>
    <row r="213" spans="3:11" ht="15.75" customHeight="1" x14ac:dyDescent="0.2">
      <c r="C213" s="16">
        <v>43705</v>
      </c>
      <c r="D213" s="12">
        <v>0.48958333333333331</v>
      </c>
      <c r="E213" s="1">
        <v>3</v>
      </c>
      <c r="F213" s="222">
        <v>7.31</v>
      </c>
      <c r="H213" s="7">
        <v>21.4</v>
      </c>
    </row>
    <row r="214" spans="3:11" ht="15.75" customHeight="1" x14ac:dyDescent="0.2">
      <c r="C214" s="16">
        <v>43705</v>
      </c>
      <c r="D214" s="12">
        <v>0.48958333333333331</v>
      </c>
      <c r="E214" s="1">
        <v>4</v>
      </c>
      <c r="F214" s="24">
        <v>7.3</v>
      </c>
      <c r="H214" s="7">
        <v>21.3</v>
      </c>
    </row>
    <row r="215" spans="3:11" ht="15.75" customHeight="1" x14ac:dyDescent="0.2">
      <c r="C215" s="16">
        <v>43705</v>
      </c>
      <c r="D215" s="12">
        <v>0.48958333333333331</v>
      </c>
      <c r="E215" s="1">
        <v>5</v>
      </c>
      <c r="F215" s="222">
        <v>7.28</v>
      </c>
      <c r="H215" s="7">
        <v>21.3</v>
      </c>
    </row>
    <row r="216" spans="3:11" ht="15.75" customHeight="1" x14ac:dyDescent="0.2">
      <c r="C216" s="16">
        <v>43705</v>
      </c>
      <c r="D216" s="12">
        <v>0.48958333333333331</v>
      </c>
      <c r="E216" s="1">
        <v>6</v>
      </c>
      <c r="F216" s="24">
        <v>7.27</v>
      </c>
      <c r="H216" s="7">
        <v>21.2</v>
      </c>
    </row>
    <row r="217" spans="3:11" ht="15.75" customHeight="1" x14ac:dyDescent="0.2">
      <c r="C217" s="16">
        <v>43705</v>
      </c>
      <c r="D217" s="12">
        <v>0.48958333333333331</v>
      </c>
      <c r="E217" s="1">
        <v>7</v>
      </c>
      <c r="F217" s="222">
        <v>7.24</v>
      </c>
      <c r="H217" s="7">
        <v>21.2</v>
      </c>
    </row>
    <row r="218" spans="3:11" ht="15.75" customHeight="1" x14ac:dyDescent="0.2">
      <c r="C218" s="16">
        <v>43705</v>
      </c>
      <c r="D218" s="12">
        <v>0.48958333333333331</v>
      </c>
      <c r="E218" s="1">
        <v>8</v>
      </c>
      <c r="F218" s="24">
        <v>7.22</v>
      </c>
      <c r="H218" s="7">
        <v>21.2</v>
      </c>
    </row>
    <row r="219" spans="3:11" ht="15.75" customHeight="1" x14ac:dyDescent="0.2">
      <c r="C219" s="16">
        <v>43705</v>
      </c>
      <c r="D219" s="12">
        <v>0.48958333333333331</v>
      </c>
      <c r="E219" s="1">
        <v>9</v>
      </c>
      <c r="F219" s="24">
        <v>7.19</v>
      </c>
      <c r="H219" s="7">
        <v>21.1</v>
      </c>
    </row>
    <row r="220" spans="3:11" ht="15.75" customHeight="1" x14ac:dyDescent="0.2">
      <c r="C220" s="16">
        <v>43705</v>
      </c>
      <c r="D220" s="12">
        <v>0.48958333333333331</v>
      </c>
      <c r="E220" s="1">
        <v>10</v>
      </c>
      <c r="F220" s="222">
        <v>7.17</v>
      </c>
      <c r="H220" s="7">
        <v>21</v>
      </c>
    </row>
    <row r="221" spans="3:11" ht="15.75" customHeight="1" x14ac:dyDescent="0.2">
      <c r="C221" s="16">
        <v>43705</v>
      </c>
      <c r="D221" s="12">
        <v>0.48958333333333331</v>
      </c>
      <c r="E221" s="1">
        <v>11</v>
      </c>
      <c r="F221" s="24">
        <v>7.1</v>
      </c>
      <c r="H221" s="7">
        <v>19.8</v>
      </c>
    </row>
    <row r="222" spans="3:11" ht="15.75" customHeight="1" x14ac:dyDescent="0.2">
      <c r="C222" s="16">
        <v>43705</v>
      </c>
      <c r="D222" s="12">
        <v>0.48958333333333331</v>
      </c>
      <c r="E222" s="1">
        <v>12</v>
      </c>
      <c r="F222" s="222">
        <v>6.83</v>
      </c>
      <c r="G222" s="216">
        <v>72.599999999999994</v>
      </c>
      <c r="H222" s="7">
        <v>19.3</v>
      </c>
    </row>
    <row r="223" spans="3:11" ht="15.75" customHeight="1" x14ac:dyDescent="0.2"/>
    <row r="224" spans="3:11" ht="15.75" customHeight="1" x14ac:dyDescent="0.2">
      <c r="C224" s="15">
        <v>43732</v>
      </c>
      <c r="D224" s="3"/>
      <c r="E224" s="3"/>
      <c r="F224" s="24"/>
      <c r="G224" s="3"/>
      <c r="H224" s="3"/>
      <c r="J224" s="3">
        <v>8.5</v>
      </c>
      <c r="K224" s="3">
        <v>10</v>
      </c>
    </row>
    <row r="225" spans="3:11" ht="15.75" customHeight="1" x14ac:dyDescent="0.2">
      <c r="C225" s="15">
        <v>43732</v>
      </c>
      <c r="D225" s="19">
        <v>0.56944444444444442</v>
      </c>
      <c r="E225" s="3">
        <v>0.1</v>
      </c>
      <c r="F225" s="24">
        <v>7.88</v>
      </c>
      <c r="G225" s="3">
        <v>82.7</v>
      </c>
      <c r="H225" s="7">
        <v>17.600000000000001</v>
      </c>
      <c r="J225" s="3"/>
      <c r="K225" s="3"/>
    </row>
    <row r="226" spans="3:11" ht="15.75" customHeight="1" x14ac:dyDescent="0.2">
      <c r="C226" s="15">
        <v>43732</v>
      </c>
      <c r="D226" s="19">
        <v>0.56944444444444442</v>
      </c>
      <c r="E226" s="3">
        <v>1</v>
      </c>
      <c r="F226" s="24">
        <v>7.86</v>
      </c>
      <c r="G226" s="3"/>
      <c r="H226" s="7">
        <v>17.7</v>
      </c>
      <c r="J226" s="3"/>
      <c r="K226" s="3"/>
    </row>
    <row r="227" spans="3:11" ht="15.75" customHeight="1" x14ac:dyDescent="0.2">
      <c r="C227" s="15">
        <v>43732</v>
      </c>
      <c r="D227" s="19">
        <v>0.56944444444444442</v>
      </c>
      <c r="E227" s="3">
        <v>2</v>
      </c>
      <c r="F227" s="24">
        <v>7.84</v>
      </c>
      <c r="G227" s="3"/>
      <c r="H227" s="7">
        <v>17.7</v>
      </c>
      <c r="J227" s="3"/>
      <c r="K227" s="3"/>
    </row>
    <row r="228" spans="3:11" ht="15.75" customHeight="1" x14ac:dyDescent="0.2">
      <c r="C228" s="15">
        <v>43732</v>
      </c>
      <c r="D228" s="19">
        <v>0.56944444444444442</v>
      </c>
      <c r="E228" s="3">
        <v>3</v>
      </c>
      <c r="F228" s="24">
        <v>7.83</v>
      </c>
      <c r="G228" s="3"/>
      <c r="H228" s="7">
        <v>17.7</v>
      </c>
      <c r="J228" s="3"/>
      <c r="K228" s="3"/>
    </row>
    <row r="229" spans="3:11" ht="15.75" customHeight="1" x14ac:dyDescent="0.2">
      <c r="C229" s="15">
        <v>43732</v>
      </c>
      <c r="D229" s="19">
        <v>0.56944444444444442</v>
      </c>
      <c r="E229" s="3">
        <v>4</v>
      </c>
      <c r="F229" s="24">
        <v>7.81</v>
      </c>
      <c r="G229" s="3"/>
      <c r="H229" s="7">
        <v>17.7</v>
      </c>
      <c r="J229" s="3"/>
      <c r="K229" s="3"/>
    </row>
    <row r="230" spans="3:11" ht="15.75" customHeight="1" x14ac:dyDescent="0.2">
      <c r="C230" s="15">
        <v>43732</v>
      </c>
      <c r="D230" s="19">
        <v>0.56944444444444442</v>
      </c>
      <c r="E230" s="3">
        <v>5</v>
      </c>
      <c r="F230" s="24">
        <v>7.79</v>
      </c>
      <c r="G230" s="3"/>
      <c r="H230" s="7">
        <v>17.7</v>
      </c>
      <c r="J230" s="3"/>
      <c r="K230" s="3"/>
    </row>
    <row r="231" spans="3:11" ht="15.75" customHeight="1" x14ac:dyDescent="0.2">
      <c r="C231" s="15">
        <v>43732</v>
      </c>
      <c r="D231" s="19">
        <v>0.56944444444444442</v>
      </c>
      <c r="E231" s="3">
        <v>6</v>
      </c>
      <c r="F231" s="24">
        <v>7.76</v>
      </c>
      <c r="G231" s="3"/>
      <c r="H231" s="7">
        <v>17.7</v>
      </c>
      <c r="J231" s="3"/>
      <c r="K231" s="3"/>
    </row>
    <row r="232" spans="3:11" ht="15.75" customHeight="1" x14ac:dyDescent="0.2">
      <c r="C232" s="15">
        <v>43732</v>
      </c>
      <c r="D232" s="19">
        <v>0.56944444444444442</v>
      </c>
      <c r="E232" s="3">
        <v>7</v>
      </c>
      <c r="F232" s="24">
        <v>7.75</v>
      </c>
      <c r="G232" s="3"/>
      <c r="H232" s="7">
        <v>17.7</v>
      </c>
      <c r="J232" s="3"/>
      <c r="K232" s="3"/>
    </row>
    <row r="233" spans="3:11" ht="15.75" customHeight="1" x14ac:dyDescent="0.2">
      <c r="C233" s="15">
        <v>43732</v>
      </c>
      <c r="D233" s="19">
        <v>0.56944444444444442</v>
      </c>
      <c r="E233" s="3">
        <v>8</v>
      </c>
      <c r="F233" s="24">
        <v>7.74</v>
      </c>
      <c r="G233" s="3"/>
      <c r="H233" s="7">
        <v>17.7</v>
      </c>
      <c r="J233" s="3"/>
      <c r="K233" s="3"/>
    </row>
    <row r="234" spans="3:11" ht="15.75" customHeight="1" x14ac:dyDescent="0.2">
      <c r="C234" s="15">
        <v>43732</v>
      </c>
      <c r="D234" s="19">
        <v>0.56944444444444442</v>
      </c>
      <c r="E234" s="3">
        <v>9</v>
      </c>
      <c r="F234" s="24">
        <v>7.72</v>
      </c>
      <c r="G234" s="3"/>
      <c r="H234" s="7">
        <v>17.7</v>
      </c>
      <c r="J234" s="3"/>
      <c r="K234" s="3"/>
    </row>
    <row r="235" spans="3:11" ht="15.75" customHeight="1" x14ac:dyDescent="0.2">
      <c r="C235" s="15">
        <v>43732</v>
      </c>
      <c r="D235" s="19">
        <v>0.56944444444444442</v>
      </c>
      <c r="E235" s="3">
        <v>10</v>
      </c>
      <c r="F235" s="24">
        <v>7.74</v>
      </c>
      <c r="G235" s="3"/>
      <c r="H235" s="7">
        <v>17.600000000000001</v>
      </c>
      <c r="J235" s="3"/>
      <c r="K235" s="3"/>
    </row>
    <row r="236" spans="3:11" ht="15.75" customHeight="1" x14ac:dyDescent="0.2">
      <c r="C236" s="15">
        <v>43732</v>
      </c>
      <c r="D236" s="19">
        <v>0.56944444444444442</v>
      </c>
      <c r="E236" s="3">
        <v>11</v>
      </c>
      <c r="F236" s="24">
        <v>7.75</v>
      </c>
      <c r="G236" s="3">
        <v>77.900000000000006</v>
      </c>
      <c r="H236" s="7">
        <v>17.5</v>
      </c>
      <c r="J236" s="3"/>
      <c r="K236" s="3"/>
    </row>
    <row r="237" spans="3:11" ht="15.75" customHeight="1" x14ac:dyDescent="0.2">
      <c r="C237" s="15"/>
      <c r="D237" s="3"/>
      <c r="E237" s="3"/>
      <c r="F237" s="24"/>
      <c r="G237" s="3"/>
      <c r="H237" s="7"/>
      <c r="J237" s="3"/>
      <c r="K237" s="3"/>
    </row>
    <row r="238" spans="3:11" ht="15.75" customHeight="1" x14ac:dyDescent="0.2">
      <c r="C238" s="15">
        <v>43334</v>
      </c>
      <c r="D238" s="19">
        <v>0.45833333333333331</v>
      </c>
      <c r="E238" s="3"/>
      <c r="F238" s="24"/>
      <c r="G238" s="3"/>
      <c r="H238" s="7"/>
      <c r="J238" s="3">
        <v>11.5</v>
      </c>
      <c r="K238" s="3">
        <v>11.5</v>
      </c>
    </row>
    <row r="239" spans="3:11" ht="15.75" customHeight="1" x14ac:dyDescent="0.2">
      <c r="C239" s="15">
        <v>43334</v>
      </c>
      <c r="D239" s="19">
        <v>0.46180555555555558</v>
      </c>
      <c r="E239" s="3">
        <v>0.1</v>
      </c>
      <c r="F239" s="24">
        <v>6.91</v>
      </c>
      <c r="G239" s="3">
        <v>77.5</v>
      </c>
      <c r="H239" s="7">
        <v>21</v>
      </c>
      <c r="J239" s="3"/>
      <c r="K239" s="3"/>
    </row>
    <row r="240" spans="3:11" ht="15.75" customHeight="1" x14ac:dyDescent="0.2">
      <c r="C240" s="15">
        <v>43334</v>
      </c>
      <c r="D240" s="19">
        <v>0.46180555555555558</v>
      </c>
      <c r="E240" s="3">
        <v>1</v>
      </c>
      <c r="F240" s="24">
        <v>6.96</v>
      </c>
      <c r="G240" s="3">
        <v>77.8</v>
      </c>
      <c r="H240" s="7">
        <v>20.8</v>
      </c>
      <c r="J240" s="3"/>
      <c r="K240" s="3"/>
    </row>
    <row r="241" spans="3:12" ht="15.75" customHeight="1" x14ac:dyDescent="0.2">
      <c r="C241" s="15">
        <v>43334</v>
      </c>
      <c r="D241" s="19">
        <v>0.46180555555555558</v>
      </c>
      <c r="E241" s="3">
        <v>2</v>
      </c>
      <c r="F241" s="24">
        <v>6.98</v>
      </c>
      <c r="G241" s="3"/>
      <c r="H241" s="7">
        <v>20.6</v>
      </c>
      <c r="J241" s="3"/>
      <c r="K241" s="3"/>
    </row>
    <row r="242" spans="3:12" ht="15.75" customHeight="1" x14ac:dyDescent="0.2">
      <c r="C242" s="15">
        <v>43334</v>
      </c>
      <c r="D242" s="19">
        <v>0.46180555555555558</v>
      </c>
      <c r="E242" s="3">
        <v>3</v>
      </c>
      <c r="F242" s="24">
        <v>6.99</v>
      </c>
      <c r="G242" s="3"/>
      <c r="H242" s="7">
        <v>20.5</v>
      </c>
      <c r="J242" s="3"/>
      <c r="K242" s="3"/>
    </row>
    <row r="243" spans="3:12" ht="15.75" customHeight="1" x14ac:dyDescent="0.2">
      <c r="C243" s="15">
        <v>43334</v>
      </c>
      <c r="D243" s="19">
        <v>0.46180555555555558</v>
      </c>
      <c r="E243" s="3">
        <v>4</v>
      </c>
      <c r="F243" s="24">
        <v>7</v>
      </c>
      <c r="G243" s="3"/>
      <c r="H243" s="7">
        <v>20.399999999999999</v>
      </c>
      <c r="J243" s="3"/>
      <c r="K243" s="3"/>
    </row>
    <row r="244" spans="3:12" ht="15.75" customHeight="1" x14ac:dyDescent="0.2">
      <c r="C244" s="15">
        <v>43334</v>
      </c>
      <c r="D244" s="19">
        <v>0.46180555555555558</v>
      </c>
      <c r="E244" s="3">
        <v>5</v>
      </c>
      <c r="F244" s="24">
        <v>7</v>
      </c>
      <c r="G244" s="3"/>
      <c r="H244" s="7">
        <v>20.399999999999999</v>
      </c>
      <c r="J244" s="3"/>
      <c r="K244" s="3"/>
    </row>
    <row r="245" spans="3:12" ht="15.75" customHeight="1" x14ac:dyDescent="0.2">
      <c r="C245" s="15">
        <v>43334</v>
      </c>
      <c r="D245" s="19">
        <v>0.46180555555555558</v>
      </c>
      <c r="E245" s="3">
        <v>6</v>
      </c>
      <c r="F245" s="24">
        <v>7.01</v>
      </c>
      <c r="G245" s="3"/>
      <c r="H245" s="7">
        <v>20.3</v>
      </c>
      <c r="J245" s="3"/>
      <c r="K245" s="3"/>
    </row>
    <row r="246" spans="3:12" ht="15.75" customHeight="1" x14ac:dyDescent="0.2">
      <c r="C246" s="15">
        <v>43334</v>
      </c>
      <c r="D246" s="19">
        <v>0.46180555555555558</v>
      </c>
      <c r="E246" s="3">
        <v>7</v>
      </c>
      <c r="F246" s="24">
        <v>7.01</v>
      </c>
      <c r="G246" s="3"/>
      <c r="H246" s="7">
        <v>20.3</v>
      </c>
      <c r="J246" s="3"/>
      <c r="K246" s="3"/>
    </row>
    <row r="247" spans="3:12" ht="15.75" customHeight="1" x14ac:dyDescent="0.2">
      <c r="C247" s="15">
        <v>43334</v>
      </c>
      <c r="D247" s="19">
        <v>0.46180555555555558</v>
      </c>
      <c r="E247" s="3">
        <v>8</v>
      </c>
      <c r="F247" s="24">
        <v>6.99</v>
      </c>
      <c r="G247" s="3"/>
      <c r="H247" s="7">
        <v>20.3</v>
      </c>
      <c r="J247" s="3"/>
      <c r="K247" s="3"/>
    </row>
    <row r="248" spans="3:12" ht="15.75" customHeight="1" x14ac:dyDescent="0.2">
      <c r="C248" s="15">
        <v>43334</v>
      </c>
      <c r="D248" s="19">
        <v>0.46180555555555558</v>
      </c>
      <c r="E248" s="3">
        <v>9</v>
      </c>
      <c r="F248" s="24">
        <v>7</v>
      </c>
      <c r="G248" s="3">
        <v>77.3</v>
      </c>
      <c r="H248" s="7">
        <v>20.2</v>
      </c>
      <c r="J248" s="3"/>
      <c r="K248" s="3"/>
    </row>
    <row r="249" spans="3:12" ht="15.75" customHeight="1" x14ac:dyDescent="0.2">
      <c r="C249" s="15">
        <v>43334</v>
      </c>
      <c r="D249" s="19">
        <v>0.46180555555555558</v>
      </c>
      <c r="E249" s="3">
        <v>10</v>
      </c>
      <c r="F249" s="24">
        <v>6.99</v>
      </c>
      <c r="G249" s="3">
        <v>77.099999999999994</v>
      </c>
      <c r="H249" s="7">
        <v>20.2</v>
      </c>
      <c r="J249" s="3"/>
      <c r="K249" s="3"/>
    </row>
    <row r="250" spans="3:12" ht="15.75" customHeight="1" x14ac:dyDescent="0.2">
      <c r="C250" s="15"/>
      <c r="D250" s="3"/>
      <c r="E250" s="3"/>
      <c r="G250" s="3"/>
      <c r="H250" s="7"/>
      <c r="J250" s="3"/>
      <c r="K250" s="3"/>
    </row>
    <row r="251" spans="3:12" ht="15.75" customHeight="1" x14ac:dyDescent="0.2">
      <c r="C251" s="15">
        <v>42877</v>
      </c>
      <c r="D251" s="19">
        <v>0.46875</v>
      </c>
      <c r="E251" s="3"/>
      <c r="F251" s="24"/>
      <c r="G251" s="3"/>
      <c r="H251" s="7"/>
      <c r="J251" s="3">
        <v>6.5</v>
      </c>
      <c r="K251" s="3">
        <v>8.25</v>
      </c>
    </row>
    <row r="252" spans="3:12" ht="15.75" customHeight="1" x14ac:dyDescent="0.2">
      <c r="C252" s="15">
        <v>42877</v>
      </c>
      <c r="D252" s="19">
        <v>0.47569444444444442</v>
      </c>
      <c r="E252" s="3">
        <v>0.1</v>
      </c>
      <c r="F252" s="24">
        <v>9.49</v>
      </c>
      <c r="G252" s="3">
        <v>92.1</v>
      </c>
      <c r="H252" s="7">
        <v>14</v>
      </c>
      <c r="J252" s="3"/>
      <c r="K252" s="3"/>
    </row>
    <row r="253" spans="3:12" ht="15.75" customHeight="1" x14ac:dyDescent="0.2">
      <c r="C253" s="15">
        <v>42877</v>
      </c>
      <c r="D253" s="19">
        <v>0.47569444444444442</v>
      </c>
      <c r="E253" s="3">
        <v>1</v>
      </c>
      <c r="F253" s="24">
        <v>9.5299999999999994</v>
      </c>
      <c r="G253" s="3">
        <v>91.4</v>
      </c>
      <c r="H253" s="7">
        <v>13.6</v>
      </c>
      <c r="J253" s="3"/>
      <c r="K253" s="3"/>
    </row>
    <row r="254" spans="3:12" ht="15.75" customHeight="1" x14ac:dyDescent="0.2">
      <c r="C254" s="15">
        <v>42877</v>
      </c>
      <c r="D254" s="19">
        <v>0.47569444444444442</v>
      </c>
      <c r="E254" s="3">
        <v>2</v>
      </c>
      <c r="F254" s="221">
        <v>9.5500000000000007</v>
      </c>
      <c r="G254" s="190">
        <v>90.9</v>
      </c>
      <c r="H254" s="218">
        <v>13.1</v>
      </c>
      <c r="J254" s="1"/>
      <c r="K254" s="1"/>
      <c r="L254" s="33"/>
    </row>
    <row r="255" spans="3:12" ht="15.75" customHeight="1" x14ac:dyDescent="0.2">
      <c r="C255" s="15">
        <v>42877</v>
      </c>
      <c r="D255" s="19">
        <v>0.47569444444444442</v>
      </c>
      <c r="E255" s="3">
        <v>3</v>
      </c>
      <c r="F255" s="222">
        <v>9.61</v>
      </c>
      <c r="G255" s="190">
        <v>88.3</v>
      </c>
      <c r="H255" s="218">
        <v>11.6</v>
      </c>
      <c r="J255" s="1"/>
      <c r="K255" s="1"/>
      <c r="L255" s="33"/>
    </row>
    <row r="256" spans="3:12" ht="15.75" customHeight="1" x14ac:dyDescent="0.2">
      <c r="C256" s="15">
        <v>42877</v>
      </c>
      <c r="D256" s="19">
        <v>0.47569444444444442</v>
      </c>
      <c r="E256" s="3">
        <v>4</v>
      </c>
      <c r="F256" s="222">
        <v>9.93</v>
      </c>
      <c r="G256" s="190">
        <v>88</v>
      </c>
      <c r="H256" s="218">
        <v>10</v>
      </c>
      <c r="J256" s="1"/>
      <c r="K256" s="1"/>
      <c r="L256" s="33"/>
    </row>
    <row r="257" spans="3:12" ht="15.75" customHeight="1" x14ac:dyDescent="0.2">
      <c r="C257" s="15">
        <v>42877</v>
      </c>
      <c r="D257" s="19">
        <v>0.47569444444444442</v>
      </c>
      <c r="E257" s="3">
        <v>5</v>
      </c>
      <c r="F257" s="222">
        <v>9.99</v>
      </c>
      <c r="G257" s="190">
        <v>87.4</v>
      </c>
      <c r="H257" s="218">
        <v>9.5</v>
      </c>
      <c r="J257" s="1"/>
      <c r="K257" s="1"/>
      <c r="L257" s="33"/>
    </row>
    <row r="258" spans="3:12" ht="15.75" customHeight="1" x14ac:dyDescent="0.2">
      <c r="C258" s="15">
        <v>42877</v>
      </c>
      <c r="D258" s="19">
        <v>0.47569444444444442</v>
      </c>
      <c r="E258" s="3">
        <v>6</v>
      </c>
      <c r="F258" s="222">
        <v>10.02</v>
      </c>
      <c r="G258" s="190">
        <v>87.3</v>
      </c>
      <c r="H258" s="218">
        <v>9.3000000000000007</v>
      </c>
      <c r="J258" s="1"/>
      <c r="K258" s="1"/>
      <c r="L258" s="33"/>
    </row>
    <row r="259" spans="3:12" ht="15.75" customHeight="1" x14ac:dyDescent="0.2">
      <c r="C259" s="15">
        <v>42877</v>
      </c>
      <c r="D259" s="19">
        <v>0.47569444444444442</v>
      </c>
      <c r="E259" s="3">
        <v>7</v>
      </c>
      <c r="F259" s="222">
        <v>9.9499999999999993</v>
      </c>
      <c r="G259" s="190">
        <v>86.1</v>
      </c>
      <c r="H259" s="218">
        <v>9</v>
      </c>
      <c r="J259" s="1"/>
      <c r="K259" s="1"/>
      <c r="L259" s="33"/>
    </row>
    <row r="260" spans="3:12" ht="15.75" customHeight="1" x14ac:dyDescent="0.2">
      <c r="C260" s="15">
        <v>42877</v>
      </c>
      <c r="D260" s="19">
        <v>0.47569444444444442</v>
      </c>
      <c r="E260" s="3">
        <v>8</v>
      </c>
      <c r="F260" s="222">
        <v>9.9499999999999993</v>
      </c>
      <c r="G260" s="190">
        <v>85.6</v>
      </c>
      <c r="H260" s="218">
        <v>8.8000000000000007</v>
      </c>
      <c r="J260" s="1"/>
      <c r="K260" s="1"/>
      <c r="L260" s="33"/>
    </row>
    <row r="261" spans="3:12" ht="15.75" customHeight="1" x14ac:dyDescent="0.2">
      <c r="C261" s="15">
        <v>42877</v>
      </c>
      <c r="D261" s="19">
        <v>0.47569444444444442</v>
      </c>
      <c r="E261" s="3">
        <v>9</v>
      </c>
      <c r="F261" s="222">
        <v>9.86</v>
      </c>
      <c r="G261" s="190">
        <v>84</v>
      </c>
      <c r="H261" s="218">
        <v>8.4</v>
      </c>
      <c r="J261" s="1"/>
      <c r="K261" s="1"/>
      <c r="L261" s="33"/>
    </row>
    <row r="262" spans="3:12" ht="15.75" customHeight="1" x14ac:dyDescent="0.2">
      <c r="C262" s="15">
        <v>42877</v>
      </c>
      <c r="D262" s="19">
        <v>0.47569444444444442</v>
      </c>
      <c r="E262" s="3">
        <v>10</v>
      </c>
      <c r="F262" s="222">
        <v>9.6300000000000008</v>
      </c>
      <c r="G262" s="190">
        <v>81.5</v>
      </c>
      <c r="H262" s="218">
        <v>8.1999999999999993</v>
      </c>
      <c r="J262" s="1"/>
      <c r="K262" s="1"/>
      <c r="L262" s="33"/>
    </row>
    <row r="263" spans="3:12" ht="15.75" customHeight="1" x14ac:dyDescent="0.2">
      <c r="C263" s="217"/>
      <c r="F263" s="222"/>
      <c r="J263" s="1"/>
      <c r="K263" s="1"/>
      <c r="L263" s="33"/>
    </row>
    <row r="264" spans="3:12" ht="15.75" customHeight="1" x14ac:dyDescent="0.2">
      <c r="C264" s="217">
        <v>42905</v>
      </c>
      <c r="D264" s="185">
        <v>0.4513888888888889</v>
      </c>
      <c r="F264" s="222"/>
      <c r="J264" s="1">
        <v>10</v>
      </c>
      <c r="K264" s="1">
        <v>11</v>
      </c>
      <c r="L264" s="33"/>
    </row>
    <row r="265" spans="3:12" ht="15.75" customHeight="1" x14ac:dyDescent="0.2">
      <c r="C265" s="217">
        <v>42905</v>
      </c>
      <c r="D265" s="185">
        <v>0.46527777777777773</v>
      </c>
      <c r="E265" s="215">
        <v>0.1</v>
      </c>
      <c r="F265" s="222">
        <v>8.67</v>
      </c>
      <c r="G265" s="190">
        <v>89.3</v>
      </c>
      <c r="H265" s="218">
        <v>16.8</v>
      </c>
      <c r="J265" s="1"/>
      <c r="K265" s="1"/>
      <c r="L265" s="33"/>
    </row>
    <row r="266" spans="3:12" ht="15.75" customHeight="1" x14ac:dyDescent="0.2">
      <c r="C266" s="217">
        <v>42905</v>
      </c>
      <c r="D266" s="185">
        <v>0.46527777777777773</v>
      </c>
      <c r="E266" s="215">
        <v>1</v>
      </c>
      <c r="F266" s="222">
        <v>8.7100000000000009</v>
      </c>
      <c r="G266" s="190">
        <v>88.4</v>
      </c>
      <c r="H266" s="218">
        <v>16.2</v>
      </c>
      <c r="J266" s="1"/>
      <c r="K266" s="1"/>
      <c r="L266" s="33"/>
    </row>
    <row r="267" spans="3:12" ht="15.75" customHeight="1" x14ac:dyDescent="0.2">
      <c r="C267" s="217">
        <v>42905</v>
      </c>
      <c r="D267" s="185">
        <v>0.46527777777777773</v>
      </c>
      <c r="E267" s="215">
        <v>2</v>
      </c>
      <c r="F267" s="222">
        <v>8.74</v>
      </c>
      <c r="G267" s="190">
        <v>87.9</v>
      </c>
      <c r="H267" s="218">
        <v>15.6</v>
      </c>
      <c r="J267" s="1"/>
      <c r="K267" s="1"/>
      <c r="L267" s="33"/>
    </row>
    <row r="268" spans="3:12" ht="15.75" customHeight="1" x14ac:dyDescent="0.2">
      <c r="C268" s="217">
        <v>42905</v>
      </c>
      <c r="D268" s="185">
        <v>0.46527777777777773</v>
      </c>
      <c r="E268" s="215">
        <v>3</v>
      </c>
      <c r="F268" s="222">
        <v>8.7799999999999994</v>
      </c>
      <c r="G268" s="190">
        <v>87.5</v>
      </c>
      <c r="H268" s="218">
        <v>15.4</v>
      </c>
      <c r="J268" s="1"/>
      <c r="K268" s="1"/>
      <c r="L268" s="33"/>
    </row>
    <row r="269" spans="3:12" ht="15.75" customHeight="1" x14ac:dyDescent="0.2">
      <c r="C269" s="217">
        <v>42905</v>
      </c>
      <c r="D269" s="185">
        <v>0.46527777777777773</v>
      </c>
      <c r="E269" s="215">
        <v>4</v>
      </c>
      <c r="F269" s="222">
        <v>8.75</v>
      </c>
      <c r="G269" s="190">
        <v>87</v>
      </c>
      <c r="H269" s="218">
        <v>15.1</v>
      </c>
      <c r="J269" s="1"/>
      <c r="K269" s="1"/>
      <c r="L269" s="33"/>
    </row>
    <row r="270" spans="3:12" ht="15.75" customHeight="1" x14ac:dyDescent="0.2">
      <c r="C270" s="217">
        <v>42905</v>
      </c>
      <c r="D270" s="185">
        <v>0.46527777777777773</v>
      </c>
      <c r="E270" s="215">
        <v>5</v>
      </c>
      <c r="F270" s="222">
        <v>8.73</v>
      </c>
      <c r="G270" s="190">
        <v>86.4</v>
      </c>
      <c r="H270" s="218">
        <v>14.9</v>
      </c>
      <c r="J270" s="1"/>
      <c r="K270" s="1"/>
      <c r="L270" s="33"/>
    </row>
    <row r="271" spans="3:12" ht="15.75" customHeight="1" x14ac:dyDescent="0.2">
      <c r="C271" s="217">
        <v>42905</v>
      </c>
      <c r="D271" s="185">
        <v>0.46527777777777773</v>
      </c>
      <c r="E271" s="215">
        <v>6</v>
      </c>
      <c r="F271" s="222">
        <v>8.7100000000000009</v>
      </c>
      <c r="G271" s="190">
        <v>85.5</v>
      </c>
      <c r="H271" s="218">
        <v>14.7</v>
      </c>
      <c r="J271" s="1"/>
      <c r="K271" s="1"/>
      <c r="L271" s="33"/>
    </row>
    <row r="272" spans="3:12" ht="15.75" customHeight="1" x14ac:dyDescent="0.2">
      <c r="C272" s="217">
        <v>42905</v>
      </c>
      <c r="D272" s="185">
        <v>0.46527777777777773</v>
      </c>
      <c r="E272" s="215">
        <v>7</v>
      </c>
      <c r="F272" s="222">
        <v>8.7100000000000009</v>
      </c>
      <c r="G272" s="190">
        <v>85.1</v>
      </c>
      <c r="H272" s="218">
        <v>14.3</v>
      </c>
      <c r="J272" s="1"/>
      <c r="K272" s="1"/>
      <c r="L272" s="33"/>
    </row>
    <row r="273" spans="3:12" ht="15.75" customHeight="1" x14ac:dyDescent="0.2">
      <c r="C273" s="217">
        <v>42905</v>
      </c>
      <c r="D273" s="185">
        <v>0.46527777777777773</v>
      </c>
      <c r="E273" s="215">
        <v>8</v>
      </c>
      <c r="F273" s="222">
        <v>8.7200000000000006</v>
      </c>
      <c r="G273" s="190">
        <v>84.9</v>
      </c>
      <c r="H273" s="218">
        <v>14.1</v>
      </c>
      <c r="J273" s="1"/>
      <c r="K273" s="1"/>
      <c r="L273" s="33"/>
    </row>
    <row r="274" spans="3:12" ht="15.75" customHeight="1" x14ac:dyDescent="0.2">
      <c r="C274" s="217">
        <v>42905</v>
      </c>
      <c r="D274" s="185">
        <v>0.46527777777777773</v>
      </c>
      <c r="E274" s="215">
        <v>9</v>
      </c>
      <c r="F274" s="222">
        <v>8.69</v>
      </c>
      <c r="G274" s="190">
        <v>83.2</v>
      </c>
      <c r="H274" s="218">
        <v>13.5</v>
      </c>
      <c r="J274" s="1"/>
      <c r="K274" s="1"/>
      <c r="L274" s="33"/>
    </row>
    <row r="275" spans="3:12" ht="15.75" customHeight="1" x14ac:dyDescent="0.2">
      <c r="C275" s="217"/>
      <c r="F275" s="222"/>
      <c r="J275" s="1"/>
      <c r="K275" s="1"/>
      <c r="L275" s="33"/>
    </row>
    <row r="276" spans="3:12" ht="15.75" customHeight="1" x14ac:dyDescent="0.2">
      <c r="C276" s="217">
        <v>42933</v>
      </c>
      <c r="D276" s="185">
        <v>0.46875</v>
      </c>
      <c r="F276" s="222"/>
      <c r="J276" s="1">
        <v>8</v>
      </c>
      <c r="K276" s="1">
        <v>10</v>
      </c>
      <c r="L276" s="33"/>
    </row>
    <row r="277" spans="3:12" ht="15.75" customHeight="1" x14ac:dyDescent="0.2">
      <c r="C277" s="217">
        <v>42933</v>
      </c>
      <c r="D277" s="185">
        <v>0.47916666666666669</v>
      </c>
      <c r="E277" s="215">
        <v>0.1</v>
      </c>
      <c r="F277" s="222">
        <v>7.29</v>
      </c>
      <c r="G277" s="190">
        <v>85.1</v>
      </c>
      <c r="H277" s="218">
        <v>23</v>
      </c>
      <c r="J277" s="1"/>
      <c r="K277" s="1"/>
      <c r="L277" s="33"/>
    </row>
    <row r="278" spans="3:12" ht="15.75" customHeight="1" x14ac:dyDescent="0.2">
      <c r="C278" s="217">
        <v>42933</v>
      </c>
      <c r="D278" s="185">
        <v>0.47916666666666669</v>
      </c>
      <c r="E278" s="215">
        <v>1</v>
      </c>
      <c r="F278" s="222">
        <v>7.33</v>
      </c>
      <c r="G278" s="190">
        <v>85.3</v>
      </c>
      <c r="H278" s="218">
        <v>22.9</v>
      </c>
      <c r="J278" s="1"/>
      <c r="K278" s="1"/>
      <c r="L278" s="33"/>
    </row>
    <row r="279" spans="3:12" ht="15.75" customHeight="1" x14ac:dyDescent="0.2">
      <c r="C279" s="217">
        <v>42933</v>
      </c>
      <c r="D279" s="185">
        <v>0.47916666666666669</v>
      </c>
      <c r="E279" s="215">
        <v>2</v>
      </c>
      <c r="F279" s="222">
        <v>7.32</v>
      </c>
      <c r="G279" s="190">
        <v>85.2</v>
      </c>
      <c r="H279" s="218">
        <v>22.9</v>
      </c>
      <c r="J279" s="1"/>
      <c r="K279" s="1"/>
      <c r="L279" s="33"/>
    </row>
    <row r="280" spans="3:12" ht="15.75" customHeight="1" x14ac:dyDescent="0.2">
      <c r="C280" s="217">
        <v>42933</v>
      </c>
      <c r="D280" s="185">
        <v>0.47916666666666669</v>
      </c>
      <c r="E280" s="215">
        <v>3</v>
      </c>
      <c r="F280" s="222">
        <v>7.31</v>
      </c>
      <c r="G280" s="190">
        <v>85.1</v>
      </c>
      <c r="H280" s="218">
        <v>22.9</v>
      </c>
      <c r="J280" s="1"/>
      <c r="K280" s="1"/>
      <c r="L280" s="33"/>
    </row>
    <row r="281" spans="3:12" ht="15.75" customHeight="1" x14ac:dyDescent="0.2">
      <c r="C281" s="217">
        <v>42933</v>
      </c>
      <c r="D281" s="185">
        <v>0.47916666666666669</v>
      </c>
      <c r="E281" s="215">
        <v>4</v>
      </c>
      <c r="F281" s="222">
        <v>7.31</v>
      </c>
      <c r="G281" s="190">
        <v>84.9</v>
      </c>
      <c r="H281" s="218">
        <v>22.8</v>
      </c>
      <c r="J281" s="1"/>
      <c r="K281" s="1"/>
      <c r="L281" s="33"/>
    </row>
    <row r="282" spans="3:12" ht="15.75" customHeight="1" x14ac:dyDescent="0.2">
      <c r="C282" s="217">
        <v>42933</v>
      </c>
      <c r="D282" s="185">
        <v>0.47916666666666669</v>
      </c>
      <c r="E282" s="215">
        <v>5</v>
      </c>
      <c r="F282" s="222">
        <v>7.26</v>
      </c>
      <c r="G282" s="190">
        <v>83.9</v>
      </c>
      <c r="H282" s="218">
        <v>22.6</v>
      </c>
      <c r="J282" s="1"/>
      <c r="K282" s="1"/>
      <c r="L282" s="33"/>
    </row>
    <row r="283" spans="3:12" ht="15.75" customHeight="1" x14ac:dyDescent="0.2">
      <c r="C283" s="217">
        <v>42933</v>
      </c>
      <c r="D283" s="185">
        <v>0.47916666666666669</v>
      </c>
      <c r="E283" s="215">
        <v>6</v>
      </c>
      <c r="F283" s="222">
        <v>7.44</v>
      </c>
      <c r="G283" s="190">
        <v>84.2</v>
      </c>
      <c r="H283" s="218">
        <v>21.3</v>
      </c>
      <c r="J283" s="1"/>
      <c r="K283" s="1"/>
      <c r="L283" s="33"/>
    </row>
    <row r="284" spans="3:12" ht="15.75" customHeight="1" x14ac:dyDescent="0.2">
      <c r="C284" s="217">
        <v>42933</v>
      </c>
      <c r="D284" s="185">
        <v>0.47916666666666669</v>
      </c>
      <c r="E284" s="215">
        <v>7</v>
      </c>
      <c r="F284" s="222">
        <v>7.63</v>
      </c>
      <c r="G284" s="190">
        <v>85.2</v>
      </c>
      <c r="H284" s="218">
        <v>20.7</v>
      </c>
      <c r="J284" s="1"/>
      <c r="K284" s="1"/>
      <c r="L284" s="33"/>
    </row>
    <row r="285" spans="3:12" ht="15.75" customHeight="1" x14ac:dyDescent="0.2">
      <c r="C285" s="217">
        <v>42933</v>
      </c>
      <c r="D285" s="185">
        <v>0.47916666666666669</v>
      </c>
      <c r="E285" s="215">
        <v>8</v>
      </c>
      <c r="F285" s="222">
        <v>7.82</v>
      </c>
      <c r="G285" s="190">
        <v>86.2</v>
      </c>
      <c r="H285" s="218">
        <v>20.100000000000001</v>
      </c>
      <c r="J285" s="1"/>
      <c r="K285" s="1"/>
      <c r="L285" s="33"/>
    </row>
    <row r="286" spans="3:12" ht="15.75" customHeight="1" x14ac:dyDescent="0.2">
      <c r="C286" s="217">
        <v>42933</v>
      </c>
      <c r="D286" s="185">
        <v>0.47916666666666669</v>
      </c>
      <c r="E286" s="215">
        <v>9</v>
      </c>
      <c r="F286" s="222">
        <v>8.01</v>
      </c>
      <c r="G286" s="190">
        <v>87.4</v>
      </c>
      <c r="H286" s="218">
        <v>19.5</v>
      </c>
      <c r="J286" s="1"/>
      <c r="K286" s="1"/>
      <c r="L286" s="33"/>
    </row>
    <row r="287" spans="3:12" ht="15.75" customHeight="1" x14ac:dyDescent="0.2">
      <c r="C287" s="217"/>
      <c r="F287" s="222"/>
      <c r="J287" s="1"/>
      <c r="K287" s="1"/>
      <c r="L287" s="33"/>
    </row>
    <row r="288" spans="3:12" ht="15.75" customHeight="1" x14ac:dyDescent="0.2">
      <c r="C288" s="16">
        <v>42968</v>
      </c>
      <c r="D288" s="12">
        <v>0.4861111111111111</v>
      </c>
      <c r="F288" s="222"/>
      <c r="J288" s="1">
        <v>11.25</v>
      </c>
      <c r="K288" s="1">
        <v>11.25</v>
      </c>
      <c r="L288" s="33"/>
    </row>
    <row r="289" spans="3:12" ht="15.75" customHeight="1" x14ac:dyDescent="0.2">
      <c r="C289" s="16">
        <v>42968</v>
      </c>
      <c r="D289" s="12">
        <v>0.49305555555555558</v>
      </c>
      <c r="E289" s="3">
        <v>0.1</v>
      </c>
      <c r="F289" s="24">
        <v>7.3</v>
      </c>
      <c r="G289" s="7">
        <v>84.1</v>
      </c>
      <c r="H289" s="7">
        <v>22.5</v>
      </c>
      <c r="L289" s="33"/>
    </row>
    <row r="290" spans="3:12" ht="15.75" customHeight="1" x14ac:dyDescent="0.2">
      <c r="C290" s="16">
        <v>42968</v>
      </c>
      <c r="D290" s="12">
        <v>0.49305555555555558</v>
      </c>
      <c r="E290" s="3">
        <v>1</v>
      </c>
      <c r="F290" s="24">
        <v>7.3</v>
      </c>
      <c r="G290" s="7">
        <v>84.1</v>
      </c>
      <c r="H290" s="7">
        <v>22.4</v>
      </c>
      <c r="L290" s="33"/>
    </row>
    <row r="291" spans="3:12" ht="15.75" customHeight="1" x14ac:dyDescent="0.2">
      <c r="C291" s="16">
        <v>42968</v>
      </c>
      <c r="D291" s="12">
        <v>0.49305555555555558</v>
      </c>
      <c r="E291" s="3">
        <v>2</v>
      </c>
      <c r="F291" s="24">
        <v>7.31</v>
      </c>
      <c r="G291" s="7">
        <v>84</v>
      </c>
      <c r="H291" s="7">
        <v>22.3</v>
      </c>
      <c r="L291" s="33"/>
    </row>
    <row r="292" spans="3:12" ht="15.75" customHeight="1" x14ac:dyDescent="0.2">
      <c r="C292" s="16">
        <v>42968</v>
      </c>
      <c r="D292" s="12">
        <v>0.49305555555555558</v>
      </c>
      <c r="E292" s="3">
        <v>3</v>
      </c>
      <c r="F292" s="24">
        <v>7.29</v>
      </c>
      <c r="G292" s="7">
        <v>83.9</v>
      </c>
      <c r="H292" s="7">
        <v>22.3</v>
      </c>
      <c r="L292" s="33"/>
    </row>
    <row r="293" spans="3:12" ht="15.75" customHeight="1" x14ac:dyDescent="0.2">
      <c r="C293" s="16">
        <v>42968</v>
      </c>
      <c r="D293" s="12">
        <v>0.49305555555555558</v>
      </c>
      <c r="E293" s="3">
        <v>4</v>
      </c>
      <c r="F293" s="24">
        <v>7.28</v>
      </c>
      <c r="G293" s="7">
        <v>83.6</v>
      </c>
      <c r="H293" s="7">
        <v>22.2</v>
      </c>
      <c r="L293" s="33"/>
    </row>
    <row r="294" spans="3:12" ht="15.75" customHeight="1" x14ac:dyDescent="0.2">
      <c r="C294" s="16">
        <v>42968</v>
      </c>
      <c r="D294" s="12">
        <v>0.49305555555555558</v>
      </c>
      <c r="E294" s="3">
        <v>5</v>
      </c>
      <c r="F294" s="24">
        <v>7.28</v>
      </c>
      <c r="G294" s="7">
        <v>83.4</v>
      </c>
      <c r="H294" s="7">
        <v>22.1</v>
      </c>
      <c r="L294" s="33"/>
    </row>
    <row r="295" spans="3:12" ht="15.75" customHeight="1" x14ac:dyDescent="0.2">
      <c r="C295" s="16">
        <v>42968</v>
      </c>
      <c r="D295" s="12">
        <v>0.49305555555555558</v>
      </c>
      <c r="E295" s="3">
        <v>6</v>
      </c>
      <c r="F295" s="24">
        <v>7.25</v>
      </c>
      <c r="G295" s="7">
        <v>83</v>
      </c>
      <c r="H295" s="7">
        <v>22.1</v>
      </c>
      <c r="L295" s="33"/>
    </row>
    <row r="296" spans="3:12" ht="15.75" customHeight="1" x14ac:dyDescent="0.2">
      <c r="C296" s="16">
        <v>42968</v>
      </c>
      <c r="D296" s="12">
        <v>0.49305555555555558</v>
      </c>
      <c r="E296" s="3">
        <v>7</v>
      </c>
      <c r="F296" s="24">
        <v>7.21</v>
      </c>
      <c r="G296" s="7">
        <v>82.6</v>
      </c>
      <c r="H296" s="7">
        <v>22.1</v>
      </c>
      <c r="L296" s="33"/>
    </row>
    <row r="297" spans="3:12" ht="15.75" customHeight="1" x14ac:dyDescent="0.2">
      <c r="C297" s="16"/>
      <c r="D297" s="12"/>
      <c r="E297" s="3"/>
      <c r="F297" s="24"/>
      <c r="G297" s="7"/>
      <c r="H297" s="7"/>
      <c r="L297" s="33"/>
    </row>
    <row r="298" spans="3:12" ht="15.75" customHeight="1" x14ac:dyDescent="0.2">
      <c r="C298" s="16">
        <v>43003</v>
      </c>
      <c r="D298" s="12">
        <v>0.4861111111111111</v>
      </c>
      <c r="E298" s="3"/>
      <c r="F298" s="24"/>
      <c r="G298" s="7"/>
      <c r="H298" s="7"/>
      <c r="J298">
        <v>9</v>
      </c>
      <c r="K298">
        <v>10</v>
      </c>
      <c r="L298" s="33"/>
    </row>
    <row r="299" spans="3:12" ht="15.75" customHeight="1" x14ac:dyDescent="0.2">
      <c r="C299" s="16">
        <v>43003</v>
      </c>
      <c r="D299" s="12">
        <v>0.49305555555555558</v>
      </c>
      <c r="E299" s="3">
        <v>0.1</v>
      </c>
      <c r="F299" s="24">
        <v>8.09</v>
      </c>
      <c r="G299" s="7">
        <v>82.8</v>
      </c>
      <c r="H299" s="7">
        <v>16.5</v>
      </c>
      <c r="L299" s="33"/>
    </row>
    <row r="300" spans="3:12" ht="15.75" customHeight="1" x14ac:dyDescent="0.2">
      <c r="C300" s="16">
        <v>43003</v>
      </c>
      <c r="D300" s="12">
        <v>0.49305555555555558</v>
      </c>
      <c r="E300" s="3">
        <v>1</v>
      </c>
      <c r="F300" s="24">
        <v>8.06</v>
      </c>
      <c r="G300" s="7">
        <v>82.6</v>
      </c>
      <c r="H300" s="7">
        <v>16.5</v>
      </c>
      <c r="L300" s="33"/>
    </row>
    <row r="301" spans="3:12" ht="15.75" customHeight="1" x14ac:dyDescent="0.2">
      <c r="C301" s="16">
        <v>43003</v>
      </c>
      <c r="D301" s="12">
        <v>0.49305555555555558</v>
      </c>
      <c r="E301" s="3">
        <v>2</v>
      </c>
      <c r="F301" s="24">
        <v>8.0399999999999991</v>
      </c>
      <c r="G301" s="7">
        <v>82.3</v>
      </c>
      <c r="H301" s="7">
        <v>16.5</v>
      </c>
      <c r="L301" s="33"/>
    </row>
    <row r="302" spans="3:12" ht="15.75" customHeight="1" x14ac:dyDescent="0.2">
      <c r="C302" s="16">
        <v>43003</v>
      </c>
      <c r="D302" s="12">
        <v>0.49305555555555558</v>
      </c>
      <c r="E302" s="3">
        <v>3</v>
      </c>
      <c r="F302" s="24">
        <v>8.0299999999999994</v>
      </c>
      <c r="G302" s="7">
        <v>82.2</v>
      </c>
      <c r="H302" s="7">
        <v>16.5</v>
      </c>
      <c r="L302" s="33"/>
    </row>
    <row r="303" spans="3:12" ht="15.75" customHeight="1" x14ac:dyDescent="0.2">
      <c r="C303" s="16">
        <v>43003</v>
      </c>
      <c r="D303" s="12">
        <v>0.49305555555555558</v>
      </c>
      <c r="E303" s="3">
        <v>4</v>
      </c>
      <c r="F303" s="24">
        <v>8.01</v>
      </c>
      <c r="G303" s="7">
        <v>82</v>
      </c>
      <c r="H303" s="7">
        <v>16.5</v>
      </c>
      <c r="L303" s="33"/>
    </row>
    <row r="304" spans="3:12" ht="15.75" customHeight="1" x14ac:dyDescent="0.2">
      <c r="C304" s="16">
        <v>43003</v>
      </c>
      <c r="D304" s="12">
        <v>0.49305555555555558</v>
      </c>
      <c r="E304" s="3">
        <v>5</v>
      </c>
      <c r="F304" s="24">
        <v>7.99</v>
      </c>
      <c r="G304" s="7">
        <v>81.8</v>
      </c>
      <c r="H304" s="7">
        <v>16.5</v>
      </c>
      <c r="L304" s="33"/>
    </row>
    <row r="305" spans="3:12" ht="15.75" customHeight="1" x14ac:dyDescent="0.2">
      <c r="C305" s="16">
        <v>43003</v>
      </c>
      <c r="D305" s="12">
        <v>0.49305555555555558</v>
      </c>
      <c r="E305" s="3">
        <v>6</v>
      </c>
      <c r="F305" s="24">
        <v>7.96</v>
      </c>
      <c r="G305" s="7">
        <v>81.599999999999994</v>
      </c>
      <c r="H305" s="7">
        <v>16.5</v>
      </c>
      <c r="L305" s="33"/>
    </row>
    <row r="306" spans="3:12" ht="15.75" customHeight="1" x14ac:dyDescent="0.2">
      <c r="C306" s="16">
        <v>43003</v>
      </c>
      <c r="D306" s="12">
        <v>0.49305555555555558</v>
      </c>
      <c r="E306" s="3">
        <v>7</v>
      </c>
      <c r="F306" s="24">
        <v>7.96</v>
      </c>
      <c r="G306" s="7">
        <v>81.2</v>
      </c>
      <c r="H306" s="7">
        <v>16.399999999999999</v>
      </c>
      <c r="L306" s="33"/>
    </row>
    <row r="307" spans="3:12" ht="15.75" customHeight="1" x14ac:dyDescent="0.2">
      <c r="C307" s="16">
        <v>43003</v>
      </c>
      <c r="D307" s="12">
        <v>0.49305555555555558</v>
      </c>
      <c r="E307" s="3">
        <v>8</v>
      </c>
      <c r="F307" s="24">
        <v>7.9</v>
      </c>
      <c r="G307" s="7">
        <v>80.7</v>
      </c>
      <c r="H307" s="7">
        <v>16.399999999999999</v>
      </c>
      <c r="L307" s="33"/>
    </row>
    <row r="308" spans="3:12" ht="15.75" customHeight="1" x14ac:dyDescent="0.2">
      <c r="C308" s="16">
        <v>43003</v>
      </c>
      <c r="D308" s="12">
        <v>0.49305555555555558</v>
      </c>
      <c r="E308" s="3">
        <v>9</v>
      </c>
      <c r="F308" s="24">
        <v>7.86</v>
      </c>
      <c r="G308" s="7">
        <v>80.2</v>
      </c>
      <c r="H308" s="7">
        <v>16.399999999999999</v>
      </c>
      <c r="L308" s="33"/>
    </row>
    <row r="309" spans="3:12" ht="15.75" customHeight="1" x14ac:dyDescent="0.2">
      <c r="C309" s="16">
        <v>43003</v>
      </c>
      <c r="D309" s="12">
        <v>0.49305555555555558</v>
      </c>
      <c r="E309" s="3">
        <v>10</v>
      </c>
      <c r="F309" s="24">
        <v>7.82</v>
      </c>
      <c r="G309" s="7">
        <v>79.8</v>
      </c>
      <c r="H309" s="7">
        <v>16.399999999999999</v>
      </c>
      <c r="L309" s="33"/>
    </row>
    <row r="310" spans="3:12" ht="15.75" customHeight="1" x14ac:dyDescent="0.2">
      <c r="C310" s="16"/>
      <c r="D310" s="12"/>
      <c r="E310" s="3"/>
      <c r="F310" s="24"/>
      <c r="G310" s="7"/>
      <c r="H310" s="7"/>
      <c r="L310" s="33"/>
    </row>
    <row r="311" spans="3:12" ht="15.75" customHeight="1" x14ac:dyDescent="0.2">
      <c r="C311" s="16">
        <v>43024</v>
      </c>
      <c r="D311" s="12">
        <v>0.47222222222222227</v>
      </c>
      <c r="E311" s="3"/>
      <c r="F311" s="24"/>
      <c r="G311" s="7"/>
      <c r="H311" s="7"/>
      <c r="J311">
        <v>9</v>
      </c>
      <c r="K311">
        <v>11</v>
      </c>
      <c r="L311" s="33"/>
    </row>
    <row r="312" spans="3:12" ht="15.75" customHeight="1" x14ac:dyDescent="0.2">
      <c r="C312" s="16">
        <v>43024</v>
      </c>
      <c r="D312" s="12">
        <v>0.47222222222222227</v>
      </c>
      <c r="E312" s="3">
        <v>0.1</v>
      </c>
      <c r="F312" s="24">
        <v>8.59</v>
      </c>
      <c r="G312" s="7">
        <v>81.3</v>
      </c>
      <c r="H312" s="7">
        <v>12.9</v>
      </c>
      <c r="L312" s="33"/>
    </row>
    <row r="313" spans="3:12" ht="15.75" customHeight="1" x14ac:dyDescent="0.2">
      <c r="C313" s="16">
        <v>43024</v>
      </c>
      <c r="D313" s="12">
        <v>0.47222222222222227</v>
      </c>
      <c r="E313" s="3">
        <v>1</v>
      </c>
      <c r="F313" s="24">
        <v>8.56</v>
      </c>
      <c r="G313" s="7">
        <v>80.900000000000006</v>
      </c>
      <c r="H313" s="7">
        <v>12.8</v>
      </c>
      <c r="L313" s="33"/>
    </row>
    <row r="314" spans="3:12" ht="15.75" customHeight="1" x14ac:dyDescent="0.2">
      <c r="C314" s="16">
        <v>43024</v>
      </c>
      <c r="D314" s="12">
        <v>0.47222222222222227</v>
      </c>
      <c r="E314" s="3">
        <v>2</v>
      </c>
      <c r="F314" s="24">
        <v>8.56</v>
      </c>
      <c r="G314" s="7">
        <v>80.7</v>
      </c>
      <c r="H314" s="7">
        <v>12.7</v>
      </c>
      <c r="L314" s="33"/>
    </row>
    <row r="315" spans="3:12" ht="15.75" customHeight="1" x14ac:dyDescent="0.2">
      <c r="C315" s="16">
        <v>43024</v>
      </c>
      <c r="D315" s="12">
        <v>0.47222222222222227</v>
      </c>
      <c r="E315" s="3">
        <v>3</v>
      </c>
      <c r="F315" s="24">
        <v>8.5500000000000007</v>
      </c>
      <c r="G315" s="7">
        <v>80.599999999999994</v>
      </c>
      <c r="H315" s="7">
        <v>12.7</v>
      </c>
      <c r="L315" s="33"/>
    </row>
    <row r="316" spans="3:12" ht="15.75" customHeight="1" x14ac:dyDescent="0.2">
      <c r="C316" s="16">
        <v>43024</v>
      </c>
      <c r="D316" s="12">
        <v>0.47222222222222227</v>
      </c>
      <c r="E316" s="3">
        <v>4</v>
      </c>
      <c r="F316" s="24">
        <v>8.5299999999999994</v>
      </c>
      <c r="G316" s="7">
        <v>80.3</v>
      </c>
      <c r="H316" s="7">
        <v>12.7</v>
      </c>
      <c r="L316" s="33"/>
    </row>
    <row r="317" spans="3:12" ht="15.75" customHeight="1" x14ac:dyDescent="0.2">
      <c r="C317" s="16">
        <v>43024</v>
      </c>
      <c r="D317" s="12">
        <v>0.47222222222222227</v>
      </c>
      <c r="E317" s="3">
        <v>5</v>
      </c>
      <c r="F317" s="24">
        <v>8.5</v>
      </c>
      <c r="G317" s="7">
        <v>80.099999999999994</v>
      </c>
      <c r="H317" s="7">
        <v>12.7</v>
      </c>
      <c r="L317" s="33"/>
    </row>
    <row r="318" spans="3:12" ht="15.75" customHeight="1" x14ac:dyDescent="0.2">
      <c r="C318" s="16">
        <v>43024</v>
      </c>
      <c r="D318" s="12">
        <v>0.47222222222222227</v>
      </c>
      <c r="E318" s="3">
        <v>6</v>
      </c>
      <c r="F318" s="24">
        <v>8.5</v>
      </c>
      <c r="G318" s="7">
        <v>80</v>
      </c>
      <c r="H318" s="7">
        <v>12.6</v>
      </c>
      <c r="L318" s="33"/>
    </row>
    <row r="319" spans="3:12" ht="15.75" customHeight="1" x14ac:dyDescent="0.2">
      <c r="C319" s="16">
        <v>43024</v>
      </c>
      <c r="D319" s="12">
        <v>0.47222222222222227</v>
      </c>
      <c r="E319" s="3">
        <v>7</v>
      </c>
      <c r="F319" s="24">
        <v>8.5</v>
      </c>
      <c r="G319" s="7">
        <v>79.900000000000006</v>
      </c>
      <c r="H319" s="7">
        <v>12.6</v>
      </c>
      <c r="L319" s="33"/>
    </row>
    <row r="320" spans="3:12" ht="15.75" customHeight="1" x14ac:dyDescent="0.2">
      <c r="C320" s="16">
        <v>43024</v>
      </c>
      <c r="D320" s="12">
        <v>0.47222222222222227</v>
      </c>
      <c r="E320" s="3">
        <v>8</v>
      </c>
      <c r="F320" s="24">
        <v>8.49</v>
      </c>
      <c r="G320" s="7">
        <v>79.900000000000006</v>
      </c>
      <c r="H320" s="7">
        <v>12.6</v>
      </c>
      <c r="L320" s="33"/>
    </row>
    <row r="321" spans="3:12" ht="15.75" customHeight="1" x14ac:dyDescent="0.2">
      <c r="C321" s="16">
        <v>43024</v>
      </c>
      <c r="D321" s="12">
        <v>0.47222222222222227</v>
      </c>
      <c r="E321" s="3">
        <v>9</v>
      </c>
      <c r="F321" s="24">
        <v>8.49</v>
      </c>
      <c r="G321" s="7">
        <v>79.900000000000006</v>
      </c>
      <c r="H321" s="7">
        <v>12.6</v>
      </c>
      <c r="L321" s="33"/>
    </row>
    <row r="322" spans="3:12" ht="15.75" customHeight="1" x14ac:dyDescent="0.2">
      <c r="C322" s="16">
        <v>43024</v>
      </c>
      <c r="D322" s="12">
        <v>0.47222222222222227</v>
      </c>
      <c r="E322" s="3">
        <v>10</v>
      </c>
      <c r="F322" s="222">
        <v>8.39</v>
      </c>
      <c r="G322" s="190">
        <v>79</v>
      </c>
      <c r="H322" s="7">
        <v>12.6</v>
      </c>
      <c r="J322" s="1"/>
      <c r="K322" s="1"/>
      <c r="L322" s="33"/>
    </row>
    <row r="323" spans="3:12" ht="15.75" customHeight="1" x14ac:dyDescent="0.2">
      <c r="C323" s="217"/>
      <c r="J323" s="1"/>
      <c r="K323" s="1"/>
      <c r="L323" s="33"/>
    </row>
    <row r="324" spans="3:12" ht="15.75" customHeight="1" x14ac:dyDescent="0.2">
      <c r="L324" s="33"/>
    </row>
    <row r="325" spans="3:12" ht="15.75" customHeight="1" x14ac:dyDescent="0.2">
      <c r="C325" s="205">
        <v>42534</v>
      </c>
      <c r="D325" s="185">
        <v>0.44722222222222219</v>
      </c>
      <c r="J325">
        <v>7</v>
      </c>
      <c r="K325">
        <v>8.5</v>
      </c>
      <c r="L325" s="33"/>
    </row>
    <row r="326" spans="3:12" ht="15.75" customHeight="1" x14ac:dyDescent="0.2">
      <c r="C326" s="205">
        <v>42534</v>
      </c>
      <c r="D326" s="185">
        <v>0.4548611111111111</v>
      </c>
      <c r="E326">
        <v>0.1</v>
      </c>
      <c r="F326" s="221">
        <v>7.5</v>
      </c>
      <c r="G326" s="190">
        <v>83.8</v>
      </c>
      <c r="H326" s="190">
        <v>17.899999999999999</v>
      </c>
      <c r="L326" s="33"/>
    </row>
    <row r="327" spans="3:12" ht="15.75" customHeight="1" x14ac:dyDescent="0.2">
      <c r="C327" s="205">
        <v>42534</v>
      </c>
      <c r="D327" s="185">
        <v>0.4548611111111111</v>
      </c>
      <c r="E327">
        <v>1</v>
      </c>
      <c r="F327" s="221">
        <v>7.95</v>
      </c>
      <c r="G327" s="190">
        <v>83.8</v>
      </c>
      <c r="H327" s="190">
        <v>17.899999999999999</v>
      </c>
      <c r="L327" s="33"/>
    </row>
    <row r="328" spans="3:12" ht="15.75" customHeight="1" x14ac:dyDescent="0.2">
      <c r="C328" s="205">
        <v>42534</v>
      </c>
      <c r="D328" s="185">
        <v>0.4548611111111111</v>
      </c>
      <c r="E328">
        <v>2</v>
      </c>
      <c r="F328" s="221">
        <v>7.96</v>
      </c>
      <c r="G328" s="190">
        <v>83.7</v>
      </c>
      <c r="H328" s="190">
        <v>17.899999999999999</v>
      </c>
      <c r="L328" s="33"/>
    </row>
    <row r="329" spans="3:12" ht="15.75" customHeight="1" x14ac:dyDescent="0.2">
      <c r="C329" s="205">
        <v>42534</v>
      </c>
      <c r="D329" s="185">
        <v>0.4548611111111111</v>
      </c>
      <c r="E329">
        <v>3</v>
      </c>
      <c r="F329" s="221">
        <v>7.92</v>
      </c>
      <c r="G329" s="190">
        <v>82.8</v>
      </c>
      <c r="H329" s="190">
        <v>17.5</v>
      </c>
      <c r="L329" s="33"/>
    </row>
    <row r="330" spans="3:12" ht="15.75" customHeight="1" x14ac:dyDescent="0.2">
      <c r="C330" s="205">
        <v>42534</v>
      </c>
      <c r="D330" s="185">
        <v>0.4548611111111111</v>
      </c>
      <c r="E330">
        <v>4</v>
      </c>
      <c r="F330" s="221">
        <v>7.97</v>
      </c>
      <c r="G330" s="190">
        <v>82.8</v>
      </c>
      <c r="H330" s="190">
        <v>17.2</v>
      </c>
      <c r="L330" s="33"/>
    </row>
    <row r="331" spans="3:12" ht="15.75" customHeight="1" x14ac:dyDescent="0.2">
      <c r="C331" s="205">
        <v>42534</v>
      </c>
      <c r="D331" s="185">
        <v>0.4548611111111111</v>
      </c>
      <c r="E331">
        <v>5</v>
      </c>
      <c r="F331" s="221">
        <v>8.6199999999999992</v>
      </c>
      <c r="G331" s="190">
        <v>82.8</v>
      </c>
      <c r="H331" s="190">
        <v>16.899999999999999</v>
      </c>
      <c r="L331" s="33"/>
    </row>
    <row r="332" spans="3:12" ht="15.75" customHeight="1" x14ac:dyDescent="0.2">
      <c r="C332" s="205">
        <v>42534</v>
      </c>
      <c r="D332" s="185">
        <v>0.4548611111111111</v>
      </c>
      <c r="E332">
        <v>6</v>
      </c>
      <c r="F332" s="221">
        <v>7.99</v>
      </c>
      <c r="G332" s="190">
        <v>80.8</v>
      </c>
      <c r="H332" s="190">
        <v>16.100000000000001</v>
      </c>
      <c r="L332" s="33"/>
    </row>
    <row r="333" spans="3:12" ht="15.75" customHeight="1" x14ac:dyDescent="0.2">
      <c r="C333" s="205">
        <v>42534</v>
      </c>
      <c r="D333" s="185">
        <v>0.4548611111111111</v>
      </c>
      <c r="E333">
        <v>7</v>
      </c>
      <c r="F333" s="221">
        <v>7.98</v>
      </c>
      <c r="G333" s="190">
        <v>78.099999999999994</v>
      </c>
      <c r="H333" s="190">
        <v>14.6</v>
      </c>
      <c r="L333" s="33"/>
    </row>
    <row r="334" spans="3:12" ht="15.75" customHeight="1" x14ac:dyDescent="0.2">
      <c r="L334" s="33"/>
    </row>
    <row r="335" spans="3:12" ht="15.75" customHeight="1" x14ac:dyDescent="0.2">
      <c r="C335" s="16">
        <v>42597</v>
      </c>
      <c r="D335" s="12">
        <v>0.4201388888888889</v>
      </c>
      <c r="J335" s="1">
        <v>9</v>
      </c>
      <c r="K335" s="1">
        <v>9</v>
      </c>
      <c r="L335" s="33"/>
    </row>
    <row r="336" spans="3:12" ht="15.75" customHeight="1" x14ac:dyDescent="0.2">
      <c r="C336" s="16">
        <v>42597</v>
      </c>
      <c r="D336" s="12">
        <v>0.4236111111111111</v>
      </c>
      <c r="E336" s="3">
        <v>0.1</v>
      </c>
      <c r="F336" s="221">
        <v>7.64</v>
      </c>
      <c r="G336" s="190">
        <v>87.4</v>
      </c>
      <c r="H336" s="216">
        <v>22</v>
      </c>
      <c r="L336" s="33"/>
    </row>
    <row r="337" spans="3:12" ht="15.75" customHeight="1" x14ac:dyDescent="0.2">
      <c r="C337" s="16">
        <v>42597</v>
      </c>
      <c r="D337" s="12">
        <v>0.4236111111111111</v>
      </c>
      <c r="E337" s="3">
        <v>1</v>
      </c>
      <c r="F337" s="221">
        <v>7.64</v>
      </c>
      <c r="G337" s="190">
        <v>87.2</v>
      </c>
      <c r="H337" s="216">
        <v>21.9</v>
      </c>
      <c r="L337" s="33"/>
    </row>
    <row r="338" spans="3:12" ht="15.75" customHeight="1" x14ac:dyDescent="0.2">
      <c r="C338" s="16">
        <v>42597</v>
      </c>
      <c r="D338" s="12">
        <v>0.4236111111111111</v>
      </c>
      <c r="E338" s="3">
        <v>2</v>
      </c>
      <c r="F338" s="221">
        <v>7.61</v>
      </c>
      <c r="G338" s="190">
        <v>86.9</v>
      </c>
      <c r="H338" s="216">
        <v>21.9</v>
      </c>
      <c r="L338" s="33"/>
    </row>
    <row r="339" spans="3:12" ht="15.75" customHeight="1" x14ac:dyDescent="0.2">
      <c r="C339" s="16">
        <v>42597</v>
      </c>
      <c r="D339" s="12">
        <v>0.4236111111111111</v>
      </c>
      <c r="E339" s="3">
        <v>3</v>
      </c>
      <c r="F339" s="221">
        <v>7.6</v>
      </c>
      <c r="G339" s="190">
        <v>86.8</v>
      </c>
      <c r="H339" s="216">
        <v>21.9</v>
      </c>
      <c r="L339" s="33"/>
    </row>
    <row r="340" spans="3:12" ht="15.75" customHeight="1" x14ac:dyDescent="0.2">
      <c r="C340" s="16">
        <v>42597</v>
      </c>
      <c r="D340" s="12">
        <v>0.4236111111111111</v>
      </c>
      <c r="E340" s="3">
        <v>4</v>
      </c>
      <c r="F340" s="221">
        <v>7.6</v>
      </c>
      <c r="G340" s="190">
        <v>86.6</v>
      </c>
      <c r="H340" s="216">
        <v>21.8</v>
      </c>
      <c r="L340" s="33"/>
    </row>
    <row r="341" spans="3:12" ht="15.75" customHeight="1" x14ac:dyDescent="0.2">
      <c r="C341" s="16">
        <v>42597</v>
      </c>
      <c r="D341" s="12">
        <v>0.4236111111111111</v>
      </c>
      <c r="E341" s="3">
        <v>5</v>
      </c>
      <c r="F341" s="221">
        <v>7.58</v>
      </c>
      <c r="G341" s="190">
        <v>86.2</v>
      </c>
      <c r="H341" s="216">
        <v>21.7</v>
      </c>
      <c r="L341" s="33"/>
    </row>
    <row r="342" spans="3:12" ht="15.75" customHeight="1" x14ac:dyDescent="0.2">
      <c r="C342" s="16">
        <v>42597</v>
      </c>
      <c r="D342" s="12">
        <v>0.4236111111111111</v>
      </c>
      <c r="E342" s="3">
        <v>6</v>
      </c>
      <c r="F342" s="221">
        <v>7.56</v>
      </c>
      <c r="G342" s="190">
        <v>85.7</v>
      </c>
      <c r="H342" s="216">
        <v>21.5</v>
      </c>
      <c r="L342" s="33"/>
    </row>
    <row r="343" spans="3:12" ht="15.75" customHeight="1" x14ac:dyDescent="0.2">
      <c r="C343" s="16">
        <v>42597</v>
      </c>
      <c r="D343" s="12">
        <v>0.4236111111111111</v>
      </c>
      <c r="E343" s="3">
        <v>7</v>
      </c>
      <c r="F343" s="221">
        <v>7.53</v>
      </c>
      <c r="G343" s="190">
        <v>84.3</v>
      </c>
      <c r="H343" s="216">
        <v>20.9</v>
      </c>
      <c r="L343" s="33"/>
    </row>
    <row r="344" spans="3:12" ht="15.75" customHeight="1" x14ac:dyDescent="0.2">
      <c r="C344" s="16">
        <v>42597</v>
      </c>
      <c r="D344" s="12">
        <v>0.4236111111111111</v>
      </c>
      <c r="E344" s="3">
        <v>8</v>
      </c>
      <c r="F344" s="221">
        <v>7.57</v>
      </c>
      <c r="G344" s="190">
        <v>84.2</v>
      </c>
      <c r="H344" s="216">
        <v>20.6</v>
      </c>
      <c r="L344" s="33"/>
    </row>
    <row r="345" spans="3:12" ht="15.75" customHeight="1" x14ac:dyDescent="0.2">
      <c r="E345" s="3"/>
      <c r="L345" s="33"/>
    </row>
    <row r="346" spans="3:12" ht="15.75" customHeight="1" x14ac:dyDescent="0.2">
      <c r="C346" s="16">
        <v>42206</v>
      </c>
      <c r="D346" s="12">
        <v>0.45833333333333331</v>
      </c>
      <c r="E346" s="3"/>
      <c r="J346" s="1">
        <v>6</v>
      </c>
      <c r="K346" s="1">
        <v>7</v>
      </c>
      <c r="L346" s="33"/>
    </row>
    <row r="347" spans="3:12" ht="15.75" customHeight="1" x14ac:dyDescent="0.2">
      <c r="C347" s="16">
        <v>42206</v>
      </c>
      <c r="D347" s="12">
        <v>0.45833333333333331</v>
      </c>
      <c r="E347" s="3">
        <v>0.1</v>
      </c>
      <c r="F347" s="222">
        <v>7.28</v>
      </c>
      <c r="G347" s="216">
        <v>85.3</v>
      </c>
      <c r="H347" s="216">
        <v>23.1</v>
      </c>
      <c r="L347" s="33"/>
    </row>
    <row r="348" spans="3:12" ht="15.75" customHeight="1" x14ac:dyDescent="0.2">
      <c r="C348" s="16">
        <v>42206</v>
      </c>
      <c r="D348" s="12">
        <v>0.45833333333333331</v>
      </c>
      <c r="E348" s="3">
        <v>1</v>
      </c>
      <c r="F348" s="222">
        <v>7.28</v>
      </c>
      <c r="G348" s="216">
        <v>85.1</v>
      </c>
      <c r="H348" s="216">
        <v>23.2</v>
      </c>
      <c r="L348" s="33"/>
    </row>
    <row r="349" spans="3:12" ht="15.75" customHeight="1" x14ac:dyDescent="0.2">
      <c r="C349" s="16">
        <v>42206</v>
      </c>
      <c r="D349" s="12">
        <v>0.45833333333333331</v>
      </c>
      <c r="E349" s="3">
        <v>2</v>
      </c>
      <c r="F349" s="222">
        <v>7.26</v>
      </c>
      <c r="G349" s="190">
        <v>85</v>
      </c>
      <c r="H349" s="216">
        <v>23.2</v>
      </c>
      <c r="L349" s="33"/>
    </row>
    <row r="350" spans="3:12" ht="15.75" customHeight="1" x14ac:dyDescent="0.2">
      <c r="C350" s="16">
        <v>42206</v>
      </c>
      <c r="D350" s="12">
        <v>0.45833333333333331</v>
      </c>
      <c r="E350" s="3">
        <v>3</v>
      </c>
      <c r="F350" s="222">
        <v>7.25</v>
      </c>
      <c r="G350" s="190">
        <v>84.9</v>
      </c>
      <c r="H350" s="216">
        <v>23.2</v>
      </c>
      <c r="L350" s="33"/>
    </row>
    <row r="351" spans="3:12" ht="15.75" customHeight="1" x14ac:dyDescent="0.2">
      <c r="C351" s="16">
        <v>42206</v>
      </c>
      <c r="D351" s="12">
        <v>0.45833333333333331</v>
      </c>
      <c r="E351" s="3">
        <v>4</v>
      </c>
      <c r="F351" s="222">
        <v>7.26</v>
      </c>
      <c r="G351" s="190">
        <v>84.8</v>
      </c>
      <c r="H351" s="216">
        <v>23.2</v>
      </c>
      <c r="L351" s="33"/>
    </row>
    <row r="352" spans="3:12" ht="15.75" customHeight="1" x14ac:dyDescent="0.2">
      <c r="C352" s="16">
        <v>42206</v>
      </c>
      <c r="D352" s="12">
        <v>0.45833333333333331</v>
      </c>
      <c r="E352" s="3">
        <v>5</v>
      </c>
      <c r="F352" s="222">
        <v>7.25</v>
      </c>
      <c r="G352" s="190">
        <v>84.7</v>
      </c>
      <c r="H352" s="216">
        <v>23.1</v>
      </c>
      <c r="L352" s="33"/>
    </row>
    <row r="353" spans="3:12" ht="15.75" customHeight="1" x14ac:dyDescent="0.2">
      <c r="C353" s="16">
        <v>42206</v>
      </c>
      <c r="D353" s="12">
        <v>0.45833333333333331</v>
      </c>
      <c r="E353" s="3">
        <v>6</v>
      </c>
      <c r="F353" s="222">
        <v>7.24</v>
      </c>
      <c r="G353" s="216">
        <v>84.5</v>
      </c>
      <c r="H353" s="216">
        <v>23.1</v>
      </c>
      <c r="L353" s="33"/>
    </row>
    <row r="354" spans="3:12" ht="15.75" customHeight="1" x14ac:dyDescent="0.2">
      <c r="C354" s="16">
        <v>42206</v>
      </c>
      <c r="D354" s="12">
        <v>0.45833333333333331</v>
      </c>
      <c r="E354" s="3">
        <v>7</v>
      </c>
      <c r="F354" s="222">
        <v>7.24</v>
      </c>
      <c r="G354" s="216">
        <v>84.6</v>
      </c>
      <c r="H354" s="216">
        <v>23.1</v>
      </c>
      <c r="L354" s="33"/>
    </row>
    <row r="355" spans="3:12" ht="15.75" customHeight="1" x14ac:dyDescent="0.2">
      <c r="E355" s="3"/>
      <c r="L355" s="33"/>
    </row>
    <row r="356" spans="3:12" ht="15.75" customHeight="1" x14ac:dyDescent="0.2">
      <c r="E356" s="3"/>
      <c r="L356" s="33"/>
    </row>
    <row r="357" spans="3:12" ht="15.75" customHeight="1" x14ac:dyDescent="0.2">
      <c r="C357" s="16">
        <v>41841</v>
      </c>
      <c r="D357" s="12">
        <v>0.47222222222222227</v>
      </c>
      <c r="E357" s="3"/>
      <c r="J357" s="1">
        <v>6</v>
      </c>
      <c r="K357" s="1">
        <v>8</v>
      </c>
      <c r="L357" s="33"/>
    </row>
    <row r="358" spans="3:12" ht="15.75" customHeight="1" x14ac:dyDescent="0.2">
      <c r="C358" s="16">
        <v>41841</v>
      </c>
      <c r="D358" s="12">
        <v>0.47222222222222227</v>
      </c>
      <c r="E358" s="3">
        <v>0.1</v>
      </c>
      <c r="F358" s="222">
        <v>7.6</v>
      </c>
      <c r="G358" s="190">
        <v>87</v>
      </c>
      <c r="H358" s="216">
        <v>21.9</v>
      </c>
      <c r="L358" s="33"/>
    </row>
    <row r="359" spans="3:12" ht="15.75" customHeight="1" x14ac:dyDescent="0.2">
      <c r="C359" s="16">
        <v>41841</v>
      </c>
      <c r="D359" s="12">
        <v>0.47222222222222227</v>
      </c>
      <c r="E359" s="3">
        <v>1</v>
      </c>
      <c r="F359" s="222">
        <v>7.51</v>
      </c>
      <c r="G359" s="190">
        <v>86.1</v>
      </c>
      <c r="H359" s="216">
        <v>22.2</v>
      </c>
      <c r="L359" s="33"/>
    </row>
    <row r="360" spans="3:12" ht="15.75" customHeight="1" x14ac:dyDescent="0.2">
      <c r="C360" s="16">
        <v>41841</v>
      </c>
      <c r="D360" s="12">
        <v>0.47222222222222227</v>
      </c>
      <c r="E360" s="3">
        <v>2</v>
      </c>
      <c r="F360" s="222">
        <v>7.47</v>
      </c>
      <c r="G360" s="190">
        <v>85.7</v>
      </c>
      <c r="H360" s="216">
        <v>22.2</v>
      </c>
      <c r="L360" s="33"/>
    </row>
    <row r="361" spans="3:12" ht="15.75" customHeight="1" x14ac:dyDescent="0.2">
      <c r="C361" s="16">
        <v>41841</v>
      </c>
      <c r="D361" s="12">
        <v>0.47222222222222227</v>
      </c>
      <c r="E361" s="3">
        <v>3</v>
      </c>
      <c r="F361" s="222">
        <v>7.45</v>
      </c>
      <c r="G361" s="190">
        <v>85.5</v>
      </c>
      <c r="H361" s="216">
        <v>22.2</v>
      </c>
      <c r="L361" s="33"/>
    </row>
    <row r="362" spans="3:12" ht="15.75" customHeight="1" x14ac:dyDescent="0.2">
      <c r="C362" s="16">
        <v>41841</v>
      </c>
      <c r="D362" s="12">
        <v>0.47222222222222227</v>
      </c>
      <c r="E362" s="3">
        <v>4</v>
      </c>
      <c r="F362" s="222">
        <v>7.45</v>
      </c>
      <c r="G362" s="190">
        <v>85.4</v>
      </c>
      <c r="H362" s="216">
        <v>22.1</v>
      </c>
      <c r="L362" s="33"/>
    </row>
    <row r="363" spans="3:12" ht="15.75" customHeight="1" x14ac:dyDescent="0.2">
      <c r="C363" s="16">
        <v>41841</v>
      </c>
      <c r="D363" s="12">
        <v>0.47222222222222227</v>
      </c>
      <c r="E363" s="3">
        <v>5</v>
      </c>
      <c r="F363" s="222">
        <v>7.44</v>
      </c>
      <c r="G363" s="190">
        <v>85.2</v>
      </c>
      <c r="H363" s="216">
        <v>22.1</v>
      </c>
      <c r="L363" s="33"/>
    </row>
    <row r="364" spans="3:12" ht="15.75" customHeight="1" x14ac:dyDescent="0.2">
      <c r="C364" s="16">
        <v>41841</v>
      </c>
      <c r="D364" s="12">
        <v>0.47222222222222227</v>
      </c>
      <c r="E364" s="3">
        <v>6</v>
      </c>
      <c r="F364" s="222">
        <v>7.43</v>
      </c>
      <c r="G364" s="190">
        <v>85</v>
      </c>
      <c r="H364" s="216">
        <v>22.1</v>
      </c>
      <c r="L364" s="33"/>
    </row>
    <row r="365" spans="3:12" ht="15.75" customHeight="1" x14ac:dyDescent="0.2">
      <c r="C365" s="16">
        <v>41841</v>
      </c>
      <c r="D365" s="12">
        <v>0.47222222222222227</v>
      </c>
      <c r="E365" s="3">
        <v>7</v>
      </c>
      <c r="F365" s="222">
        <v>7.41</v>
      </c>
      <c r="G365" s="190">
        <v>84.9</v>
      </c>
      <c r="H365" s="216">
        <v>22.1</v>
      </c>
      <c r="L365" s="33"/>
    </row>
    <row r="366" spans="3:12" ht="15.75" customHeight="1" x14ac:dyDescent="0.2">
      <c r="C366" s="16">
        <v>41841</v>
      </c>
      <c r="D366" s="12">
        <v>0.47222222222222227</v>
      </c>
      <c r="E366" s="3">
        <v>8</v>
      </c>
      <c r="F366" s="222">
        <v>7.37</v>
      </c>
      <c r="G366" s="190">
        <v>83.1</v>
      </c>
      <c r="H366" s="216">
        <v>22</v>
      </c>
      <c r="L366" s="33"/>
    </row>
    <row r="367" spans="3:12" ht="15.75" customHeight="1" x14ac:dyDescent="0.2">
      <c r="E367" s="3"/>
      <c r="F367" s="222"/>
      <c r="H367" s="216"/>
      <c r="L367" s="33"/>
    </row>
    <row r="368" spans="3:12" ht="15.75" customHeight="1" x14ac:dyDescent="0.2">
      <c r="C368" s="205">
        <v>41897</v>
      </c>
      <c r="D368" s="185">
        <v>0.43402777777777773</v>
      </c>
      <c r="E368" s="3"/>
      <c r="F368" s="222"/>
      <c r="H368" s="216"/>
      <c r="J368">
        <v>7.5</v>
      </c>
      <c r="K368">
        <v>7.5</v>
      </c>
      <c r="L368" s="33"/>
    </row>
    <row r="369" spans="3:12" ht="15.75" customHeight="1" x14ac:dyDescent="0.2">
      <c r="C369" s="205">
        <v>41897</v>
      </c>
      <c r="D369" s="185">
        <v>0.43402777777777773</v>
      </c>
      <c r="E369" s="3">
        <v>0.1</v>
      </c>
      <c r="F369" s="222">
        <v>8.27</v>
      </c>
      <c r="G369" s="190">
        <v>85.4</v>
      </c>
      <c r="H369" s="223">
        <v>16.899999999999999</v>
      </c>
      <c r="L369" s="33"/>
    </row>
    <row r="370" spans="3:12" ht="15.75" customHeight="1" x14ac:dyDescent="0.2">
      <c r="C370" s="205">
        <v>41897</v>
      </c>
      <c r="D370" s="185">
        <v>0.43402777777777773</v>
      </c>
      <c r="E370" s="3">
        <v>1</v>
      </c>
      <c r="F370" s="222">
        <v>8.23</v>
      </c>
      <c r="G370" s="190">
        <v>85.3</v>
      </c>
      <c r="H370" s="223">
        <v>17.100000000000001</v>
      </c>
      <c r="L370" s="33"/>
    </row>
    <row r="371" spans="3:12" ht="15.75" customHeight="1" x14ac:dyDescent="0.2">
      <c r="C371" s="205">
        <v>41897</v>
      </c>
      <c r="D371" s="185">
        <v>0.43402777777777773</v>
      </c>
      <c r="E371" s="3">
        <v>2</v>
      </c>
      <c r="F371" s="222">
        <v>8.2200000000000006</v>
      </c>
      <c r="G371" s="190">
        <v>85.2</v>
      </c>
      <c r="H371" s="223">
        <v>17.100000000000001</v>
      </c>
      <c r="L371" s="33"/>
    </row>
    <row r="372" spans="3:12" ht="15.75" customHeight="1" x14ac:dyDescent="0.2">
      <c r="C372" s="205">
        <v>41897</v>
      </c>
      <c r="D372" s="185">
        <v>0.43402777777777773</v>
      </c>
      <c r="E372" s="3">
        <v>3</v>
      </c>
      <c r="F372" s="222">
        <v>8.1999999999999993</v>
      </c>
      <c r="G372" s="190">
        <v>85</v>
      </c>
      <c r="H372" s="223">
        <v>17.100000000000001</v>
      </c>
      <c r="L372" s="33"/>
    </row>
    <row r="373" spans="3:12" ht="15.75" customHeight="1" x14ac:dyDescent="0.2">
      <c r="C373" s="205">
        <v>41897</v>
      </c>
      <c r="D373" s="185">
        <v>0.43402777777777773</v>
      </c>
      <c r="E373" s="3">
        <v>4</v>
      </c>
      <c r="F373" s="222">
        <v>8.1999999999999993</v>
      </c>
      <c r="G373" s="190">
        <v>84.8</v>
      </c>
      <c r="H373" s="223">
        <v>17</v>
      </c>
      <c r="L373" s="33"/>
    </row>
    <row r="374" spans="3:12" ht="15.75" customHeight="1" x14ac:dyDescent="0.2">
      <c r="C374" s="205">
        <v>41897</v>
      </c>
      <c r="D374" s="185">
        <v>0.43402777777777773</v>
      </c>
      <c r="E374" s="3">
        <v>5</v>
      </c>
      <c r="F374" s="222">
        <v>8.18</v>
      </c>
      <c r="G374" s="190">
        <v>84.6</v>
      </c>
      <c r="H374" s="223">
        <v>17</v>
      </c>
      <c r="L374" s="33"/>
    </row>
    <row r="375" spans="3:12" ht="15.75" customHeight="1" x14ac:dyDescent="0.2">
      <c r="C375" s="205">
        <v>41897</v>
      </c>
      <c r="D375" s="185">
        <v>0.43402777777777773</v>
      </c>
      <c r="E375" s="3">
        <v>6</v>
      </c>
      <c r="F375" s="222">
        <v>8.14</v>
      </c>
      <c r="G375" s="190">
        <v>84.2</v>
      </c>
      <c r="H375" s="223">
        <v>17</v>
      </c>
      <c r="L375" s="33"/>
    </row>
    <row r="376" spans="3:12" ht="15.75" customHeight="1" x14ac:dyDescent="0.2">
      <c r="C376" s="205">
        <v>41897</v>
      </c>
      <c r="D376" s="185">
        <v>0.43402777777777773</v>
      </c>
      <c r="E376" s="3">
        <v>7</v>
      </c>
      <c r="F376" s="222">
        <v>8.1300000000000008</v>
      </c>
      <c r="G376" s="190">
        <v>83.9</v>
      </c>
      <c r="H376" s="223">
        <v>16.899999999999999</v>
      </c>
      <c r="L376" s="33"/>
    </row>
    <row r="377" spans="3:12" ht="15.75" customHeight="1" x14ac:dyDescent="0.2">
      <c r="E377" s="3"/>
      <c r="F377" s="222"/>
      <c r="H377" s="223"/>
      <c r="L377" s="33"/>
    </row>
    <row r="378" spans="3:12" ht="15.75" customHeight="1" x14ac:dyDescent="0.2">
      <c r="E378" s="3"/>
      <c r="F378" s="222"/>
      <c r="H378" s="216"/>
      <c r="L378" s="33"/>
    </row>
    <row r="379" spans="3:12" ht="15.75" customHeight="1" x14ac:dyDescent="0.2">
      <c r="C379" s="205">
        <v>41429</v>
      </c>
      <c r="D379" s="185">
        <v>0.47569444444444442</v>
      </c>
      <c r="E379" s="3"/>
      <c r="J379">
        <v>5</v>
      </c>
      <c r="K379">
        <v>6</v>
      </c>
      <c r="L379" s="33"/>
    </row>
    <row r="380" spans="3:12" ht="15.75" customHeight="1" x14ac:dyDescent="0.2">
      <c r="C380" s="205">
        <v>41429</v>
      </c>
      <c r="D380" s="185">
        <v>0.47569444444444442</v>
      </c>
      <c r="E380" s="3">
        <v>0.1</v>
      </c>
      <c r="F380" s="221">
        <v>9.41</v>
      </c>
      <c r="G380" s="190">
        <v>94.2</v>
      </c>
      <c r="H380" s="190">
        <v>15.8</v>
      </c>
      <c r="L380" s="33"/>
    </row>
    <row r="381" spans="3:12" ht="15.75" customHeight="1" x14ac:dyDescent="0.2">
      <c r="C381" s="205">
        <v>41429</v>
      </c>
      <c r="D381" s="185">
        <v>0.47569444444444442</v>
      </c>
      <c r="E381" s="3">
        <v>1</v>
      </c>
      <c r="F381" s="221">
        <v>9.59</v>
      </c>
      <c r="G381" s="190">
        <v>95.9</v>
      </c>
      <c r="H381" s="190">
        <v>15.4</v>
      </c>
      <c r="L381" s="33"/>
    </row>
    <row r="382" spans="3:12" ht="15.75" customHeight="1" x14ac:dyDescent="0.2">
      <c r="C382" s="205">
        <v>41429</v>
      </c>
      <c r="D382" s="185">
        <v>0.47569444444444442</v>
      </c>
      <c r="E382" s="3">
        <v>2</v>
      </c>
      <c r="F382" s="221">
        <v>9.64</v>
      </c>
      <c r="G382" s="190">
        <v>95.9</v>
      </c>
      <c r="H382" s="190">
        <v>15.3</v>
      </c>
      <c r="L382" s="33"/>
    </row>
    <row r="383" spans="3:12" ht="15.75" customHeight="1" x14ac:dyDescent="0.2">
      <c r="C383" s="205">
        <v>41429</v>
      </c>
      <c r="D383" s="185">
        <v>0.47569444444444442</v>
      </c>
      <c r="E383" s="3">
        <v>3</v>
      </c>
      <c r="F383" s="221">
        <v>9.48</v>
      </c>
      <c r="G383" s="190">
        <v>92.6</v>
      </c>
      <c r="H383" s="190">
        <v>14.8</v>
      </c>
      <c r="L383" s="33"/>
    </row>
    <row r="384" spans="3:12" ht="15.75" customHeight="1" x14ac:dyDescent="0.2">
      <c r="C384" s="205">
        <v>41429</v>
      </c>
      <c r="D384" s="185">
        <v>0.47569444444444442</v>
      </c>
      <c r="E384" s="3">
        <v>4</v>
      </c>
      <c r="F384" s="221">
        <v>9.66</v>
      </c>
      <c r="G384" s="190">
        <v>91.8</v>
      </c>
      <c r="H384" s="190">
        <v>13.2</v>
      </c>
      <c r="L384" s="33"/>
    </row>
    <row r="385" spans="3:12" ht="15.75" customHeight="1" x14ac:dyDescent="0.2">
      <c r="C385" s="205">
        <v>41429</v>
      </c>
      <c r="D385" s="185">
        <v>0.47569444444444442</v>
      </c>
      <c r="E385" s="3">
        <v>5</v>
      </c>
      <c r="F385" s="221">
        <v>9.81</v>
      </c>
      <c r="G385" s="190">
        <v>92.4</v>
      </c>
      <c r="H385" s="190">
        <v>11.5</v>
      </c>
      <c r="L385" s="33"/>
    </row>
    <row r="386" spans="3:12" ht="15.75" customHeight="1" x14ac:dyDescent="0.2">
      <c r="C386" s="205">
        <v>41429</v>
      </c>
      <c r="D386" s="185">
        <v>0.47569444444444442</v>
      </c>
      <c r="E386" s="3">
        <v>6</v>
      </c>
      <c r="F386" s="221">
        <v>9.77</v>
      </c>
      <c r="G386" s="190">
        <v>88.6</v>
      </c>
      <c r="H386" s="190">
        <v>11.2</v>
      </c>
      <c r="L386" s="33"/>
    </row>
    <row r="387" spans="3:12" ht="15.75" customHeight="1" x14ac:dyDescent="0.2">
      <c r="C387" s="205">
        <v>41429</v>
      </c>
      <c r="D387" s="185">
        <v>0.47569444444444442</v>
      </c>
      <c r="E387" s="3">
        <v>7</v>
      </c>
      <c r="F387" s="221">
        <v>9.67</v>
      </c>
      <c r="G387" s="190">
        <v>85.7</v>
      </c>
      <c r="H387" s="190">
        <v>10.5</v>
      </c>
      <c r="L387" s="33"/>
    </row>
    <row r="388" spans="3:12" ht="15.75" customHeight="1" x14ac:dyDescent="0.2">
      <c r="E388" s="3"/>
      <c r="L388" s="33"/>
    </row>
    <row r="389" spans="3:12" ht="15.75" customHeight="1" x14ac:dyDescent="0.2">
      <c r="C389" s="205">
        <v>41479</v>
      </c>
      <c r="D389" s="185">
        <v>0.46388888888888885</v>
      </c>
      <c r="E389" s="3"/>
      <c r="J389">
        <v>8</v>
      </c>
      <c r="K389">
        <v>8</v>
      </c>
      <c r="L389" s="33"/>
    </row>
    <row r="390" spans="3:12" ht="15.75" customHeight="1" x14ac:dyDescent="0.2">
      <c r="C390" s="205">
        <v>41479</v>
      </c>
      <c r="D390" s="185">
        <v>0.46388888888888885</v>
      </c>
      <c r="E390" s="3">
        <v>0.1</v>
      </c>
      <c r="F390" s="221">
        <v>7.12</v>
      </c>
      <c r="G390" s="190">
        <v>85</v>
      </c>
      <c r="H390" s="190">
        <v>25</v>
      </c>
      <c r="L390" s="33"/>
    </row>
    <row r="391" spans="3:12" ht="15.75" customHeight="1" x14ac:dyDescent="0.2">
      <c r="C391" s="205">
        <v>41479</v>
      </c>
      <c r="D391" s="185">
        <v>0.46388888888888885</v>
      </c>
      <c r="E391" s="3">
        <v>1</v>
      </c>
      <c r="F391" s="221">
        <v>7.19</v>
      </c>
      <c r="G391" s="190">
        <v>85.8</v>
      </c>
      <c r="H391" s="190">
        <v>24.3</v>
      </c>
      <c r="L391" s="33"/>
    </row>
    <row r="392" spans="3:12" ht="15.75" customHeight="1" x14ac:dyDescent="0.2">
      <c r="C392" s="205">
        <v>41479</v>
      </c>
      <c r="D392" s="185">
        <v>0.46388888888888885</v>
      </c>
      <c r="E392" s="3">
        <v>2</v>
      </c>
      <c r="F392" s="221">
        <v>7.2</v>
      </c>
      <c r="G392" s="190">
        <v>85.2</v>
      </c>
      <c r="H392" s="190">
        <v>23.9</v>
      </c>
      <c r="L392" s="33"/>
    </row>
    <row r="393" spans="3:12" ht="15.75" customHeight="1" x14ac:dyDescent="0.2">
      <c r="C393" s="205">
        <v>41479</v>
      </c>
      <c r="D393" s="185">
        <v>0.46388888888888885</v>
      </c>
      <c r="E393" s="3">
        <v>3</v>
      </c>
      <c r="F393" s="221">
        <v>7.17</v>
      </c>
      <c r="G393" s="190">
        <v>84.6</v>
      </c>
      <c r="H393" s="190">
        <v>23.6</v>
      </c>
      <c r="L393" s="33"/>
    </row>
    <row r="394" spans="3:12" ht="15.75" customHeight="1" x14ac:dyDescent="0.2">
      <c r="C394" s="205">
        <v>41479</v>
      </c>
      <c r="D394" s="185">
        <v>0.46388888888888885</v>
      </c>
      <c r="E394" s="3">
        <v>4</v>
      </c>
      <c r="F394" s="221">
        <v>7.14</v>
      </c>
      <c r="G394" s="190">
        <v>84</v>
      </c>
      <c r="H394" s="190">
        <v>23.5</v>
      </c>
      <c r="L394" s="33"/>
    </row>
    <row r="395" spans="3:12" ht="15.75" customHeight="1" x14ac:dyDescent="0.2">
      <c r="C395" s="205">
        <v>41479</v>
      </c>
      <c r="D395" s="185">
        <v>0.46388888888888885</v>
      </c>
      <c r="E395" s="3">
        <v>5</v>
      </c>
      <c r="F395" s="221">
        <v>7.21</v>
      </c>
      <c r="G395" s="190">
        <v>84.4</v>
      </c>
      <c r="H395" s="190">
        <v>23.3</v>
      </c>
      <c r="L395" s="33"/>
    </row>
    <row r="396" spans="3:12" ht="15.75" customHeight="1" x14ac:dyDescent="0.2">
      <c r="C396" s="205">
        <v>41479</v>
      </c>
      <c r="D396" s="185">
        <v>0.46388888888888885</v>
      </c>
      <c r="E396" s="3">
        <v>6</v>
      </c>
      <c r="F396" s="221">
        <v>7.21</v>
      </c>
      <c r="G396" s="190">
        <v>84.4</v>
      </c>
      <c r="H396" s="190">
        <v>23.3</v>
      </c>
      <c r="L396" s="33"/>
    </row>
    <row r="397" spans="3:12" ht="15.75" customHeight="1" x14ac:dyDescent="0.2">
      <c r="C397" s="205">
        <v>41479</v>
      </c>
      <c r="D397" s="185">
        <v>0.46388888888888885</v>
      </c>
      <c r="E397" s="3">
        <v>7</v>
      </c>
      <c r="F397" s="221">
        <v>7.25</v>
      </c>
      <c r="G397" s="190">
        <v>84.6</v>
      </c>
      <c r="H397" s="190">
        <v>23.1</v>
      </c>
      <c r="L397" s="33"/>
    </row>
    <row r="398" spans="3:12" ht="15.75" customHeight="1" x14ac:dyDescent="0.2">
      <c r="E398" s="3"/>
      <c r="L398" s="33"/>
    </row>
    <row r="399" spans="3:12" ht="15.75" customHeight="1" x14ac:dyDescent="0.2">
      <c r="C399" s="16">
        <v>41506</v>
      </c>
      <c r="D399" s="12">
        <v>0.5</v>
      </c>
      <c r="J399" s="1">
        <v>6.5</v>
      </c>
      <c r="K399" s="1">
        <v>8</v>
      </c>
    </row>
    <row r="400" spans="3:12" ht="15.75" customHeight="1" x14ac:dyDescent="0.2">
      <c r="C400" s="16">
        <v>41506</v>
      </c>
      <c r="D400" s="12">
        <v>0.5</v>
      </c>
      <c r="E400" s="3">
        <v>0.1</v>
      </c>
      <c r="F400" s="24">
        <v>7.2</v>
      </c>
      <c r="G400" s="7">
        <v>85</v>
      </c>
      <c r="H400" s="7">
        <v>25</v>
      </c>
    </row>
    <row r="401" spans="3:11" ht="15.75" customHeight="1" x14ac:dyDescent="0.2">
      <c r="C401" s="16">
        <v>41506</v>
      </c>
      <c r="D401" s="12">
        <v>0.5</v>
      </c>
      <c r="E401" s="3">
        <v>1</v>
      </c>
      <c r="F401" s="24">
        <v>7.17</v>
      </c>
      <c r="G401" s="7">
        <v>85</v>
      </c>
      <c r="H401" s="7">
        <v>23.9</v>
      </c>
    </row>
    <row r="402" spans="3:11" ht="15.75" customHeight="1" x14ac:dyDescent="0.2">
      <c r="C402" s="16">
        <v>41506</v>
      </c>
      <c r="D402" s="12">
        <v>0.5</v>
      </c>
      <c r="E402" s="3">
        <v>2</v>
      </c>
      <c r="F402" s="24">
        <v>7.11</v>
      </c>
      <c r="G402" s="7">
        <v>84.1</v>
      </c>
      <c r="H402" s="7">
        <v>23.7</v>
      </c>
    </row>
    <row r="403" spans="3:11" ht="15.75" customHeight="1" x14ac:dyDescent="0.2">
      <c r="C403" s="16">
        <v>41506</v>
      </c>
      <c r="D403" s="12">
        <v>0.5</v>
      </c>
      <c r="E403" s="3">
        <v>3</v>
      </c>
      <c r="F403" s="24">
        <v>7.09</v>
      </c>
      <c r="G403" s="7">
        <v>83.5</v>
      </c>
      <c r="H403" s="7">
        <v>23.6</v>
      </c>
    </row>
    <row r="404" spans="3:11" ht="15.75" customHeight="1" x14ac:dyDescent="0.2">
      <c r="C404" s="16">
        <v>41506</v>
      </c>
      <c r="D404" s="12">
        <v>0.5</v>
      </c>
      <c r="E404" s="3">
        <v>4</v>
      </c>
      <c r="F404" s="24">
        <v>7.06</v>
      </c>
      <c r="G404" s="7">
        <v>83.1</v>
      </c>
      <c r="H404" s="7">
        <v>23.5</v>
      </c>
    </row>
    <row r="405" spans="3:11" ht="15.75" customHeight="1" x14ac:dyDescent="0.2">
      <c r="C405" s="16">
        <v>41506</v>
      </c>
      <c r="D405" s="12">
        <v>0.5</v>
      </c>
      <c r="E405" s="3">
        <v>5</v>
      </c>
      <c r="F405" s="24">
        <v>7.06</v>
      </c>
      <c r="G405" s="7">
        <v>82.9</v>
      </c>
      <c r="H405" s="7">
        <v>23.4</v>
      </c>
    </row>
    <row r="406" spans="3:11" ht="15.75" customHeight="1" x14ac:dyDescent="0.2">
      <c r="C406" s="16">
        <v>41506</v>
      </c>
      <c r="D406" s="12">
        <v>0.5</v>
      </c>
      <c r="E406" s="3">
        <v>6</v>
      </c>
      <c r="F406" s="24">
        <v>7.02</v>
      </c>
      <c r="G406" s="7">
        <v>82.3</v>
      </c>
      <c r="H406" s="7">
        <v>23.4</v>
      </c>
    </row>
    <row r="407" spans="3:11" ht="15.75" customHeight="1" x14ac:dyDescent="0.2">
      <c r="C407" s="16">
        <v>41506</v>
      </c>
      <c r="D407" s="12">
        <v>0.5</v>
      </c>
      <c r="E407" s="3">
        <v>7</v>
      </c>
      <c r="F407" s="24">
        <v>6.99</v>
      </c>
      <c r="G407" s="7">
        <v>81.599999999999994</v>
      </c>
      <c r="H407" s="7">
        <v>23.1</v>
      </c>
    </row>
    <row r="408" spans="3:11" ht="15.75" customHeight="1" x14ac:dyDescent="0.2"/>
    <row r="409" spans="3:11" ht="15.75" customHeight="1" x14ac:dyDescent="0.2">
      <c r="C409" s="205">
        <v>41057</v>
      </c>
      <c r="D409" s="185">
        <v>0.4513888888888889</v>
      </c>
      <c r="J409">
        <v>6</v>
      </c>
      <c r="K409">
        <v>7</v>
      </c>
    </row>
    <row r="410" spans="3:11" ht="15.75" customHeight="1" x14ac:dyDescent="0.2">
      <c r="C410" s="205">
        <v>41057</v>
      </c>
      <c r="D410" s="185">
        <v>0.4513888888888889</v>
      </c>
      <c r="E410" s="215">
        <v>0.1</v>
      </c>
      <c r="F410" s="220">
        <v>16</v>
      </c>
      <c r="G410" s="190">
        <v>142</v>
      </c>
      <c r="H410" s="218">
        <v>10.4</v>
      </c>
    </row>
    <row r="411" spans="3:11" ht="15.75" customHeight="1" x14ac:dyDescent="0.2">
      <c r="C411" s="205">
        <v>41057</v>
      </c>
      <c r="D411" s="185">
        <v>0.4513888888888889</v>
      </c>
      <c r="E411" s="215">
        <v>1</v>
      </c>
      <c r="F411" s="220">
        <v>15.7</v>
      </c>
      <c r="G411" s="190">
        <v>138</v>
      </c>
      <c r="H411" s="218">
        <v>10.1</v>
      </c>
    </row>
    <row r="412" spans="3:11" ht="15.75" customHeight="1" x14ac:dyDescent="0.2">
      <c r="C412" s="205">
        <v>41057</v>
      </c>
      <c r="D412" s="185">
        <v>0.4513888888888889</v>
      </c>
      <c r="E412" s="215">
        <v>2</v>
      </c>
      <c r="F412" s="220">
        <v>15.5</v>
      </c>
      <c r="G412" s="190">
        <v>137</v>
      </c>
      <c r="H412" s="218">
        <v>9.9</v>
      </c>
    </row>
    <row r="413" spans="3:11" ht="15.75" customHeight="1" x14ac:dyDescent="0.2">
      <c r="C413" s="205">
        <v>41057</v>
      </c>
      <c r="D413" s="185">
        <v>0.4513888888888889</v>
      </c>
      <c r="E413" s="215">
        <v>3</v>
      </c>
      <c r="F413" s="220">
        <v>15.5</v>
      </c>
      <c r="G413" s="190">
        <v>135.69999999999999</v>
      </c>
      <c r="H413" s="218">
        <v>9.6999999999999993</v>
      </c>
    </row>
    <row r="414" spans="3:11" ht="15.75" customHeight="1" x14ac:dyDescent="0.2">
      <c r="C414" s="205">
        <v>41057</v>
      </c>
      <c r="D414" s="185">
        <v>0.4513888888888889</v>
      </c>
      <c r="E414" s="215">
        <v>4</v>
      </c>
      <c r="F414" s="220">
        <v>15.45</v>
      </c>
      <c r="G414" s="190">
        <v>135.4</v>
      </c>
      <c r="H414" s="218">
        <v>9.6999999999999993</v>
      </c>
    </row>
    <row r="415" spans="3:11" ht="15.75" customHeight="1" x14ac:dyDescent="0.2">
      <c r="C415" s="205">
        <v>41057</v>
      </c>
      <c r="D415" s="185">
        <v>0.4513888888888889</v>
      </c>
      <c r="E415" s="215">
        <v>5</v>
      </c>
      <c r="F415" s="220">
        <v>15.4</v>
      </c>
      <c r="G415" s="190">
        <v>134.4</v>
      </c>
      <c r="H415" s="218">
        <v>9.6</v>
      </c>
    </row>
    <row r="416" spans="3:11" ht="15.75" customHeight="1" x14ac:dyDescent="0.2">
      <c r="C416" s="205">
        <v>41057</v>
      </c>
      <c r="D416" s="185">
        <v>0.4513888888888889</v>
      </c>
      <c r="E416" s="215">
        <v>6</v>
      </c>
      <c r="F416" s="220">
        <v>15.3</v>
      </c>
      <c r="G416" s="190">
        <v>134.5</v>
      </c>
      <c r="H416" s="218">
        <v>9.6</v>
      </c>
    </row>
    <row r="417" spans="3:11" ht="15.75" customHeight="1" x14ac:dyDescent="0.2">
      <c r="C417" s="205">
        <v>41057</v>
      </c>
      <c r="D417" s="185">
        <v>0.4513888888888889</v>
      </c>
      <c r="E417" s="215">
        <v>7</v>
      </c>
      <c r="F417" s="220">
        <v>13.4</v>
      </c>
      <c r="G417" s="190">
        <v>122.3</v>
      </c>
      <c r="H417" s="218">
        <v>9.6</v>
      </c>
    </row>
    <row r="418" spans="3:11" ht="15.75" customHeight="1" x14ac:dyDescent="0.2"/>
    <row r="419" spans="3:11" ht="15.75" customHeight="1" x14ac:dyDescent="0.2">
      <c r="C419" s="205">
        <v>41080</v>
      </c>
      <c r="D419" s="185">
        <v>0.44791666666666669</v>
      </c>
      <c r="J419">
        <v>4.5</v>
      </c>
      <c r="K419">
        <v>6.5</v>
      </c>
    </row>
    <row r="420" spans="3:11" ht="15.75" customHeight="1" x14ac:dyDescent="0.2">
      <c r="C420" s="205">
        <v>41080</v>
      </c>
      <c r="D420" s="185">
        <v>0.44791666666666669</v>
      </c>
      <c r="E420" s="215">
        <v>0.1</v>
      </c>
      <c r="F420" s="220">
        <v>11</v>
      </c>
      <c r="G420" s="190">
        <v>104</v>
      </c>
      <c r="H420" s="218">
        <v>13.8</v>
      </c>
    </row>
    <row r="421" spans="3:11" ht="15.75" customHeight="1" x14ac:dyDescent="0.2">
      <c r="C421" s="205">
        <v>41080</v>
      </c>
      <c r="D421" s="185">
        <v>0.44791666666666669</v>
      </c>
      <c r="E421" s="215">
        <v>1</v>
      </c>
      <c r="F421" s="220">
        <v>11</v>
      </c>
      <c r="G421" s="190">
        <v>102.5</v>
      </c>
      <c r="H421" s="218">
        <v>13.3</v>
      </c>
    </row>
    <row r="422" spans="3:11" ht="15.75" customHeight="1" x14ac:dyDescent="0.2">
      <c r="C422" s="205">
        <v>41080</v>
      </c>
      <c r="D422" s="185">
        <v>0.44791666666666669</v>
      </c>
      <c r="E422" s="215">
        <v>2</v>
      </c>
      <c r="F422" s="220">
        <v>11</v>
      </c>
      <c r="G422" s="190">
        <v>102</v>
      </c>
      <c r="H422" s="218">
        <v>12.6</v>
      </c>
    </row>
    <row r="423" spans="3:11" ht="15.75" customHeight="1" x14ac:dyDescent="0.2">
      <c r="C423" s="205">
        <v>41080</v>
      </c>
      <c r="D423" s="185">
        <v>0.44791666666666669</v>
      </c>
      <c r="E423" s="215">
        <v>3</v>
      </c>
      <c r="F423" s="220">
        <v>10.7</v>
      </c>
      <c r="G423" s="190">
        <v>101.5</v>
      </c>
      <c r="H423" s="218">
        <v>12.5</v>
      </c>
    </row>
    <row r="424" spans="3:11" ht="15.75" customHeight="1" x14ac:dyDescent="0.2">
      <c r="C424" s="205">
        <v>41080</v>
      </c>
      <c r="D424" s="185">
        <v>0.44791666666666669</v>
      </c>
      <c r="E424" s="215">
        <v>4</v>
      </c>
      <c r="F424" s="220">
        <v>10.8</v>
      </c>
      <c r="G424" s="190">
        <v>98</v>
      </c>
      <c r="H424" s="218">
        <v>12.4</v>
      </c>
    </row>
    <row r="425" spans="3:11" ht="15.75" customHeight="1" x14ac:dyDescent="0.2">
      <c r="C425" s="205">
        <v>41080</v>
      </c>
      <c r="D425" s="185">
        <v>0.44791666666666669</v>
      </c>
      <c r="E425" s="215">
        <v>5</v>
      </c>
      <c r="F425" s="220">
        <v>10.7</v>
      </c>
      <c r="G425" s="190">
        <v>97.5</v>
      </c>
      <c r="H425" s="218">
        <v>12.2</v>
      </c>
    </row>
    <row r="426" spans="3:11" ht="15.75" customHeight="1" x14ac:dyDescent="0.2">
      <c r="C426" s="205">
        <v>41080</v>
      </c>
      <c r="D426" s="185">
        <v>0.44791666666666669</v>
      </c>
      <c r="E426" s="215">
        <v>6</v>
      </c>
      <c r="F426" s="220">
        <v>10.6</v>
      </c>
      <c r="G426" s="190">
        <v>97</v>
      </c>
      <c r="H426" s="218">
        <v>12.1</v>
      </c>
    </row>
    <row r="427" spans="3:11" ht="15.75" customHeight="1" x14ac:dyDescent="0.2">
      <c r="C427" s="205">
        <v>41080</v>
      </c>
      <c r="D427" s="185">
        <v>0.44791666666666669</v>
      </c>
      <c r="E427" s="215">
        <v>7</v>
      </c>
      <c r="F427" s="220">
        <v>10.7</v>
      </c>
      <c r="G427" s="190">
        <v>97</v>
      </c>
      <c r="H427" s="218">
        <v>11.9</v>
      </c>
    </row>
    <row r="428" spans="3:11" ht="15.75" customHeight="1" x14ac:dyDescent="0.2">
      <c r="C428" s="205">
        <v>41080</v>
      </c>
      <c r="D428" s="185">
        <v>0.44791666666666669</v>
      </c>
      <c r="E428" s="215">
        <v>8</v>
      </c>
      <c r="F428" s="220">
        <v>10.3</v>
      </c>
      <c r="G428" s="190">
        <v>94</v>
      </c>
      <c r="H428" s="218">
        <v>11.8</v>
      </c>
    </row>
    <row r="429" spans="3:11" ht="15.75" customHeight="1" x14ac:dyDescent="0.2"/>
    <row r="430" spans="3:11" ht="15.75" customHeight="1" x14ac:dyDescent="0.2">
      <c r="C430" s="205">
        <v>41115</v>
      </c>
      <c r="D430" s="185">
        <v>0.44791666666666669</v>
      </c>
      <c r="J430">
        <v>6.5</v>
      </c>
      <c r="K430">
        <v>8</v>
      </c>
    </row>
    <row r="431" spans="3:11" ht="15.75" customHeight="1" x14ac:dyDescent="0.2">
      <c r="C431" s="205">
        <v>41115</v>
      </c>
      <c r="D431" s="185">
        <v>0.44791666666666669</v>
      </c>
      <c r="E431" s="215">
        <v>0.1</v>
      </c>
      <c r="F431" s="220">
        <v>8.9</v>
      </c>
      <c r="G431" s="190">
        <v>97</v>
      </c>
      <c r="H431" s="218">
        <v>20.100000000000001</v>
      </c>
    </row>
    <row r="432" spans="3:11" ht="15.75" customHeight="1" x14ac:dyDescent="0.2">
      <c r="C432" s="205">
        <v>41115</v>
      </c>
      <c r="D432" s="185">
        <v>0.44791666666666669</v>
      </c>
      <c r="E432" s="215">
        <v>1</v>
      </c>
      <c r="F432" s="220">
        <v>8.8000000000000007</v>
      </c>
      <c r="G432" s="190">
        <v>94.5</v>
      </c>
      <c r="H432" s="218">
        <v>20</v>
      </c>
    </row>
    <row r="433" spans="3:11" ht="15.75" customHeight="1" x14ac:dyDescent="0.2">
      <c r="C433" s="205">
        <v>41115</v>
      </c>
      <c r="D433" s="185">
        <v>0.44791666666666669</v>
      </c>
      <c r="E433" s="215">
        <v>2</v>
      </c>
      <c r="F433" s="220">
        <v>8.6999999999999993</v>
      </c>
      <c r="G433" s="190">
        <v>95.2</v>
      </c>
      <c r="H433" s="218">
        <v>20</v>
      </c>
    </row>
    <row r="434" spans="3:11" ht="15.75" customHeight="1" x14ac:dyDescent="0.2">
      <c r="C434" s="205">
        <v>41115</v>
      </c>
      <c r="D434" s="185">
        <v>0.44791666666666669</v>
      </c>
      <c r="E434" s="215">
        <v>3</v>
      </c>
      <c r="F434" s="220">
        <v>8.6999999999999993</v>
      </c>
      <c r="G434" s="190">
        <v>93.4</v>
      </c>
      <c r="H434" s="218">
        <v>19.399999999999999</v>
      </c>
    </row>
    <row r="435" spans="3:11" ht="15.75" customHeight="1" x14ac:dyDescent="0.2">
      <c r="C435" s="205">
        <v>41115</v>
      </c>
      <c r="D435" s="185">
        <v>0.44791666666666669</v>
      </c>
      <c r="E435" s="215">
        <v>4</v>
      </c>
      <c r="F435" s="220">
        <v>8.9</v>
      </c>
      <c r="G435" s="190">
        <v>97.5</v>
      </c>
      <c r="H435" s="218">
        <v>18.600000000000001</v>
      </c>
    </row>
    <row r="436" spans="3:11" ht="15.75" customHeight="1" x14ac:dyDescent="0.2">
      <c r="C436" s="205">
        <v>41115</v>
      </c>
      <c r="D436" s="185">
        <v>0.44791666666666669</v>
      </c>
      <c r="E436" s="215">
        <v>5</v>
      </c>
      <c r="F436" s="220">
        <v>9.1999999999999993</v>
      </c>
      <c r="G436" s="190">
        <v>96.6</v>
      </c>
      <c r="H436" s="218">
        <v>18.100000000000001</v>
      </c>
    </row>
    <row r="437" spans="3:11" ht="15.75" customHeight="1" x14ac:dyDescent="0.2">
      <c r="C437" s="205">
        <v>41115</v>
      </c>
      <c r="D437" s="185">
        <v>0.44791666666666669</v>
      </c>
      <c r="E437" s="215">
        <v>6</v>
      </c>
      <c r="F437" s="220">
        <v>9.3000000000000007</v>
      </c>
      <c r="G437" s="190">
        <v>96.8</v>
      </c>
      <c r="H437" s="218">
        <v>17.399999999999999</v>
      </c>
    </row>
    <row r="438" spans="3:11" ht="15.75" customHeight="1" x14ac:dyDescent="0.2">
      <c r="C438" s="205">
        <v>41115</v>
      </c>
      <c r="D438" s="185">
        <v>0.44791666666666669</v>
      </c>
      <c r="E438" s="215">
        <v>7</v>
      </c>
      <c r="F438" s="220">
        <v>9.35</v>
      </c>
      <c r="G438" s="190">
        <v>96.8</v>
      </c>
      <c r="H438" s="218">
        <v>17.100000000000001</v>
      </c>
    </row>
    <row r="439" spans="3:11" ht="15.75" customHeight="1" x14ac:dyDescent="0.2">
      <c r="C439" s="205">
        <v>41115</v>
      </c>
      <c r="D439" s="185">
        <v>0.44791666666666669</v>
      </c>
      <c r="E439" s="215">
        <v>8</v>
      </c>
      <c r="F439" s="220">
        <v>8.5</v>
      </c>
      <c r="G439" s="190">
        <v>90.5</v>
      </c>
      <c r="H439" s="218">
        <v>16.2</v>
      </c>
    </row>
    <row r="440" spans="3:11" ht="15.75" customHeight="1" x14ac:dyDescent="0.2"/>
    <row r="441" spans="3:11" ht="15.75" customHeight="1" x14ac:dyDescent="0.2">
      <c r="C441" s="16">
        <v>41147</v>
      </c>
      <c r="D441" s="12">
        <v>0.4375</v>
      </c>
      <c r="J441" s="1">
        <v>8.5</v>
      </c>
      <c r="K441" s="1">
        <v>8.5</v>
      </c>
    </row>
    <row r="442" spans="3:11" ht="15.75" customHeight="1" x14ac:dyDescent="0.2">
      <c r="C442" s="16">
        <v>41147</v>
      </c>
      <c r="D442" s="12">
        <v>0.4375</v>
      </c>
      <c r="E442" s="3">
        <v>0.1</v>
      </c>
      <c r="F442" s="24">
        <v>8.2100000000000009</v>
      </c>
      <c r="G442" s="7">
        <v>87</v>
      </c>
      <c r="H442" s="7">
        <v>21.1</v>
      </c>
    </row>
    <row r="443" spans="3:11" ht="15.75" customHeight="1" x14ac:dyDescent="0.2">
      <c r="C443" s="16">
        <v>41147</v>
      </c>
      <c r="D443" s="12">
        <v>0.4375</v>
      </c>
      <c r="E443" s="3">
        <v>1</v>
      </c>
      <c r="F443" s="24">
        <v>7.92</v>
      </c>
      <c r="G443" s="7">
        <v>87</v>
      </c>
      <c r="H443" s="7">
        <v>21.1</v>
      </c>
    </row>
    <row r="444" spans="3:11" ht="15.75" customHeight="1" x14ac:dyDescent="0.2">
      <c r="C444" s="16">
        <v>41147</v>
      </c>
      <c r="D444" s="12">
        <v>0.4375</v>
      </c>
      <c r="E444" s="3">
        <v>2</v>
      </c>
      <c r="F444" s="24">
        <v>7.75</v>
      </c>
      <c r="G444" s="190">
        <v>86</v>
      </c>
      <c r="H444" s="7">
        <v>21.1</v>
      </c>
    </row>
    <row r="445" spans="3:11" ht="15.75" customHeight="1" x14ac:dyDescent="0.2">
      <c r="C445" s="16">
        <v>41147</v>
      </c>
      <c r="D445" s="12">
        <v>0.4375</v>
      </c>
      <c r="E445" s="3">
        <v>3</v>
      </c>
      <c r="F445" s="24">
        <v>7.7</v>
      </c>
      <c r="G445" s="190">
        <v>87.2</v>
      </c>
      <c r="H445" s="7">
        <v>21</v>
      </c>
    </row>
    <row r="446" spans="3:11" ht="15.75" customHeight="1" x14ac:dyDescent="0.2">
      <c r="C446" s="16">
        <v>41147</v>
      </c>
      <c r="D446" s="12">
        <v>0.4375</v>
      </c>
      <c r="E446" s="3">
        <v>4</v>
      </c>
      <c r="F446" s="24">
        <v>7.83</v>
      </c>
      <c r="G446" s="190">
        <v>87</v>
      </c>
      <c r="H446" s="7">
        <v>21</v>
      </c>
    </row>
    <row r="447" spans="3:11" ht="15.75" customHeight="1" x14ac:dyDescent="0.2">
      <c r="C447" s="16">
        <v>41147</v>
      </c>
      <c r="D447" s="12">
        <v>0.4375</v>
      </c>
      <c r="E447" s="3">
        <v>5</v>
      </c>
      <c r="F447" s="24">
        <v>7.71</v>
      </c>
      <c r="G447" s="190">
        <v>84.7</v>
      </c>
      <c r="H447" s="7">
        <v>20.9</v>
      </c>
    </row>
    <row r="448" spans="3:11" ht="15.75" customHeight="1" x14ac:dyDescent="0.2">
      <c r="C448" s="16">
        <v>41147</v>
      </c>
      <c r="D448" s="12">
        <v>0.4375</v>
      </c>
      <c r="E448" s="3">
        <v>6</v>
      </c>
      <c r="F448" s="24">
        <v>7.76</v>
      </c>
      <c r="G448" s="190">
        <v>85.2</v>
      </c>
      <c r="H448" s="7">
        <v>20.9</v>
      </c>
    </row>
    <row r="449" spans="3:11" ht="15.75" customHeight="1" x14ac:dyDescent="0.2">
      <c r="C449" s="16">
        <v>41147</v>
      </c>
      <c r="D449" s="12">
        <v>0.4375</v>
      </c>
      <c r="E449" s="3">
        <v>7</v>
      </c>
      <c r="F449" s="24">
        <v>7.8</v>
      </c>
      <c r="G449" s="216">
        <v>84.2</v>
      </c>
      <c r="H449" s="7">
        <v>20.8</v>
      </c>
    </row>
    <row r="450" spans="3:11" ht="15.75" customHeight="1" x14ac:dyDescent="0.2">
      <c r="C450" s="16">
        <v>41147</v>
      </c>
      <c r="D450" s="12">
        <v>0.4375</v>
      </c>
      <c r="E450" s="3">
        <v>8</v>
      </c>
      <c r="F450" s="24">
        <v>7.75</v>
      </c>
      <c r="G450" s="216">
        <v>85.3</v>
      </c>
      <c r="H450" s="7">
        <v>20.7</v>
      </c>
    </row>
    <row r="451" spans="3:11" ht="15.75" customHeight="1" x14ac:dyDescent="0.2"/>
    <row r="452" spans="3:11" ht="15.75" customHeight="1" x14ac:dyDescent="0.2">
      <c r="C452" s="205">
        <v>40680</v>
      </c>
      <c r="D452" s="185">
        <v>0.47916666666666669</v>
      </c>
      <c r="J452">
        <v>4.5</v>
      </c>
      <c r="K452">
        <v>5.25</v>
      </c>
    </row>
    <row r="453" spans="3:11" ht="15.75" customHeight="1" x14ac:dyDescent="0.2">
      <c r="C453" s="205">
        <v>40680</v>
      </c>
      <c r="D453" s="185">
        <v>0.47916666666666669</v>
      </c>
      <c r="E453" s="215">
        <v>0.1</v>
      </c>
      <c r="H453" s="218">
        <v>6.6</v>
      </c>
    </row>
    <row r="454" spans="3:11" ht="15.75" customHeight="1" x14ac:dyDescent="0.2">
      <c r="C454" s="205">
        <v>40680</v>
      </c>
      <c r="D454" s="185">
        <v>0.47916666666666669</v>
      </c>
      <c r="E454" s="215">
        <v>1</v>
      </c>
      <c r="H454" s="218">
        <v>6.3</v>
      </c>
    </row>
    <row r="455" spans="3:11" ht="15.75" customHeight="1" x14ac:dyDescent="0.2">
      <c r="C455" s="205">
        <v>40680</v>
      </c>
      <c r="D455" s="185">
        <v>0.47916666666666669</v>
      </c>
      <c r="E455" s="215">
        <v>2</v>
      </c>
      <c r="H455" s="218">
        <v>6.1</v>
      </c>
    </row>
    <row r="456" spans="3:11" ht="15.75" customHeight="1" x14ac:dyDescent="0.2">
      <c r="C456" s="205">
        <v>40680</v>
      </c>
      <c r="D456" s="185">
        <v>0.47916666666666669</v>
      </c>
      <c r="E456" s="215">
        <v>3</v>
      </c>
      <c r="H456" s="218">
        <v>6</v>
      </c>
    </row>
    <row r="457" spans="3:11" ht="15.75" customHeight="1" x14ac:dyDescent="0.2">
      <c r="C457" s="205">
        <v>40680</v>
      </c>
      <c r="D457" s="185">
        <v>0.47916666666666669</v>
      </c>
      <c r="E457" s="215">
        <v>4</v>
      </c>
      <c r="H457" s="218">
        <v>6</v>
      </c>
    </row>
    <row r="458" spans="3:11" ht="15.75" customHeight="1" x14ac:dyDescent="0.2">
      <c r="C458" s="205">
        <v>40680</v>
      </c>
      <c r="D458" s="185">
        <v>0.47916666666666669</v>
      </c>
      <c r="E458" s="215">
        <v>5</v>
      </c>
      <c r="H458" s="218">
        <v>5.9</v>
      </c>
    </row>
    <row r="459" spans="3:11" ht="15.75" customHeight="1" x14ac:dyDescent="0.2">
      <c r="C459" s="205">
        <v>40680</v>
      </c>
      <c r="D459" s="185">
        <v>0.47916666666666669</v>
      </c>
      <c r="E459" s="215">
        <v>6</v>
      </c>
      <c r="H459" s="218">
        <v>5.9</v>
      </c>
    </row>
    <row r="460" spans="3:11" ht="15.75" customHeight="1" x14ac:dyDescent="0.2">
      <c r="C460" s="205">
        <v>40680</v>
      </c>
      <c r="D460" s="185">
        <v>0.47916666666666669</v>
      </c>
      <c r="E460" s="215">
        <v>7</v>
      </c>
      <c r="H460" s="218">
        <v>5.7</v>
      </c>
    </row>
    <row r="461" spans="3:11" ht="15.75" customHeight="1" x14ac:dyDescent="0.2">
      <c r="C461" s="205">
        <v>40680</v>
      </c>
      <c r="D461" s="185">
        <v>0.47916666666666669</v>
      </c>
      <c r="E461" s="215">
        <v>8</v>
      </c>
      <c r="H461" s="218">
        <v>5.7</v>
      </c>
    </row>
    <row r="462" spans="3:11" ht="15.75" customHeight="1" x14ac:dyDescent="0.2"/>
    <row r="463" spans="3:11" ht="15.75" customHeight="1" x14ac:dyDescent="0.2">
      <c r="C463" s="205">
        <v>40708</v>
      </c>
      <c r="D463" s="185">
        <v>0.4201388888888889</v>
      </c>
      <c r="J463">
        <v>6</v>
      </c>
      <c r="K463">
        <v>7.5</v>
      </c>
    </row>
    <row r="464" spans="3:11" ht="15.75" customHeight="1" x14ac:dyDescent="0.2">
      <c r="C464" s="205">
        <v>40708</v>
      </c>
      <c r="D464" s="185">
        <v>0.4201388888888889</v>
      </c>
      <c r="E464" s="215">
        <v>0.1</v>
      </c>
      <c r="F464" s="221">
        <v>11.05</v>
      </c>
      <c r="G464" s="190">
        <v>104</v>
      </c>
      <c r="H464" s="218">
        <v>12.3</v>
      </c>
    </row>
    <row r="465" spans="3:11" ht="15.75" customHeight="1" x14ac:dyDescent="0.2">
      <c r="C465" s="205">
        <v>40708</v>
      </c>
      <c r="D465" s="185">
        <v>0.4201388888888889</v>
      </c>
      <c r="E465" s="215">
        <v>1</v>
      </c>
      <c r="F465" s="221">
        <v>11.21</v>
      </c>
      <c r="G465" s="190">
        <v>104</v>
      </c>
      <c r="H465" s="218">
        <v>11.3</v>
      </c>
    </row>
    <row r="466" spans="3:11" ht="15.75" customHeight="1" x14ac:dyDescent="0.2">
      <c r="C466" s="205">
        <v>40708</v>
      </c>
      <c r="D466" s="185">
        <v>0.4201388888888889</v>
      </c>
      <c r="E466" s="215">
        <v>2</v>
      </c>
      <c r="F466" s="221">
        <v>11.34</v>
      </c>
      <c r="G466" s="190">
        <v>105.1</v>
      </c>
      <c r="H466" s="218">
        <v>11.1</v>
      </c>
    </row>
    <row r="467" spans="3:11" ht="15.75" customHeight="1" x14ac:dyDescent="0.2">
      <c r="C467" s="205">
        <v>40708</v>
      </c>
      <c r="D467" s="185">
        <v>0.4201388888888889</v>
      </c>
      <c r="E467" s="215">
        <v>3</v>
      </c>
      <c r="F467" s="221">
        <v>11.37</v>
      </c>
      <c r="G467" s="190">
        <v>104.7</v>
      </c>
      <c r="H467" s="218">
        <v>11</v>
      </c>
    </row>
    <row r="468" spans="3:11" ht="15.75" customHeight="1" x14ac:dyDescent="0.2">
      <c r="C468" s="205">
        <v>40708</v>
      </c>
      <c r="D468" s="185">
        <v>0.4201388888888889</v>
      </c>
      <c r="E468" s="215">
        <v>4</v>
      </c>
      <c r="F468" s="221">
        <v>11.35</v>
      </c>
      <c r="G468" s="190">
        <v>105</v>
      </c>
      <c r="H468" s="218">
        <v>10.9</v>
      </c>
    </row>
    <row r="469" spans="3:11" ht="15.75" customHeight="1" x14ac:dyDescent="0.2">
      <c r="C469" s="205">
        <v>40708</v>
      </c>
      <c r="D469" s="185">
        <v>0.4201388888888889</v>
      </c>
      <c r="E469" s="215">
        <v>5</v>
      </c>
      <c r="F469" s="221">
        <v>11.55</v>
      </c>
      <c r="G469" s="190">
        <v>105</v>
      </c>
      <c r="H469" s="218">
        <v>10.4</v>
      </c>
    </row>
    <row r="470" spans="3:11" ht="15.75" customHeight="1" x14ac:dyDescent="0.2">
      <c r="C470" s="205">
        <v>40708</v>
      </c>
      <c r="D470" s="185">
        <v>0.4201388888888889</v>
      </c>
      <c r="E470" s="215">
        <v>6</v>
      </c>
      <c r="F470" s="221">
        <v>11.64</v>
      </c>
      <c r="G470" s="190">
        <v>104.8</v>
      </c>
      <c r="H470" s="218">
        <v>9.8000000000000007</v>
      </c>
    </row>
    <row r="471" spans="3:11" ht="15.75" customHeight="1" x14ac:dyDescent="0.2">
      <c r="C471" s="205">
        <v>40708</v>
      </c>
      <c r="D471" s="185">
        <v>0.4201388888888889</v>
      </c>
      <c r="E471" s="215">
        <v>7</v>
      </c>
      <c r="F471" s="221">
        <v>11.74</v>
      </c>
      <c r="G471" s="190">
        <v>104.3</v>
      </c>
      <c r="H471" s="218">
        <v>9.6</v>
      </c>
    </row>
    <row r="472" spans="3:11" ht="15.75" customHeight="1" x14ac:dyDescent="0.2">
      <c r="C472" s="205">
        <v>40708</v>
      </c>
      <c r="D472" s="185">
        <v>0.4201388888888889</v>
      </c>
      <c r="E472" s="215">
        <v>8</v>
      </c>
      <c r="F472" s="221">
        <v>12.46</v>
      </c>
      <c r="G472" s="190">
        <v>109.7</v>
      </c>
      <c r="H472" s="218">
        <v>9.3000000000000007</v>
      </c>
    </row>
    <row r="473" spans="3:11" ht="15.75" customHeight="1" x14ac:dyDescent="0.2">
      <c r="C473" s="205">
        <v>40708</v>
      </c>
      <c r="D473" s="185">
        <v>0.4201388888888889</v>
      </c>
      <c r="E473" s="215">
        <v>9</v>
      </c>
      <c r="F473" s="221">
        <v>9.4499999999999993</v>
      </c>
      <c r="G473" s="190">
        <v>98.5</v>
      </c>
      <c r="H473" s="218">
        <v>9.1</v>
      </c>
    </row>
    <row r="474" spans="3:11" ht="15.75" customHeight="1" x14ac:dyDescent="0.2"/>
    <row r="475" spans="3:11" ht="15.75" customHeight="1" x14ac:dyDescent="0.2">
      <c r="C475" s="219">
        <v>40750</v>
      </c>
      <c r="D475" s="185">
        <v>0.44791666666666669</v>
      </c>
      <c r="J475">
        <v>6</v>
      </c>
      <c r="K475">
        <v>8</v>
      </c>
    </row>
    <row r="476" spans="3:11" ht="15.75" customHeight="1" x14ac:dyDescent="0.2">
      <c r="C476" s="219">
        <v>40750</v>
      </c>
      <c r="D476" s="185">
        <v>0.44791666666666669</v>
      </c>
      <c r="E476" s="215">
        <v>0.1</v>
      </c>
      <c r="F476" s="221">
        <v>10.34</v>
      </c>
      <c r="G476" s="190">
        <v>113.1</v>
      </c>
      <c r="H476" s="218">
        <v>18.399999999999999</v>
      </c>
    </row>
    <row r="477" spans="3:11" ht="15.75" customHeight="1" x14ac:dyDescent="0.2">
      <c r="C477" s="219">
        <v>40750</v>
      </c>
      <c r="D477" s="185">
        <v>0.44791666666666669</v>
      </c>
      <c r="E477" s="215">
        <v>1</v>
      </c>
      <c r="F477" s="221">
        <v>10.25</v>
      </c>
      <c r="G477" s="190">
        <v>111</v>
      </c>
      <c r="H477" s="218">
        <v>18.399999999999999</v>
      </c>
    </row>
    <row r="478" spans="3:11" ht="15.75" customHeight="1" x14ac:dyDescent="0.2">
      <c r="C478" s="219">
        <v>40750</v>
      </c>
      <c r="D478" s="185">
        <v>0.44791666666666669</v>
      </c>
      <c r="E478" s="215">
        <v>2</v>
      </c>
      <c r="F478" s="221">
        <v>10.14</v>
      </c>
      <c r="G478" s="190">
        <v>110.1</v>
      </c>
      <c r="H478" s="218">
        <v>18.399999999999999</v>
      </c>
    </row>
    <row r="479" spans="3:11" ht="15.75" customHeight="1" x14ac:dyDescent="0.2">
      <c r="C479" s="219">
        <v>40750</v>
      </c>
      <c r="D479" s="185">
        <v>0.44791666666666669</v>
      </c>
      <c r="E479" s="215">
        <v>3</v>
      </c>
      <c r="F479" s="221">
        <v>10.119999999999999</v>
      </c>
      <c r="G479" s="190">
        <v>109.3</v>
      </c>
      <c r="H479" s="218">
        <v>18.399999999999999</v>
      </c>
    </row>
    <row r="480" spans="3:11" ht="15.75" customHeight="1" x14ac:dyDescent="0.2">
      <c r="C480" s="219">
        <v>40750</v>
      </c>
      <c r="D480" s="185">
        <v>0.44791666666666669</v>
      </c>
      <c r="E480" s="215">
        <v>4</v>
      </c>
      <c r="F480" s="221">
        <v>10.1</v>
      </c>
      <c r="G480" s="190">
        <v>108.5</v>
      </c>
      <c r="H480" s="218">
        <v>18.3</v>
      </c>
    </row>
    <row r="481" spans="3:11" ht="15.75" customHeight="1" x14ac:dyDescent="0.2">
      <c r="C481" s="219">
        <v>40750</v>
      </c>
      <c r="D481" s="185">
        <v>0.44791666666666669</v>
      </c>
      <c r="E481" s="215">
        <v>5</v>
      </c>
      <c r="F481" s="221">
        <v>10.1</v>
      </c>
      <c r="G481" s="190">
        <v>108.3</v>
      </c>
      <c r="H481" s="218">
        <v>18.2</v>
      </c>
    </row>
    <row r="482" spans="3:11" ht="15.75" customHeight="1" x14ac:dyDescent="0.2">
      <c r="C482" s="219">
        <v>40750</v>
      </c>
      <c r="D482" s="185">
        <v>0.44791666666666669</v>
      </c>
      <c r="E482" s="215">
        <v>6</v>
      </c>
      <c r="F482" s="221">
        <v>10.1</v>
      </c>
      <c r="G482" s="190">
        <v>109.1</v>
      </c>
      <c r="H482" s="218">
        <v>18.100000000000001</v>
      </c>
    </row>
    <row r="483" spans="3:11" ht="15.75" customHeight="1" x14ac:dyDescent="0.2">
      <c r="C483" s="219">
        <v>40750</v>
      </c>
      <c r="D483" s="185">
        <v>0.44791666666666669</v>
      </c>
      <c r="E483" s="215">
        <v>7</v>
      </c>
      <c r="F483" s="221">
        <v>10.199999999999999</v>
      </c>
      <c r="G483" s="190">
        <v>109.6</v>
      </c>
      <c r="H483" s="218">
        <v>18</v>
      </c>
    </row>
    <row r="484" spans="3:11" ht="15.75" customHeight="1" x14ac:dyDescent="0.2">
      <c r="C484" s="219">
        <v>40750</v>
      </c>
      <c r="D484" s="185">
        <v>0.44791666666666669</v>
      </c>
      <c r="E484" s="215">
        <v>8</v>
      </c>
      <c r="F484" s="221">
        <v>10.1</v>
      </c>
      <c r="G484" s="190">
        <v>108.4</v>
      </c>
      <c r="H484" s="218">
        <v>16.3</v>
      </c>
    </row>
    <row r="485" spans="3:11" ht="15.75" customHeight="1" x14ac:dyDescent="0.2"/>
    <row r="486" spans="3:11" ht="15.75" customHeight="1" x14ac:dyDescent="0.2">
      <c r="C486" s="16">
        <v>40778</v>
      </c>
      <c r="D486" s="12">
        <v>0.52083333333333337</v>
      </c>
      <c r="J486" s="3">
        <v>8</v>
      </c>
      <c r="K486" s="3">
        <v>8</v>
      </c>
    </row>
    <row r="487" spans="3:11" ht="15.75" customHeight="1" x14ac:dyDescent="0.2">
      <c r="C487" s="16">
        <v>40778</v>
      </c>
      <c r="D487" s="12">
        <v>0.52083333333333337</v>
      </c>
      <c r="E487" s="3">
        <v>0.1</v>
      </c>
      <c r="F487" s="24">
        <v>10.3</v>
      </c>
      <c r="G487" s="7">
        <v>118.7</v>
      </c>
      <c r="H487" s="7">
        <v>22.1</v>
      </c>
      <c r="J487" s="3"/>
      <c r="K487" s="3"/>
    </row>
    <row r="488" spans="3:11" ht="15.75" customHeight="1" x14ac:dyDescent="0.2">
      <c r="C488" s="16">
        <v>40778</v>
      </c>
      <c r="D488" s="12">
        <v>0.52083333333333337</v>
      </c>
      <c r="E488" s="3">
        <v>1</v>
      </c>
      <c r="F488" s="24">
        <v>10.1</v>
      </c>
      <c r="G488" s="7">
        <v>116.4</v>
      </c>
      <c r="H488" s="7">
        <v>22</v>
      </c>
    </row>
    <row r="489" spans="3:11" ht="15.75" customHeight="1" x14ac:dyDescent="0.2">
      <c r="C489" s="16">
        <v>40778</v>
      </c>
      <c r="D489" s="12">
        <v>0.52083333333333337</v>
      </c>
      <c r="E489" s="3">
        <v>2</v>
      </c>
      <c r="F489" s="24">
        <v>10</v>
      </c>
      <c r="G489" s="7">
        <v>115.2</v>
      </c>
      <c r="H489" s="7">
        <v>21.9</v>
      </c>
    </row>
    <row r="490" spans="3:11" ht="15.75" customHeight="1" x14ac:dyDescent="0.2">
      <c r="C490" s="16">
        <v>40778</v>
      </c>
      <c r="D490" s="12">
        <v>0.52083333333333337</v>
      </c>
      <c r="E490" s="3">
        <v>3</v>
      </c>
      <c r="F490" s="24">
        <v>9.9</v>
      </c>
      <c r="G490" s="7">
        <v>113.4</v>
      </c>
      <c r="H490" s="7">
        <v>21.8</v>
      </c>
    </row>
    <row r="491" spans="3:11" ht="15.75" customHeight="1" x14ac:dyDescent="0.2">
      <c r="C491" s="16">
        <v>40778</v>
      </c>
      <c r="D491" s="12">
        <v>0.52083333333333337</v>
      </c>
      <c r="E491" s="3">
        <v>4</v>
      </c>
      <c r="F491" s="24">
        <v>9.77</v>
      </c>
      <c r="G491" s="7">
        <v>112.3</v>
      </c>
      <c r="H491" s="7">
        <v>21.8</v>
      </c>
    </row>
    <row r="492" spans="3:11" ht="15.75" customHeight="1" x14ac:dyDescent="0.2">
      <c r="C492" s="16">
        <v>40778</v>
      </c>
      <c r="D492" s="12">
        <v>0.52083333333333337</v>
      </c>
      <c r="E492" s="3">
        <v>5</v>
      </c>
      <c r="F492" s="24">
        <v>9.77</v>
      </c>
      <c r="G492" s="7">
        <v>112.5</v>
      </c>
      <c r="H492" s="7">
        <v>21.8</v>
      </c>
    </row>
    <row r="493" spans="3:11" ht="15.75" customHeight="1" x14ac:dyDescent="0.2">
      <c r="C493" s="16">
        <v>40778</v>
      </c>
      <c r="D493" s="12">
        <v>0.52083333333333337</v>
      </c>
      <c r="E493" s="3">
        <v>6</v>
      </c>
      <c r="F493" s="24">
        <v>9.6999999999999993</v>
      </c>
      <c r="G493" s="7">
        <v>111.6</v>
      </c>
      <c r="H493" s="7">
        <v>21.8</v>
      </c>
    </row>
    <row r="494" spans="3:11" ht="15.75" customHeight="1" x14ac:dyDescent="0.2">
      <c r="C494" s="16">
        <v>40778</v>
      </c>
      <c r="D494" s="12">
        <v>0.52083333333333337</v>
      </c>
      <c r="E494" s="3">
        <v>7</v>
      </c>
      <c r="F494" s="24">
        <v>9.6999999999999993</v>
      </c>
      <c r="G494" s="7">
        <v>111.4</v>
      </c>
      <c r="H494" s="7">
        <v>21.7</v>
      </c>
    </row>
    <row r="495" spans="3:11" ht="15.75" customHeight="1" x14ac:dyDescent="0.2">
      <c r="C495" s="16">
        <v>40778</v>
      </c>
      <c r="D495" s="12">
        <v>0.52083333333333337</v>
      </c>
      <c r="E495" s="3">
        <v>8</v>
      </c>
      <c r="F495" s="24">
        <v>9.5</v>
      </c>
      <c r="G495" s="7">
        <v>110.2</v>
      </c>
      <c r="H495" s="7">
        <v>21.7</v>
      </c>
    </row>
    <row r="496" spans="3:11" ht="15.75" customHeight="1" x14ac:dyDescent="0.2">
      <c r="C496" s="16"/>
      <c r="D496" s="12"/>
      <c r="E496" s="3"/>
      <c r="F496" s="24"/>
      <c r="G496" s="7"/>
      <c r="H496" s="7"/>
    </row>
    <row r="497" spans="3:12" ht="15.75" customHeight="1" x14ac:dyDescent="0.2">
      <c r="C497" s="16">
        <v>40806</v>
      </c>
      <c r="D497" s="12">
        <v>0.45833333333333331</v>
      </c>
      <c r="E497" s="3"/>
      <c r="F497" s="24"/>
      <c r="G497" s="7"/>
      <c r="H497" s="7"/>
      <c r="J497">
        <v>8</v>
      </c>
      <c r="K497">
        <v>8</v>
      </c>
    </row>
    <row r="498" spans="3:12" ht="15.75" customHeight="1" x14ac:dyDescent="0.2">
      <c r="C498" s="16">
        <v>40806</v>
      </c>
      <c r="D498" s="12">
        <v>0.45833333333333331</v>
      </c>
      <c r="E498" s="3">
        <v>0.1</v>
      </c>
      <c r="F498" s="24">
        <v>10.4</v>
      </c>
      <c r="G498" s="7">
        <v>108.5</v>
      </c>
      <c r="H498" s="7">
        <v>18.7</v>
      </c>
    </row>
    <row r="499" spans="3:12" ht="15.75" customHeight="1" x14ac:dyDescent="0.2">
      <c r="C499" s="16">
        <v>40806</v>
      </c>
      <c r="D499" s="12">
        <v>0.45833333333333331</v>
      </c>
      <c r="E499" s="3">
        <v>1</v>
      </c>
      <c r="F499" s="24">
        <v>9.6999999999999993</v>
      </c>
      <c r="G499" s="7">
        <v>107.2</v>
      </c>
      <c r="H499" s="7">
        <v>18.7</v>
      </c>
    </row>
    <row r="500" spans="3:12" ht="15.75" customHeight="1" x14ac:dyDescent="0.2">
      <c r="C500" s="16">
        <v>40806</v>
      </c>
      <c r="D500" s="12">
        <v>0.45833333333333331</v>
      </c>
      <c r="E500" s="3">
        <v>2</v>
      </c>
      <c r="F500" s="24">
        <v>9.6999999999999993</v>
      </c>
      <c r="G500" s="7">
        <v>105.1</v>
      </c>
      <c r="H500" s="7">
        <v>18.600000000000001</v>
      </c>
    </row>
    <row r="501" spans="3:12" ht="15.75" customHeight="1" x14ac:dyDescent="0.2">
      <c r="C501" s="16">
        <v>40806</v>
      </c>
      <c r="D501" s="12">
        <v>0.45833333333333331</v>
      </c>
      <c r="E501" s="3">
        <v>3</v>
      </c>
      <c r="F501" s="24">
        <v>9.6</v>
      </c>
      <c r="G501" s="7">
        <v>105.6</v>
      </c>
      <c r="H501" s="7">
        <v>18.600000000000001</v>
      </c>
    </row>
    <row r="502" spans="3:12" ht="15.75" customHeight="1" x14ac:dyDescent="0.2">
      <c r="C502" s="16">
        <v>40806</v>
      </c>
      <c r="D502" s="12">
        <v>0.45833333333333331</v>
      </c>
      <c r="E502" s="3">
        <v>4</v>
      </c>
      <c r="F502" s="24">
        <v>9.6999999999999993</v>
      </c>
      <c r="G502" s="7">
        <v>104.2</v>
      </c>
      <c r="H502" s="7">
        <v>18.600000000000001</v>
      </c>
    </row>
    <row r="503" spans="3:12" ht="15.75" customHeight="1" x14ac:dyDescent="0.2">
      <c r="C503" s="16">
        <v>40806</v>
      </c>
      <c r="D503" s="12">
        <v>0.45833333333333331</v>
      </c>
      <c r="E503" s="3">
        <v>5</v>
      </c>
      <c r="F503" s="24">
        <v>9.4</v>
      </c>
      <c r="G503" s="7">
        <v>104.5</v>
      </c>
      <c r="H503" s="7">
        <v>18.600000000000001</v>
      </c>
    </row>
    <row r="504" spans="3:12" ht="15.75" customHeight="1" x14ac:dyDescent="0.2">
      <c r="C504" s="16">
        <v>40806</v>
      </c>
      <c r="D504" s="12">
        <v>0.45833333333333331</v>
      </c>
      <c r="E504" s="3">
        <v>6</v>
      </c>
      <c r="F504" s="24">
        <v>9.4499999999999993</v>
      </c>
      <c r="G504" s="7">
        <v>103.2</v>
      </c>
      <c r="H504" s="7">
        <v>18.600000000000001</v>
      </c>
    </row>
    <row r="505" spans="3:12" ht="15.75" customHeight="1" x14ac:dyDescent="0.2">
      <c r="C505" s="16">
        <v>40806</v>
      </c>
      <c r="D505" s="12">
        <v>0.45833333333333331</v>
      </c>
      <c r="E505" s="3">
        <v>7</v>
      </c>
      <c r="F505" s="24">
        <v>9.6999999999999993</v>
      </c>
      <c r="G505" s="7">
        <v>102.3</v>
      </c>
      <c r="H505" s="7">
        <v>18.5</v>
      </c>
    </row>
    <row r="506" spans="3:12" ht="15.75" customHeight="1" x14ac:dyDescent="0.2">
      <c r="C506" s="16"/>
      <c r="D506" s="12"/>
      <c r="E506" s="3"/>
      <c r="F506" s="24"/>
      <c r="G506" s="7"/>
      <c r="H506" s="7"/>
    </row>
    <row r="507" spans="3:12" ht="15.75" customHeight="1" x14ac:dyDescent="0.2">
      <c r="L507" s="33"/>
    </row>
    <row r="508" spans="3:12" ht="15.75" customHeight="1" x14ac:dyDescent="0.2">
      <c r="C508" s="15">
        <v>40321</v>
      </c>
      <c r="D508" s="19">
        <v>0.4513888888888889</v>
      </c>
      <c r="E508" s="3"/>
      <c r="F508" s="24"/>
      <c r="G508" s="3"/>
      <c r="H508" s="3"/>
      <c r="J508" s="3">
        <v>4</v>
      </c>
      <c r="K508" s="3">
        <v>5</v>
      </c>
      <c r="L508" s="33"/>
    </row>
    <row r="509" spans="3:12" ht="15.75" customHeight="1" x14ac:dyDescent="0.2">
      <c r="C509" s="15">
        <v>40321</v>
      </c>
      <c r="D509" s="19">
        <v>0.45833333333333331</v>
      </c>
      <c r="E509" s="3">
        <v>0.1</v>
      </c>
      <c r="F509" s="24">
        <v>9.61</v>
      </c>
      <c r="G509" s="3">
        <v>88</v>
      </c>
      <c r="H509" s="3">
        <v>10.8</v>
      </c>
      <c r="J509" s="3"/>
      <c r="K509" s="3"/>
      <c r="L509" s="33"/>
    </row>
    <row r="510" spans="3:12" ht="15.75" customHeight="1" x14ac:dyDescent="0.2">
      <c r="C510" s="15">
        <v>40321</v>
      </c>
      <c r="D510" s="19">
        <v>0.45833333333333331</v>
      </c>
      <c r="E510" s="3">
        <v>1</v>
      </c>
      <c r="F510" s="24">
        <v>9.56</v>
      </c>
      <c r="G510" s="3">
        <v>86.8</v>
      </c>
      <c r="H510" s="3">
        <v>10.9</v>
      </c>
      <c r="J510" s="3"/>
      <c r="K510" s="3"/>
    </row>
    <row r="511" spans="3:12" ht="15.75" customHeight="1" x14ac:dyDescent="0.2">
      <c r="C511" s="15">
        <v>40321</v>
      </c>
      <c r="D511" s="19">
        <v>0.45833333333333331</v>
      </c>
      <c r="E511" s="3">
        <v>2</v>
      </c>
      <c r="F511" s="24">
        <v>9.58</v>
      </c>
      <c r="G511" s="3">
        <v>87.3</v>
      </c>
      <c r="H511" s="3">
        <v>10.9</v>
      </c>
      <c r="J511" s="3"/>
      <c r="K511" s="3"/>
    </row>
    <row r="512" spans="3:12" ht="15.75" customHeight="1" x14ac:dyDescent="0.2">
      <c r="C512" s="15">
        <v>40321</v>
      </c>
      <c r="D512" s="19">
        <v>0.45833333333333331</v>
      </c>
      <c r="E512" s="3">
        <v>3</v>
      </c>
      <c r="F512" s="24">
        <v>9.7799999999999994</v>
      </c>
      <c r="G512" s="3">
        <v>87.8</v>
      </c>
      <c r="H512" s="3">
        <v>10.8</v>
      </c>
      <c r="J512" s="3"/>
      <c r="K512" s="3"/>
    </row>
    <row r="513" spans="3:11" ht="15.75" customHeight="1" x14ac:dyDescent="0.2">
      <c r="C513" s="15">
        <v>40321</v>
      </c>
      <c r="D513" s="19">
        <v>0.45833333333333331</v>
      </c>
      <c r="E513" s="3">
        <v>4</v>
      </c>
      <c r="F513" s="24">
        <v>10.199999999999999</v>
      </c>
      <c r="G513" s="3">
        <v>96.3</v>
      </c>
      <c r="H513" s="3">
        <v>10.7</v>
      </c>
      <c r="J513" s="3"/>
      <c r="K513" s="3"/>
    </row>
    <row r="514" spans="3:11" ht="15.75" customHeight="1" x14ac:dyDescent="0.2">
      <c r="C514" s="15"/>
      <c r="D514" s="3"/>
      <c r="E514" s="3"/>
      <c r="F514" s="24"/>
      <c r="G514" s="3"/>
      <c r="H514" s="3"/>
      <c r="J514" s="3"/>
      <c r="K514" s="3"/>
    </row>
    <row r="515" spans="3:11" ht="15.75" customHeight="1" x14ac:dyDescent="0.2">
      <c r="C515" s="15">
        <v>40346</v>
      </c>
      <c r="D515" s="19">
        <v>0.49305555555555558</v>
      </c>
      <c r="E515" s="3"/>
      <c r="F515" s="24"/>
      <c r="G515" s="3"/>
      <c r="H515" s="3"/>
      <c r="J515" s="3">
        <v>6</v>
      </c>
      <c r="K515" s="3">
        <v>6</v>
      </c>
    </row>
    <row r="516" spans="3:11" ht="15.75" customHeight="1" x14ac:dyDescent="0.2">
      <c r="C516" s="15">
        <v>40346</v>
      </c>
      <c r="D516" s="19">
        <v>0.49652777777777773</v>
      </c>
      <c r="E516" s="3">
        <v>0.1</v>
      </c>
      <c r="F516" s="24">
        <v>9</v>
      </c>
      <c r="G516" s="3">
        <v>86</v>
      </c>
      <c r="H516" s="3">
        <v>14.1</v>
      </c>
      <c r="J516" s="3"/>
      <c r="K516" s="3"/>
    </row>
    <row r="517" spans="3:11" ht="15.75" customHeight="1" x14ac:dyDescent="0.2">
      <c r="C517" s="15">
        <v>40346</v>
      </c>
      <c r="D517" s="19">
        <v>0.49652777777777773</v>
      </c>
      <c r="E517" s="3">
        <v>1</v>
      </c>
      <c r="F517" s="24">
        <v>8.9</v>
      </c>
      <c r="G517" s="3">
        <v>87</v>
      </c>
      <c r="H517" s="3">
        <v>14.2</v>
      </c>
      <c r="J517" s="3"/>
      <c r="K517" s="3"/>
    </row>
    <row r="518" spans="3:11" ht="15.75" customHeight="1" x14ac:dyDescent="0.2">
      <c r="C518" s="15">
        <v>40346</v>
      </c>
      <c r="D518" s="19">
        <v>0.49652777777777773</v>
      </c>
      <c r="E518" s="3">
        <v>2</v>
      </c>
      <c r="F518" s="24">
        <v>9</v>
      </c>
      <c r="G518" s="3">
        <v>85.5</v>
      </c>
      <c r="H518" s="3">
        <v>14.2</v>
      </c>
      <c r="J518" s="3"/>
      <c r="K518" s="3"/>
    </row>
    <row r="519" spans="3:11" ht="15.75" customHeight="1" x14ac:dyDescent="0.2">
      <c r="C519" s="15">
        <v>40346</v>
      </c>
      <c r="D519" s="19">
        <v>0.49652777777777773</v>
      </c>
      <c r="E519" s="3">
        <v>3</v>
      </c>
      <c r="F519" s="24">
        <v>8.9</v>
      </c>
      <c r="G519" s="3">
        <v>85.1</v>
      </c>
      <c r="H519" s="3">
        <v>14</v>
      </c>
    </row>
    <row r="520" spans="3:11" ht="15.75" customHeight="1" x14ac:dyDescent="0.2">
      <c r="C520" s="15">
        <v>40346</v>
      </c>
      <c r="D520" s="19">
        <v>0.49652777777777773</v>
      </c>
      <c r="E520" s="3">
        <v>4</v>
      </c>
      <c r="F520" s="24">
        <v>8.6999999999999993</v>
      </c>
      <c r="G520" s="3">
        <v>83</v>
      </c>
      <c r="H520" s="3">
        <v>14</v>
      </c>
    </row>
    <row r="521" spans="3:11" ht="15.75" customHeight="1" x14ac:dyDescent="0.2">
      <c r="C521" s="15">
        <v>40346</v>
      </c>
      <c r="D521" s="19">
        <v>0.49652777777777773</v>
      </c>
      <c r="E521" s="3">
        <v>5</v>
      </c>
      <c r="F521" s="24">
        <v>8.6</v>
      </c>
      <c r="G521" s="3">
        <v>82.5</v>
      </c>
      <c r="H521" s="3">
        <v>13.8</v>
      </c>
    </row>
    <row r="522" spans="3:11" ht="15.75" customHeight="1" x14ac:dyDescent="0.2">
      <c r="C522" s="15">
        <v>40346</v>
      </c>
      <c r="D522" s="19">
        <v>0.49652777777777773</v>
      </c>
      <c r="E522" s="3">
        <v>6</v>
      </c>
      <c r="F522" s="24">
        <v>8.77</v>
      </c>
      <c r="G522" s="216">
        <v>82.5</v>
      </c>
      <c r="H522" s="3">
        <v>13.4</v>
      </c>
    </row>
    <row r="523" spans="3:11" ht="15.75" customHeight="1" x14ac:dyDescent="0.2">
      <c r="C523" s="15">
        <v>40346</v>
      </c>
      <c r="D523" s="19">
        <v>0.49652777777777773</v>
      </c>
      <c r="E523" s="3">
        <v>7</v>
      </c>
      <c r="F523" s="24">
        <v>8.8000000000000007</v>
      </c>
      <c r="G523" s="216">
        <v>81.7</v>
      </c>
      <c r="H523" s="3">
        <v>13.1</v>
      </c>
    </row>
    <row r="524" spans="3:11" ht="15.75" customHeight="1" x14ac:dyDescent="0.2">
      <c r="C524" s="15">
        <v>40346</v>
      </c>
      <c r="D524" s="19">
        <v>0.49652777777777773</v>
      </c>
      <c r="E524" s="3">
        <v>8</v>
      </c>
      <c r="F524" s="24">
        <v>8.81</v>
      </c>
      <c r="G524" s="216">
        <v>82.5</v>
      </c>
      <c r="H524" s="3">
        <v>12.7</v>
      </c>
    </row>
    <row r="525" spans="3:11" ht="15.75" customHeight="1" x14ac:dyDescent="0.2">
      <c r="C525" s="15"/>
      <c r="D525" s="19"/>
      <c r="E525" s="3"/>
      <c r="F525" s="24"/>
      <c r="G525" s="216"/>
      <c r="H525" s="3"/>
    </row>
    <row r="526" spans="3:11" ht="15.75" customHeight="1" x14ac:dyDescent="0.2">
      <c r="C526" s="15">
        <v>40387</v>
      </c>
      <c r="D526" s="19">
        <v>0.41666666666666669</v>
      </c>
      <c r="E526" s="3"/>
      <c r="F526" s="24"/>
      <c r="G526" s="216"/>
      <c r="H526" s="3"/>
      <c r="J526">
        <v>10</v>
      </c>
      <c r="K526">
        <v>10</v>
      </c>
    </row>
    <row r="527" spans="3:11" ht="15.75" customHeight="1" x14ac:dyDescent="0.2">
      <c r="C527" s="15">
        <v>40387</v>
      </c>
      <c r="D527" s="19">
        <v>0.41666666666666669</v>
      </c>
      <c r="E527" s="3">
        <v>0.1</v>
      </c>
      <c r="F527" s="24">
        <v>6.96</v>
      </c>
      <c r="G527" s="216">
        <v>81.099999999999994</v>
      </c>
      <c r="H527" s="3">
        <v>22.9</v>
      </c>
    </row>
    <row r="528" spans="3:11" ht="15.75" customHeight="1" x14ac:dyDescent="0.2">
      <c r="C528" s="15">
        <v>40387</v>
      </c>
      <c r="D528" s="19">
        <v>0.41666666666666669</v>
      </c>
      <c r="E528" s="3">
        <v>1</v>
      </c>
      <c r="F528" s="24">
        <v>7.02</v>
      </c>
      <c r="G528" s="216">
        <v>82</v>
      </c>
      <c r="H528" s="3">
        <v>22.8</v>
      </c>
    </row>
    <row r="529" spans="3:11" ht="15.75" customHeight="1" x14ac:dyDescent="0.2">
      <c r="C529" s="15">
        <v>40387</v>
      </c>
      <c r="D529" s="19">
        <v>0.41666666666666669</v>
      </c>
      <c r="E529" s="3">
        <v>2</v>
      </c>
      <c r="F529" s="24">
        <v>7</v>
      </c>
      <c r="G529" s="216">
        <v>83</v>
      </c>
      <c r="H529" s="3">
        <v>22.6</v>
      </c>
    </row>
    <row r="530" spans="3:11" ht="15.75" customHeight="1" x14ac:dyDescent="0.2">
      <c r="C530" s="15">
        <v>40387</v>
      </c>
      <c r="D530" s="19">
        <v>0.41666666666666669</v>
      </c>
      <c r="E530" s="3">
        <v>3</v>
      </c>
      <c r="F530" s="24">
        <v>7.07</v>
      </c>
      <c r="G530" s="216">
        <v>82.2</v>
      </c>
      <c r="H530" s="3">
        <v>22.5</v>
      </c>
    </row>
    <row r="531" spans="3:11" ht="15.75" customHeight="1" x14ac:dyDescent="0.2">
      <c r="C531" s="15">
        <v>40387</v>
      </c>
      <c r="D531" s="19">
        <v>0.41666666666666669</v>
      </c>
      <c r="E531" s="3">
        <v>4</v>
      </c>
      <c r="F531" s="24">
        <v>7.03</v>
      </c>
      <c r="G531" s="216">
        <v>83</v>
      </c>
      <c r="H531" s="3">
        <v>22.5</v>
      </c>
    </row>
    <row r="532" spans="3:11" ht="15.75" customHeight="1" x14ac:dyDescent="0.2">
      <c r="C532" s="15">
        <v>40387</v>
      </c>
      <c r="D532" s="19">
        <v>0.41666666666666669</v>
      </c>
      <c r="E532" s="3">
        <v>5</v>
      </c>
      <c r="F532" s="24">
        <v>7.16</v>
      </c>
      <c r="G532" s="216">
        <v>82.8</v>
      </c>
      <c r="H532" s="3">
        <v>22.4</v>
      </c>
    </row>
    <row r="533" spans="3:11" ht="15.75" customHeight="1" x14ac:dyDescent="0.2">
      <c r="C533" s="15">
        <v>40387</v>
      </c>
      <c r="D533" s="19">
        <v>0.41666666666666669</v>
      </c>
      <c r="E533" s="3">
        <v>6</v>
      </c>
      <c r="F533" s="24">
        <v>7.1</v>
      </c>
      <c r="G533" s="216">
        <v>82.1</v>
      </c>
      <c r="H533" s="3">
        <v>22.4</v>
      </c>
    </row>
    <row r="534" spans="3:11" ht="15.75" customHeight="1" x14ac:dyDescent="0.2">
      <c r="C534" s="15">
        <v>40387</v>
      </c>
      <c r="D534" s="19">
        <v>0.41666666666666669</v>
      </c>
      <c r="E534" s="3">
        <v>7</v>
      </c>
      <c r="F534" s="24">
        <v>7.1</v>
      </c>
      <c r="G534" s="216">
        <v>81.5</v>
      </c>
      <c r="H534" s="3">
        <v>22.2</v>
      </c>
    </row>
    <row r="535" spans="3:11" ht="15.75" customHeight="1" x14ac:dyDescent="0.2">
      <c r="C535" s="15">
        <v>40387</v>
      </c>
      <c r="D535" s="19">
        <v>0.41666666666666669</v>
      </c>
      <c r="E535" s="3">
        <v>8</v>
      </c>
      <c r="F535" s="24">
        <v>7.2</v>
      </c>
      <c r="G535" s="216">
        <v>78.900000000000006</v>
      </c>
      <c r="H535" s="3">
        <v>21.9</v>
      </c>
    </row>
    <row r="536" spans="3:11" ht="15.75" customHeight="1" x14ac:dyDescent="0.2">
      <c r="C536" s="15"/>
      <c r="D536" s="19"/>
      <c r="E536" s="3"/>
      <c r="F536" s="24"/>
      <c r="G536" s="216"/>
      <c r="H536" s="3"/>
    </row>
    <row r="537" spans="3:11" ht="15.75" customHeight="1" x14ac:dyDescent="0.2">
      <c r="C537" s="16">
        <v>40420</v>
      </c>
      <c r="D537" s="12">
        <v>0.46527777777777773</v>
      </c>
      <c r="J537" s="3">
        <v>8</v>
      </c>
      <c r="K537" s="3">
        <v>8</v>
      </c>
    </row>
    <row r="538" spans="3:11" ht="15.75" customHeight="1" x14ac:dyDescent="0.2">
      <c r="C538" s="16">
        <v>40420</v>
      </c>
      <c r="D538" s="12">
        <v>0.46527777777777773</v>
      </c>
      <c r="E538" s="3">
        <v>0.1</v>
      </c>
      <c r="F538" s="222">
        <v>8.25</v>
      </c>
      <c r="G538" s="216">
        <v>86.5</v>
      </c>
      <c r="H538" s="3">
        <v>19.899999999999999</v>
      </c>
      <c r="J538" s="3"/>
      <c r="K538" s="3"/>
    </row>
    <row r="539" spans="3:11" ht="15.75" customHeight="1" x14ac:dyDescent="0.2">
      <c r="C539" s="16">
        <v>40420</v>
      </c>
      <c r="D539" s="12">
        <v>0.46527777777777773</v>
      </c>
      <c r="E539" s="3">
        <v>1</v>
      </c>
      <c r="F539" s="222">
        <v>7.61</v>
      </c>
      <c r="G539" s="216">
        <v>84.5</v>
      </c>
      <c r="H539" s="3">
        <v>19.8</v>
      </c>
      <c r="J539" s="3"/>
      <c r="K539" s="3"/>
    </row>
    <row r="540" spans="3:11" ht="15.75" customHeight="1" x14ac:dyDescent="0.2">
      <c r="C540" s="16">
        <v>40420</v>
      </c>
      <c r="D540" s="12">
        <v>0.46527777777777773</v>
      </c>
      <c r="E540" s="3">
        <v>2</v>
      </c>
      <c r="F540" s="222">
        <v>7.58</v>
      </c>
      <c r="G540" s="216">
        <v>83.2</v>
      </c>
      <c r="H540" s="3">
        <v>19.600000000000001</v>
      </c>
      <c r="J540" s="3"/>
      <c r="K540" s="3"/>
    </row>
    <row r="541" spans="3:11" ht="15.75" customHeight="1" x14ac:dyDescent="0.2">
      <c r="C541" s="16">
        <v>40420</v>
      </c>
      <c r="D541" s="12">
        <v>0.46527777777777773</v>
      </c>
      <c r="E541" s="3">
        <v>3</v>
      </c>
      <c r="F541" s="222">
        <v>7.59</v>
      </c>
      <c r="G541" s="216">
        <v>81.7</v>
      </c>
      <c r="H541" s="3">
        <v>19.600000000000001</v>
      </c>
      <c r="J541" s="3"/>
      <c r="K541" s="3"/>
    </row>
    <row r="542" spans="3:11" ht="15.75" customHeight="1" x14ac:dyDescent="0.2">
      <c r="C542" s="16">
        <v>40420</v>
      </c>
      <c r="D542" s="12">
        <v>0.46527777777777773</v>
      </c>
      <c r="E542" s="3">
        <v>4</v>
      </c>
      <c r="F542" s="222">
        <v>7.4</v>
      </c>
      <c r="G542" s="216">
        <v>82</v>
      </c>
      <c r="H542" s="3">
        <v>19.5</v>
      </c>
      <c r="J542" s="3"/>
      <c r="K542" s="3"/>
    </row>
    <row r="543" spans="3:11" ht="15.75" customHeight="1" x14ac:dyDescent="0.2">
      <c r="E543" s="3"/>
      <c r="J543" s="3"/>
      <c r="K543" s="3"/>
    </row>
    <row r="544" spans="3:11" ht="15.75" customHeight="1" x14ac:dyDescent="0.2">
      <c r="C544" s="205">
        <v>40449</v>
      </c>
      <c r="D544" s="185">
        <v>0.46875</v>
      </c>
      <c r="J544" s="3">
        <v>9.5</v>
      </c>
      <c r="K544" s="3">
        <v>9.5</v>
      </c>
    </row>
    <row r="545" spans="3:11" ht="15.75" customHeight="1" x14ac:dyDescent="0.2">
      <c r="C545" s="205">
        <v>40449</v>
      </c>
      <c r="D545" s="185">
        <v>0.46875</v>
      </c>
      <c r="E545" s="215">
        <v>0.1</v>
      </c>
      <c r="F545" s="221">
        <v>8.16</v>
      </c>
      <c r="G545" s="190">
        <v>83.3</v>
      </c>
      <c r="H545" s="215">
        <v>16.5</v>
      </c>
    </row>
    <row r="546" spans="3:11" ht="15.75" customHeight="1" x14ac:dyDescent="0.2">
      <c r="C546" s="205">
        <v>40449</v>
      </c>
      <c r="D546" s="185">
        <v>0.46875</v>
      </c>
      <c r="E546" s="215">
        <v>1</v>
      </c>
      <c r="F546" s="221">
        <v>8.11</v>
      </c>
      <c r="G546" s="190">
        <v>83</v>
      </c>
      <c r="H546" s="215">
        <v>16.5</v>
      </c>
    </row>
    <row r="547" spans="3:11" ht="15.75" customHeight="1" x14ac:dyDescent="0.2">
      <c r="C547" s="205">
        <v>40449</v>
      </c>
      <c r="D547" s="185">
        <v>0.46875</v>
      </c>
      <c r="E547" s="215">
        <v>2</v>
      </c>
      <c r="F547" s="221">
        <v>8.11</v>
      </c>
      <c r="G547" s="190">
        <v>81.599999999999994</v>
      </c>
      <c r="H547" s="215">
        <v>16.2</v>
      </c>
    </row>
    <row r="548" spans="3:11" ht="15.75" customHeight="1" x14ac:dyDescent="0.2">
      <c r="C548" s="205">
        <v>40449</v>
      </c>
      <c r="D548" s="185">
        <v>0.46875</v>
      </c>
      <c r="E548" s="215">
        <v>3</v>
      </c>
      <c r="F548" s="221">
        <v>8.07</v>
      </c>
      <c r="G548" s="190">
        <v>82</v>
      </c>
      <c r="H548" s="215">
        <v>16</v>
      </c>
    </row>
    <row r="549" spans="3:11" ht="15.75" customHeight="1" x14ac:dyDescent="0.2">
      <c r="C549" s="205">
        <v>40449</v>
      </c>
      <c r="D549" s="185">
        <v>0.46875</v>
      </c>
      <c r="E549" s="215">
        <v>4</v>
      </c>
      <c r="F549" s="221">
        <v>8.01</v>
      </c>
      <c r="G549" s="190">
        <v>79</v>
      </c>
      <c r="H549" s="215">
        <v>15.8</v>
      </c>
    </row>
    <row r="550" spans="3:11" ht="15.75" customHeight="1" x14ac:dyDescent="0.2">
      <c r="C550" s="205">
        <v>40449</v>
      </c>
      <c r="D550" s="185">
        <v>0.46875</v>
      </c>
      <c r="E550" s="215">
        <v>5</v>
      </c>
      <c r="F550" s="221">
        <v>7.9</v>
      </c>
      <c r="G550" s="190">
        <v>78.3</v>
      </c>
      <c r="H550" s="215">
        <v>15.7</v>
      </c>
    </row>
    <row r="551" spans="3:11" ht="15.75" customHeight="1" x14ac:dyDescent="0.2">
      <c r="C551" s="205">
        <v>40449</v>
      </c>
      <c r="D551" s="185">
        <v>0.46875</v>
      </c>
      <c r="E551" s="215">
        <v>6</v>
      </c>
      <c r="F551" s="221">
        <v>7.82</v>
      </c>
      <c r="G551" s="190">
        <v>78</v>
      </c>
      <c r="H551" s="215">
        <v>15.6</v>
      </c>
    </row>
    <row r="552" spans="3:11" ht="15.75" customHeight="1" x14ac:dyDescent="0.2">
      <c r="C552" s="205">
        <v>40449</v>
      </c>
      <c r="D552" s="185">
        <v>0.46875</v>
      </c>
      <c r="E552" s="215">
        <v>7</v>
      </c>
      <c r="F552" s="221">
        <v>8.01</v>
      </c>
      <c r="G552" s="190">
        <v>77</v>
      </c>
      <c r="H552" s="215">
        <v>15.7</v>
      </c>
    </row>
    <row r="553" spans="3:11" ht="15.75" customHeight="1" x14ac:dyDescent="0.2">
      <c r="C553" s="205">
        <v>40449</v>
      </c>
      <c r="D553" s="185">
        <v>0.46875</v>
      </c>
      <c r="E553" s="215">
        <v>8</v>
      </c>
      <c r="F553" s="221">
        <v>7.24</v>
      </c>
      <c r="G553" s="190">
        <v>72</v>
      </c>
      <c r="H553" s="215">
        <v>15.8</v>
      </c>
    </row>
    <row r="554" spans="3:11" ht="15.75" customHeight="1" x14ac:dyDescent="0.2">
      <c r="C554" s="205">
        <v>40449</v>
      </c>
      <c r="D554" s="185">
        <v>0.46875</v>
      </c>
      <c r="E554" s="215">
        <v>9</v>
      </c>
      <c r="F554" s="221">
        <v>6.93</v>
      </c>
      <c r="G554" s="190">
        <v>68.599999999999994</v>
      </c>
      <c r="H554" s="215">
        <v>15.8</v>
      </c>
    </row>
    <row r="555" spans="3:11" ht="15.75" customHeight="1" x14ac:dyDescent="0.2">
      <c r="C555" s="205">
        <v>40449</v>
      </c>
      <c r="D555" s="185">
        <v>0.46875</v>
      </c>
      <c r="E555" s="215">
        <v>10</v>
      </c>
      <c r="F555" s="221">
        <v>6.63</v>
      </c>
      <c r="G555" s="190">
        <v>66.400000000000006</v>
      </c>
      <c r="H555" s="215">
        <v>15.8</v>
      </c>
    </row>
    <row r="556" spans="3:11" ht="15.75" customHeight="1" x14ac:dyDescent="0.2"/>
    <row r="557" spans="3:11" ht="15.75" customHeight="1" x14ac:dyDescent="0.2">
      <c r="C557" s="205">
        <v>40484</v>
      </c>
      <c r="D557" s="185">
        <v>0.44791666666666669</v>
      </c>
      <c r="J557">
        <v>7</v>
      </c>
      <c r="K557">
        <v>7</v>
      </c>
    </row>
    <row r="558" spans="3:11" ht="15.75" customHeight="1" x14ac:dyDescent="0.2">
      <c r="C558" s="205">
        <v>40484</v>
      </c>
      <c r="D558" s="185">
        <v>0.44791666666666669</v>
      </c>
      <c r="E558" s="215">
        <v>0.1</v>
      </c>
      <c r="F558" s="221">
        <v>8.89</v>
      </c>
      <c r="G558" s="190">
        <v>83.2</v>
      </c>
      <c r="H558" s="215">
        <v>10.7</v>
      </c>
    </row>
    <row r="559" spans="3:11" ht="15.75" customHeight="1" x14ac:dyDescent="0.2">
      <c r="C559" s="205">
        <v>40484</v>
      </c>
      <c r="D559" s="185">
        <v>0.44791666666666669</v>
      </c>
      <c r="E559" s="215">
        <v>1</v>
      </c>
      <c r="F559" s="221">
        <v>8.6300000000000008</v>
      </c>
      <c r="G559" s="190">
        <v>78.099999999999994</v>
      </c>
      <c r="H559" s="215">
        <v>10.7</v>
      </c>
    </row>
    <row r="560" spans="3:11" ht="15.75" customHeight="1" x14ac:dyDescent="0.2">
      <c r="C560" s="205">
        <v>40484</v>
      </c>
      <c r="D560" s="185">
        <v>0.44791666666666669</v>
      </c>
      <c r="E560" s="215">
        <v>2</v>
      </c>
      <c r="F560" s="221">
        <v>8.5399999999999991</v>
      </c>
      <c r="G560" s="190">
        <v>77</v>
      </c>
      <c r="H560" s="215">
        <v>10.7</v>
      </c>
    </row>
    <row r="561" spans="3:11" ht="15.75" customHeight="1" x14ac:dyDescent="0.2">
      <c r="C561" s="205">
        <v>40484</v>
      </c>
      <c r="D561" s="185">
        <v>0.44791666666666669</v>
      </c>
      <c r="E561" s="215">
        <v>3</v>
      </c>
      <c r="F561" s="221">
        <v>8.5299999999999994</v>
      </c>
      <c r="G561" s="190">
        <v>76.5</v>
      </c>
      <c r="H561" s="215">
        <v>10.6</v>
      </c>
    </row>
    <row r="562" spans="3:11" ht="15.75" customHeight="1" x14ac:dyDescent="0.2">
      <c r="C562" s="205">
        <v>40484</v>
      </c>
      <c r="D562" s="185">
        <v>0.44791666666666669</v>
      </c>
      <c r="E562" s="215">
        <v>4</v>
      </c>
      <c r="F562" s="221">
        <v>8.4499999999999993</v>
      </c>
      <c r="G562" s="190">
        <v>76.400000000000006</v>
      </c>
      <c r="H562" s="215">
        <v>10.6</v>
      </c>
    </row>
    <row r="563" spans="3:11" ht="15.75" customHeight="1" x14ac:dyDescent="0.2">
      <c r="C563" s="205">
        <v>40484</v>
      </c>
      <c r="D563" s="185">
        <v>0.44791666666666669</v>
      </c>
      <c r="E563" s="215">
        <v>5</v>
      </c>
      <c r="F563" s="221">
        <v>8.41</v>
      </c>
      <c r="G563" s="190">
        <v>75.599999999999994</v>
      </c>
      <c r="H563" s="215">
        <v>10.6</v>
      </c>
    </row>
    <row r="564" spans="3:11" ht="15.75" customHeight="1" x14ac:dyDescent="0.2">
      <c r="C564" s="205">
        <v>40484</v>
      </c>
      <c r="D564" s="185">
        <v>0.44791666666666669</v>
      </c>
      <c r="E564" s="215">
        <v>6</v>
      </c>
      <c r="F564" s="221">
        <v>8.42</v>
      </c>
      <c r="G564" s="190">
        <v>75.400000000000006</v>
      </c>
      <c r="H564" s="215">
        <v>10.6</v>
      </c>
    </row>
    <row r="565" spans="3:11" ht="15.75" customHeight="1" x14ac:dyDescent="0.2">
      <c r="C565" s="205">
        <v>40484</v>
      </c>
      <c r="D565" s="185">
        <v>0.44791666666666669</v>
      </c>
      <c r="E565" s="215">
        <v>7</v>
      </c>
      <c r="F565" s="221">
        <v>7.56</v>
      </c>
      <c r="G565" s="190">
        <v>74.8</v>
      </c>
      <c r="H565" s="215">
        <v>10.5</v>
      </c>
    </row>
    <row r="566" spans="3:11" ht="15.75" customHeight="1" x14ac:dyDescent="0.2">
      <c r="E566" s="215"/>
    </row>
    <row r="567" spans="3:11" ht="15.75" customHeight="1" x14ac:dyDescent="0.2"/>
    <row r="568" spans="3:11" ht="15.75" customHeight="1" x14ac:dyDescent="0.2">
      <c r="C568" s="15">
        <v>39593</v>
      </c>
      <c r="D568" s="19">
        <v>0.6875</v>
      </c>
      <c r="E568" s="3"/>
      <c r="F568" s="24"/>
      <c r="G568" s="3"/>
      <c r="H568" s="7"/>
      <c r="J568" s="3">
        <v>2.75</v>
      </c>
      <c r="K568" s="3">
        <v>3.5</v>
      </c>
    </row>
    <row r="569" spans="3:11" ht="15.75" customHeight="1" x14ac:dyDescent="0.2">
      <c r="C569" s="15">
        <v>39593</v>
      </c>
      <c r="D569" s="19">
        <v>0.70138888888888884</v>
      </c>
      <c r="E569" s="3">
        <v>0.1</v>
      </c>
      <c r="F569" s="24">
        <v>12.18</v>
      </c>
      <c r="G569" s="3">
        <v>103</v>
      </c>
      <c r="H569" s="7">
        <v>7.7</v>
      </c>
      <c r="J569" s="3"/>
      <c r="K569" s="3"/>
    </row>
    <row r="570" spans="3:11" ht="15.75" customHeight="1" x14ac:dyDescent="0.2">
      <c r="C570" s="15">
        <v>39593</v>
      </c>
      <c r="D570" s="19">
        <v>0.70138888888888884</v>
      </c>
      <c r="E570" s="3">
        <v>1</v>
      </c>
      <c r="F570" s="24">
        <v>12.08</v>
      </c>
      <c r="G570" s="3">
        <v>98.2</v>
      </c>
      <c r="H570" s="7">
        <v>7.2</v>
      </c>
      <c r="J570" s="3"/>
      <c r="K570" s="3"/>
    </row>
    <row r="571" spans="3:11" ht="15.75" customHeight="1" x14ac:dyDescent="0.2">
      <c r="C571" s="15">
        <v>39593</v>
      </c>
      <c r="D571" s="19">
        <v>0.70138888888888884</v>
      </c>
      <c r="E571" s="3">
        <v>2</v>
      </c>
      <c r="F571" s="24">
        <v>11.68</v>
      </c>
      <c r="G571" s="3">
        <v>96</v>
      </c>
      <c r="H571" s="7">
        <v>7</v>
      </c>
      <c r="J571" s="3"/>
      <c r="K571" s="3"/>
    </row>
    <row r="572" spans="3:11" ht="15.75" customHeight="1" x14ac:dyDescent="0.2">
      <c r="C572" s="15">
        <v>39593</v>
      </c>
      <c r="D572" s="19">
        <v>0.70138888888888884</v>
      </c>
      <c r="E572" s="3">
        <v>3</v>
      </c>
      <c r="F572" s="24">
        <v>11.69</v>
      </c>
      <c r="G572" s="3">
        <v>95.7</v>
      </c>
      <c r="H572" s="7">
        <v>7</v>
      </c>
      <c r="J572" s="3"/>
      <c r="K572" s="3"/>
    </row>
    <row r="573" spans="3:11" ht="15.75" customHeight="1" x14ac:dyDescent="0.2">
      <c r="C573" s="15">
        <v>39593</v>
      </c>
      <c r="D573" s="19">
        <v>0.70138888888888884</v>
      </c>
      <c r="E573" s="3">
        <v>4</v>
      </c>
      <c r="F573" s="24">
        <v>11.6</v>
      </c>
      <c r="G573" s="3">
        <v>96.3</v>
      </c>
      <c r="H573" s="7">
        <v>6.9</v>
      </c>
      <c r="J573" s="3"/>
      <c r="K573" s="3"/>
    </row>
    <row r="574" spans="3:11" ht="15.75" customHeight="1" x14ac:dyDescent="0.2">
      <c r="C574" s="15">
        <v>39593</v>
      </c>
      <c r="D574" s="19">
        <v>0.70138888888888884</v>
      </c>
      <c r="E574" s="3">
        <v>5</v>
      </c>
      <c r="F574" s="24">
        <v>11.54</v>
      </c>
      <c r="G574" s="3">
        <v>95.4</v>
      </c>
      <c r="H574" s="7">
        <v>6.7</v>
      </c>
      <c r="J574" s="3"/>
      <c r="K574" s="3"/>
    </row>
    <row r="575" spans="3:11" ht="15.75" customHeight="1" x14ac:dyDescent="0.2">
      <c r="C575" s="15">
        <v>39593</v>
      </c>
      <c r="D575" s="19">
        <v>0.70138888888888884</v>
      </c>
      <c r="E575" s="3">
        <v>6</v>
      </c>
      <c r="F575" s="24">
        <v>11.86</v>
      </c>
      <c r="G575" s="3">
        <v>96.8</v>
      </c>
      <c r="H575" s="7">
        <v>6.5</v>
      </c>
      <c r="J575" s="3"/>
      <c r="K575" s="3"/>
    </row>
    <row r="576" spans="3:11" ht="15.75" customHeight="1" x14ac:dyDescent="0.2">
      <c r="C576" s="15">
        <v>39593</v>
      </c>
      <c r="D576" s="19">
        <v>0.70138888888888884</v>
      </c>
      <c r="E576" s="3">
        <v>7</v>
      </c>
      <c r="F576" s="24">
        <v>11.86</v>
      </c>
      <c r="G576" s="3">
        <v>96.2</v>
      </c>
      <c r="H576" s="7">
        <v>6.4</v>
      </c>
      <c r="J576" s="3"/>
      <c r="K576" s="3"/>
    </row>
    <row r="577" spans="2:12" ht="15.75" customHeight="1" x14ac:dyDescent="0.2">
      <c r="C577" s="15">
        <v>39593</v>
      </c>
      <c r="D577" s="19">
        <v>0.70138888888888884</v>
      </c>
      <c r="E577" s="3">
        <v>8</v>
      </c>
      <c r="F577" s="24">
        <v>11.77</v>
      </c>
      <c r="G577" s="3">
        <v>95.5</v>
      </c>
      <c r="H577" s="7">
        <v>6.4</v>
      </c>
      <c r="J577" s="3"/>
      <c r="K577" s="3"/>
    </row>
    <row r="578" spans="2:12" ht="15.75" customHeight="1" x14ac:dyDescent="0.2">
      <c r="C578" s="15">
        <v>39593</v>
      </c>
      <c r="D578" s="19">
        <v>0.70138888888888884</v>
      </c>
      <c r="E578" s="3">
        <v>9</v>
      </c>
      <c r="F578" s="24">
        <v>11.79</v>
      </c>
      <c r="G578" s="3">
        <v>94.1</v>
      </c>
      <c r="H578" s="7">
        <v>6.3</v>
      </c>
      <c r="J578" s="3"/>
      <c r="K578" s="3"/>
    </row>
    <row r="579" spans="2:12" ht="15.75" customHeight="1" x14ac:dyDescent="0.2">
      <c r="C579" s="15">
        <v>39593</v>
      </c>
      <c r="D579" s="19">
        <v>0.70138888888888884</v>
      </c>
      <c r="E579" s="3">
        <v>10</v>
      </c>
      <c r="F579" s="24">
        <v>11.51</v>
      </c>
      <c r="G579" s="3">
        <v>93</v>
      </c>
      <c r="H579" s="7">
        <v>6.1</v>
      </c>
      <c r="J579" s="3"/>
      <c r="K579" s="3"/>
    </row>
    <row r="580" spans="2:12" ht="15.75" customHeight="1" x14ac:dyDescent="0.2"/>
    <row r="581" spans="2:12" ht="15.75" customHeight="1" x14ac:dyDescent="0.2">
      <c r="C581" s="15">
        <v>39628</v>
      </c>
      <c r="D581" s="19">
        <v>0.53819444444444442</v>
      </c>
      <c r="E581" s="3"/>
      <c r="J581" s="3">
        <v>6.5</v>
      </c>
      <c r="K581" s="3">
        <v>7</v>
      </c>
      <c r="L581" s="33"/>
    </row>
    <row r="582" spans="2:12" ht="15.75" customHeight="1" x14ac:dyDescent="0.2">
      <c r="C582" s="15">
        <v>39628</v>
      </c>
      <c r="D582" s="19">
        <v>0.55555555555555558</v>
      </c>
      <c r="E582" s="3">
        <v>0.1</v>
      </c>
      <c r="F582" s="24">
        <v>9.52</v>
      </c>
      <c r="G582" s="3">
        <v>105.2</v>
      </c>
      <c r="H582" s="3">
        <v>21.3</v>
      </c>
      <c r="I582" s="3">
        <v>21.3</v>
      </c>
      <c r="L582" s="33"/>
    </row>
    <row r="583" spans="2:12" ht="15.75" customHeight="1" x14ac:dyDescent="0.2">
      <c r="C583" s="15">
        <v>39628</v>
      </c>
      <c r="D583" s="19">
        <v>0.55555555555555558</v>
      </c>
      <c r="E583" s="3">
        <v>1</v>
      </c>
      <c r="F583" s="24">
        <v>9.23</v>
      </c>
      <c r="G583" s="3">
        <v>103.2</v>
      </c>
      <c r="H583" s="3">
        <v>20.7</v>
      </c>
      <c r="I583" s="3">
        <v>20.7</v>
      </c>
      <c r="L583" s="33"/>
    </row>
    <row r="584" spans="2:12" ht="15.75" customHeight="1" x14ac:dyDescent="0.2">
      <c r="C584" s="15">
        <v>39628</v>
      </c>
      <c r="D584" s="19">
        <v>0.55555555555555558</v>
      </c>
      <c r="E584" s="3">
        <v>2</v>
      </c>
      <c r="F584" s="24">
        <v>9.3000000000000007</v>
      </c>
      <c r="G584" s="3">
        <v>101.6</v>
      </c>
      <c r="H584" s="3">
        <v>19.899999999999999</v>
      </c>
      <c r="I584" s="3">
        <v>19.899999999999999</v>
      </c>
      <c r="L584" s="33"/>
    </row>
    <row r="585" spans="2:12" ht="15.75" customHeight="1" x14ac:dyDescent="0.2">
      <c r="C585" s="15">
        <v>39628</v>
      </c>
      <c r="D585" s="19">
        <v>0.55555555555555558</v>
      </c>
      <c r="E585" s="3">
        <v>3</v>
      </c>
      <c r="F585" s="24">
        <v>9.3800000000000008</v>
      </c>
      <c r="G585" s="3">
        <v>102.1</v>
      </c>
      <c r="H585" s="3">
        <v>19.7</v>
      </c>
      <c r="I585" s="3">
        <v>19.7</v>
      </c>
      <c r="L585" s="33"/>
    </row>
    <row r="586" spans="2:12" ht="15.75" customHeight="1" x14ac:dyDescent="0.2">
      <c r="C586" s="15">
        <v>39628</v>
      </c>
      <c r="D586" s="19">
        <v>0.55555555555555558</v>
      </c>
      <c r="E586" s="3">
        <v>4</v>
      </c>
      <c r="F586" s="24">
        <v>9.57</v>
      </c>
      <c r="G586" s="3">
        <v>102.7</v>
      </c>
      <c r="H586" s="3">
        <v>18.8</v>
      </c>
      <c r="I586" s="3">
        <v>18.8</v>
      </c>
      <c r="L586" s="33"/>
    </row>
    <row r="587" spans="2:12" ht="15.75" customHeight="1" x14ac:dyDescent="0.2">
      <c r="C587" s="15">
        <v>39628</v>
      </c>
      <c r="D587" s="19">
        <v>0.55555555555555558</v>
      </c>
      <c r="E587" s="3">
        <v>5</v>
      </c>
      <c r="F587" s="24">
        <v>9.7799999999999994</v>
      </c>
      <c r="G587" s="3">
        <v>103.9</v>
      </c>
      <c r="H587" s="3">
        <v>18.5</v>
      </c>
      <c r="I587" s="3">
        <v>18.5</v>
      </c>
      <c r="L587" s="33"/>
    </row>
    <row r="588" spans="2:12" ht="15.75" customHeight="1" x14ac:dyDescent="0.2">
      <c r="C588" s="15">
        <v>39628</v>
      </c>
      <c r="D588" s="19">
        <v>0.55555555555555558</v>
      </c>
      <c r="E588" s="3">
        <v>6</v>
      </c>
      <c r="F588" s="24">
        <v>9.81</v>
      </c>
      <c r="G588" s="3">
        <v>100</v>
      </c>
      <c r="H588" s="3">
        <v>16.3</v>
      </c>
      <c r="I588" s="7">
        <f>AVERAGE(I582:I587)</f>
        <v>19.816666666666666</v>
      </c>
      <c r="L588" s="33"/>
    </row>
    <row r="589" spans="2:12" ht="15.75" customHeight="1" x14ac:dyDescent="0.2">
      <c r="C589" s="15">
        <v>39628</v>
      </c>
      <c r="D589" s="19">
        <v>0.55555555555555558</v>
      </c>
      <c r="E589" s="3">
        <v>7</v>
      </c>
      <c r="F589" s="24">
        <v>9.85</v>
      </c>
      <c r="G589" s="3">
        <v>100.5</v>
      </c>
      <c r="H589" s="3">
        <v>15.6</v>
      </c>
      <c r="L589" s="33"/>
    </row>
    <row r="590" spans="2:12" ht="15.75" customHeight="1" x14ac:dyDescent="0.2">
      <c r="C590" s="15">
        <v>39628</v>
      </c>
      <c r="D590" s="19">
        <v>0.55555555555555558</v>
      </c>
      <c r="E590" s="3">
        <v>8</v>
      </c>
      <c r="F590" s="24">
        <v>9.91</v>
      </c>
      <c r="G590" s="3">
        <v>97.5</v>
      </c>
      <c r="H590" s="7">
        <v>15</v>
      </c>
      <c r="L590" s="33"/>
    </row>
    <row r="591" spans="2:12" ht="15.75" customHeight="1" x14ac:dyDescent="0.2">
      <c r="C591" s="16"/>
      <c r="L591" s="33"/>
    </row>
    <row r="592" spans="2:12" ht="16" x14ac:dyDescent="0.2">
      <c r="B592">
        <v>11.8</v>
      </c>
      <c r="C592" s="205">
        <v>34611</v>
      </c>
      <c r="D592" s="185">
        <v>0.625</v>
      </c>
      <c r="F592"/>
      <c r="G592"/>
      <c r="H592"/>
      <c r="J592">
        <v>9.1999999999999993</v>
      </c>
    </row>
    <row r="593" spans="2:10" ht="16" x14ac:dyDescent="0.2">
      <c r="C593" s="205">
        <v>34611</v>
      </c>
      <c r="D593" s="185">
        <v>0.625</v>
      </c>
      <c r="E593">
        <v>1</v>
      </c>
      <c r="F593">
        <v>9.1999999999999993</v>
      </c>
      <c r="G593"/>
      <c r="H593">
        <v>16.8</v>
      </c>
    </row>
    <row r="594" spans="2:10" ht="16" x14ac:dyDescent="0.2">
      <c r="C594" s="205">
        <v>34611</v>
      </c>
      <c r="D594" s="185">
        <v>0.625</v>
      </c>
      <c r="E594">
        <v>10.8</v>
      </c>
      <c r="F594">
        <v>10.1</v>
      </c>
      <c r="G594"/>
      <c r="H594">
        <v>9.6</v>
      </c>
    </row>
    <row r="595" spans="2:10" ht="16" x14ac:dyDescent="0.2">
      <c r="C595"/>
      <c r="F595"/>
      <c r="G595"/>
      <c r="H595"/>
    </row>
    <row r="596" spans="2:10" ht="16" x14ac:dyDescent="0.2">
      <c r="B596">
        <v>11.9</v>
      </c>
      <c r="C596" s="205">
        <v>34584</v>
      </c>
      <c r="D596" s="185">
        <v>0.63541666666666663</v>
      </c>
      <c r="F596"/>
      <c r="G596"/>
      <c r="H596"/>
      <c r="J596">
        <v>11.3</v>
      </c>
    </row>
    <row r="597" spans="2:10" ht="16" x14ac:dyDescent="0.2">
      <c r="C597" s="205">
        <v>34584</v>
      </c>
      <c r="D597" s="185">
        <v>0.63541666666666663</v>
      </c>
      <c r="E597">
        <v>1</v>
      </c>
      <c r="F597">
        <v>8.9</v>
      </c>
      <c r="G597"/>
      <c r="H597">
        <v>20.3</v>
      </c>
    </row>
    <row r="598" spans="2:10" ht="16" x14ac:dyDescent="0.2">
      <c r="C598" s="205">
        <v>34584</v>
      </c>
      <c r="D598" s="185">
        <v>0.63541666666666663</v>
      </c>
      <c r="E598">
        <v>11</v>
      </c>
      <c r="F598">
        <v>8.4</v>
      </c>
      <c r="G598"/>
      <c r="H598">
        <v>18</v>
      </c>
    </row>
    <row r="599" spans="2:10" ht="16" x14ac:dyDescent="0.2">
      <c r="C599"/>
      <c r="F599"/>
      <c r="G599"/>
      <c r="H599"/>
    </row>
    <row r="600" spans="2:10" ht="16" x14ac:dyDescent="0.2">
      <c r="B600">
        <v>11.7</v>
      </c>
      <c r="C600" s="205">
        <v>34554</v>
      </c>
      <c r="D600" s="185">
        <v>0.67708333333333337</v>
      </c>
      <c r="F600"/>
      <c r="G600"/>
      <c r="H600"/>
      <c r="J600">
        <v>9.6999999999999993</v>
      </c>
    </row>
    <row r="601" spans="2:10" ht="16" x14ac:dyDescent="0.2">
      <c r="C601" s="205">
        <v>34554</v>
      </c>
      <c r="D601" s="185">
        <v>0.67708333333333337</v>
      </c>
      <c r="E601">
        <v>1</v>
      </c>
      <c r="F601">
        <v>9.1</v>
      </c>
      <c r="G601"/>
      <c r="H601">
        <v>22.4</v>
      </c>
    </row>
    <row r="602" spans="2:10" ht="16" x14ac:dyDescent="0.2">
      <c r="C602" s="205">
        <v>34554</v>
      </c>
      <c r="D602" s="185">
        <v>0.67708333333333337</v>
      </c>
      <c r="E602">
        <v>11</v>
      </c>
      <c r="F602">
        <v>8.3000000000000007</v>
      </c>
      <c r="G602"/>
      <c r="H602">
        <v>22</v>
      </c>
    </row>
    <row r="603" spans="2:10" ht="16" x14ac:dyDescent="0.2">
      <c r="C603"/>
      <c r="F603"/>
      <c r="G603"/>
      <c r="H603"/>
    </row>
    <row r="604" spans="2:10" ht="16" x14ac:dyDescent="0.2">
      <c r="B604">
        <v>11.7</v>
      </c>
      <c r="C604" s="205">
        <v>34527</v>
      </c>
      <c r="D604" s="185">
        <v>0.625</v>
      </c>
      <c r="F604"/>
      <c r="G604"/>
      <c r="H604"/>
      <c r="J604">
        <v>7</v>
      </c>
    </row>
    <row r="605" spans="2:10" ht="16" x14ac:dyDescent="0.2">
      <c r="C605" s="205">
        <v>34527</v>
      </c>
      <c r="D605" s="185">
        <v>0.625</v>
      </c>
      <c r="E605">
        <v>1</v>
      </c>
      <c r="F605">
        <v>9.6999999999999993</v>
      </c>
      <c r="G605"/>
      <c r="H605">
        <v>21.6</v>
      </c>
    </row>
    <row r="606" spans="2:10" ht="16" x14ac:dyDescent="0.2">
      <c r="C606" s="205">
        <v>34527</v>
      </c>
      <c r="D606" s="185">
        <v>0.625</v>
      </c>
      <c r="E606">
        <v>11</v>
      </c>
      <c r="F606">
        <v>10.199999999999999</v>
      </c>
      <c r="G606"/>
      <c r="H606">
        <v>14.3</v>
      </c>
    </row>
    <row r="607" spans="2:10" ht="16" x14ac:dyDescent="0.2">
      <c r="C607"/>
      <c r="F607"/>
      <c r="G607"/>
      <c r="H607"/>
    </row>
    <row r="608" spans="2:10" ht="16" x14ac:dyDescent="0.2">
      <c r="B608">
        <v>12</v>
      </c>
      <c r="C608" s="205">
        <v>34506</v>
      </c>
      <c r="D608" s="185">
        <v>0.625</v>
      </c>
      <c r="F608"/>
      <c r="G608"/>
      <c r="H608"/>
      <c r="J608">
        <v>8.1</v>
      </c>
    </row>
    <row r="609" spans="2:11" ht="16" x14ac:dyDescent="0.2">
      <c r="C609" s="205">
        <v>34506</v>
      </c>
      <c r="D609" s="185">
        <v>0.625</v>
      </c>
      <c r="E609">
        <v>1</v>
      </c>
      <c r="F609">
        <v>9.9</v>
      </c>
      <c r="G609"/>
      <c r="H609">
        <v>19.100000000000001</v>
      </c>
    </row>
    <row r="610" spans="2:11" ht="16" x14ac:dyDescent="0.2">
      <c r="C610" s="205">
        <v>34506</v>
      </c>
      <c r="D610" s="185">
        <v>0.625</v>
      </c>
      <c r="E610">
        <v>11</v>
      </c>
      <c r="F610">
        <v>10.5</v>
      </c>
      <c r="G610"/>
      <c r="H610">
        <v>11.5</v>
      </c>
    </row>
    <row r="611" spans="2:11" ht="16" x14ac:dyDescent="0.2">
      <c r="C611"/>
      <c r="F611"/>
      <c r="G611"/>
      <c r="H611"/>
    </row>
    <row r="612" spans="2:11" ht="16" x14ac:dyDescent="0.2">
      <c r="B612">
        <v>11.7</v>
      </c>
      <c r="C612" s="205">
        <v>34487</v>
      </c>
      <c r="D612" s="185">
        <v>0.625</v>
      </c>
      <c r="F612"/>
      <c r="G612"/>
      <c r="H612"/>
      <c r="J612">
        <v>7.3</v>
      </c>
    </row>
    <row r="613" spans="2:11" ht="16" x14ac:dyDescent="0.2">
      <c r="C613" s="205">
        <v>34487</v>
      </c>
      <c r="D613" s="185">
        <v>0.625</v>
      </c>
      <c r="E613">
        <v>1</v>
      </c>
      <c r="F613">
        <v>10.8</v>
      </c>
      <c r="G613"/>
      <c r="H613">
        <v>14.6</v>
      </c>
    </row>
    <row r="614" spans="2:11" ht="16" x14ac:dyDescent="0.2">
      <c r="C614" s="205">
        <v>34487</v>
      </c>
      <c r="D614" s="185">
        <v>0.625</v>
      </c>
      <c r="E614">
        <v>11</v>
      </c>
      <c r="F614">
        <v>10.5</v>
      </c>
      <c r="G614"/>
      <c r="H614">
        <v>11.7</v>
      </c>
    </row>
    <row r="615" spans="2:11" ht="16" x14ac:dyDescent="0.2">
      <c r="C615"/>
      <c r="F615"/>
      <c r="G615"/>
      <c r="H615"/>
    </row>
    <row r="616" spans="2:11" ht="16" x14ac:dyDescent="0.2">
      <c r="B616">
        <v>12.2</v>
      </c>
      <c r="C616" s="205">
        <v>34472</v>
      </c>
      <c r="D616" s="185">
        <v>0.64583333333333337</v>
      </c>
      <c r="F616"/>
      <c r="G616"/>
      <c r="H616"/>
      <c r="J616">
        <v>5.9</v>
      </c>
      <c r="K616" t="s">
        <v>604</v>
      </c>
    </row>
    <row r="617" spans="2:11" ht="16" x14ac:dyDescent="0.2">
      <c r="C617" s="205">
        <v>34472</v>
      </c>
      <c r="D617" s="185">
        <v>0.64583333333333337</v>
      </c>
      <c r="E617">
        <v>1</v>
      </c>
      <c r="F617">
        <v>10.7</v>
      </c>
      <c r="G617"/>
      <c r="H617">
        <v>11.5</v>
      </c>
    </row>
    <row r="618" spans="2:11" ht="16" x14ac:dyDescent="0.2">
      <c r="C618" s="205">
        <v>34472</v>
      </c>
      <c r="D618" s="185">
        <v>0.64583333333333337</v>
      </c>
      <c r="E618">
        <v>11</v>
      </c>
      <c r="F618">
        <v>11.1</v>
      </c>
      <c r="G618"/>
      <c r="H618">
        <v>7.6</v>
      </c>
    </row>
    <row r="619" spans="2:11" ht="16" x14ac:dyDescent="0.2">
      <c r="C619"/>
      <c r="F619"/>
      <c r="G619"/>
      <c r="H619"/>
    </row>
    <row r="620" spans="2:11" ht="16" x14ac:dyDescent="0.2">
      <c r="B620">
        <v>11.2</v>
      </c>
      <c r="C620" s="205">
        <v>34450</v>
      </c>
      <c r="D620" s="185">
        <v>0.64583333333333337</v>
      </c>
      <c r="F620"/>
      <c r="G620"/>
      <c r="H620"/>
      <c r="J620">
        <v>4.4000000000000004</v>
      </c>
    </row>
    <row r="621" spans="2:11" ht="16" x14ac:dyDescent="0.2">
      <c r="C621" s="205">
        <v>34450</v>
      </c>
      <c r="D621" s="185">
        <v>0.64583333333333337</v>
      </c>
      <c r="E621">
        <v>1</v>
      </c>
      <c r="F621">
        <v>11.8</v>
      </c>
      <c r="G621"/>
      <c r="H621">
        <v>6.8</v>
      </c>
    </row>
    <row r="622" spans="2:11" ht="16" x14ac:dyDescent="0.2">
      <c r="C622" s="205">
        <v>34450</v>
      </c>
      <c r="D622" s="185">
        <v>0.64583333333333337</v>
      </c>
      <c r="E622">
        <v>10</v>
      </c>
      <c r="F622">
        <v>11.4</v>
      </c>
      <c r="G622"/>
      <c r="H622">
        <v>5.5</v>
      </c>
    </row>
    <row r="623" spans="2:11" ht="16" x14ac:dyDescent="0.2">
      <c r="C623"/>
      <c r="F623"/>
      <c r="G623"/>
      <c r="H623"/>
    </row>
    <row r="624" spans="2:11" ht="16" x14ac:dyDescent="0.2">
      <c r="B624">
        <v>12</v>
      </c>
      <c r="C624" s="205">
        <v>34423</v>
      </c>
      <c r="D624" s="185">
        <v>0.41666666666666669</v>
      </c>
      <c r="F624"/>
      <c r="G624"/>
      <c r="H624"/>
      <c r="J624">
        <v>7.9</v>
      </c>
      <c r="K624" t="s">
        <v>604</v>
      </c>
    </row>
    <row r="625" spans="3:12" ht="16" x14ac:dyDescent="0.2">
      <c r="C625" s="205">
        <v>34423</v>
      </c>
      <c r="D625" s="185">
        <v>0.41666666666666669</v>
      </c>
      <c r="E625">
        <v>1</v>
      </c>
      <c r="F625">
        <v>12.4</v>
      </c>
      <c r="G625"/>
      <c r="H625">
        <v>4.3</v>
      </c>
    </row>
    <row r="626" spans="3:12" ht="16" x14ac:dyDescent="0.2">
      <c r="C626" s="205">
        <v>34423</v>
      </c>
      <c r="D626" s="185">
        <v>0.41666666666666669</v>
      </c>
      <c r="E626">
        <v>11</v>
      </c>
      <c r="F626" t="s">
        <v>599</v>
      </c>
      <c r="G626"/>
      <c r="H626" t="s">
        <v>599</v>
      </c>
    </row>
    <row r="627" spans="3:12" ht="15.75" customHeight="1" x14ac:dyDescent="0.2">
      <c r="C627" s="217"/>
      <c r="J627" s="1"/>
      <c r="K627" s="1"/>
      <c r="L627" s="33"/>
    </row>
    <row r="628" spans="3:12" ht="15.75" customHeight="1" x14ac:dyDescent="0.2">
      <c r="C628" s="16"/>
      <c r="J628" s="1"/>
      <c r="K628" s="1"/>
      <c r="L628" s="33"/>
    </row>
    <row r="629" spans="3:12" ht="15.75" customHeight="1" x14ac:dyDescent="0.2">
      <c r="C629" s="16"/>
      <c r="J629" s="1"/>
      <c r="K629" s="1"/>
      <c r="L629" s="33"/>
    </row>
    <row r="630" spans="3:12" ht="15.75" customHeight="1" x14ac:dyDescent="0.2"/>
    <row r="631" spans="3:12" ht="15.75" customHeight="1" x14ac:dyDescent="0.2"/>
    <row r="632" spans="3:12" ht="15.75" customHeight="1" x14ac:dyDescent="0.2"/>
    <row r="633" spans="3:12" ht="15.75" customHeight="1" x14ac:dyDescent="0.2"/>
    <row r="634" spans="3:12" ht="15.75" customHeight="1" x14ac:dyDescent="0.2"/>
    <row r="635" spans="3:12" ht="15.75" customHeight="1" x14ac:dyDescent="0.2"/>
    <row r="636" spans="3:12" ht="15.75" customHeight="1" x14ac:dyDescent="0.2"/>
    <row r="637" spans="3:12" ht="15.75" customHeight="1" x14ac:dyDescent="0.2"/>
    <row r="638" spans="3:12" ht="15.75" customHeight="1" x14ac:dyDescent="0.2"/>
    <row r="639" spans="3:12" ht="15.75" customHeight="1" x14ac:dyDescent="0.2"/>
    <row r="640" spans="3:12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  <row r="1082" ht="15.75" customHeight="1" x14ac:dyDescent="0.2"/>
    <row r="1083" ht="15.75" customHeight="1" x14ac:dyDescent="0.2"/>
    <row r="1084" ht="15.75" customHeight="1" x14ac:dyDescent="0.2"/>
    <row r="1085" ht="15.75" customHeight="1" x14ac:dyDescent="0.2"/>
    <row r="1086" ht="15.75" customHeight="1" x14ac:dyDescent="0.2"/>
    <row r="1087" ht="15.75" customHeight="1" x14ac:dyDescent="0.2"/>
    <row r="1088" ht="15.75" customHeight="1" x14ac:dyDescent="0.2"/>
    <row r="1089" ht="15.75" customHeight="1" x14ac:dyDescent="0.2"/>
    <row r="1090" ht="15.75" customHeight="1" x14ac:dyDescent="0.2"/>
    <row r="1091" ht="15.75" customHeight="1" x14ac:dyDescent="0.2"/>
    <row r="1092" ht="15.75" customHeight="1" x14ac:dyDescent="0.2"/>
    <row r="1093" ht="15.75" customHeight="1" x14ac:dyDescent="0.2"/>
    <row r="1094" ht="15.75" customHeight="1" x14ac:dyDescent="0.2"/>
    <row r="1095" ht="15.75" customHeight="1" x14ac:dyDescent="0.2"/>
    <row r="1096" ht="15.75" customHeight="1" x14ac:dyDescent="0.2"/>
    <row r="1097" ht="15.75" customHeight="1" x14ac:dyDescent="0.2"/>
    <row r="1098" ht="15.75" customHeight="1" x14ac:dyDescent="0.2"/>
    <row r="1099" ht="15.75" customHeight="1" x14ac:dyDescent="0.2"/>
    <row r="1100" ht="15.75" customHeight="1" x14ac:dyDescent="0.2"/>
    <row r="1101" ht="15.75" customHeight="1" x14ac:dyDescent="0.2"/>
    <row r="1102" ht="15.75" customHeight="1" x14ac:dyDescent="0.2"/>
    <row r="1103" ht="15.75" customHeight="1" x14ac:dyDescent="0.2"/>
    <row r="1104" ht="15.75" customHeight="1" x14ac:dyDescent="0.2"/>
    <row r="1105" ht="15.75" customHeight="1" x14ac:dyDescent="0.2"/>
    <row r="1106" ht="15.75" customHeight="1" x14ac:dyDescent="0.2"/>
    <row r="1107" ht="15.75" customHeight="1" x14ac:dyDescent="0.2"/>
    <row r="1108" ht="15.75" customHeight="1" x14ac:dyDescent="0.2"/>
    <row r="1109" ht="15.75" customHeight="1" x14ac:dyDescent="0.2"/>
    <row r="1110" ht="15.75" customHeight="1" x14ac:dyDescent="0.2"/>
    <row r="1111" ht="15.75" customHeight="1" x14ac:dyDescent="0.2"/>
    <row r="1112" ht="15.75" customHeight="1" x14ac:dyDescent="0.2"/>
    <row r="1113" ht="15.75" customHeight="1" x14ac:dyDescent="0.2"/>
    <row r="1114" ht="15.75" customHeight="1" x14ac:dyDescent="0.2"/>
    <row r="1115" ht="15.75" customHeight="1" x14ac:dyDescent="0.2"/>
    <row r="1116" ht="15.75" customHeight="1" x14ac:dyDescent="0.2"/>
    <row r="1117" ht="15.75" customHeight="1" x14ac:dyDescent="0.2"/>
    <row r="1118" ht="15.75" customHeight="1" x14ac:dyDescent="0.2"/>
    <row r="1119" ht="15.75" customHeight="1" x14ac:dyDescent="0.2"/>
    <row r="1120" ht="15.75" customHeight="1" x14ac:dyDescent="0.2"/>
    <row r="1121" ht="15.75" customHeight="1" x14ac:dyDescent="0.2"/>
    <row r="1122" ht="15.75" customHeight="1" x14ac:dyDescent="0.2"/>
    <row r="1123" ht="15.75" customHeight="1" x14ac:dyDescent="0.2"/>
    <row r="1124" ht="15.75" customHeight="1" x14ac:dyDescent="0.2"/>
    <row r="1125" ht="15.75" customHeight="1" x14ac:dyDescent="0.2"/>
    <row r="1126" ht="15.75" customHeight="1" x14ac:dyDescent="0.2"/>
    <row r="1127" ht="15.75" customHeight="1" x14ac:dyDescent="0.2"/>
    <row r="1128" ht="15.75" customHeight="1" x14ac:dyDescent="0.2"/>
    <row r="1129" ht="15.75" customHeight="1" x14ac:dyDescent="0.2"/>
    <row r="1130" ht="15.75" customHeight="1" x14ac:dyDescent="0.2"/>
    <row r="1131" ht="15.75" customHeight="1" x14ac:dyDescent="0.2"/>
    <row r="1132" ht="15.75" customHeight="1" x14ac:dyDescent="0.2"/>
    <row r="1133" ht="15.75" customHeight="1" x14ac:dyDescent="0.2"/>
    <row r="1134" ht="15.75" customHeight="1" x14ac:dyDescent="0.2"/>
    <row r="1135" ht="15.75" customHeight="1" x14ac:dyDescent="0.2"/>
    <row r="1136" ht="15.75" customHeight="1" x14ac:dyDescent="0.2"/>
    <row r="1137" ht="15.75" customHeight="1" x14ac:dyDescent="0.2"/>
    <row r="1138" ht="15.75" customHeight="1" x14ac:dyDescent="0.2"/>
    <row r="1139" ht="15.75" customHeight="1" x14ac:dyDescent="0.2"/>
    <row r="1140" ht="15.75" customHeight="1" x14ac:dyDescent="0.2"/>
    <row r="1141" ht="15.75" customHeight="1" x14ac:dyDescent="0.2"/>
    <row r="1142" ht="15.75" customHeight="1" x14ac:dyDescent="0.2"/>
    <row r="1143" ht="15.75" customHeight="1" x14ac:dyDescent="0.2"/>
    <row r="1144" ht="15.75" customHeight="1" x14ac:dyDescent="0.2"/>
    <row r="1145" ht="15.75" customHeight="1" x14ac:dyDescent="0.2"/>
    <row r="1146" ht="15.75" customHeight="1" x14ac:dyDescent="0.2"/>
    <row r="1147" ht="15.75" customHeight="1" x14ac:dyDescent="0.2"/>
    <row r="1148" ht="15.75" customHeight="1" x14ac:dyDescent="0.2"/>
    <row r="1149" ht="15.75" customHeight="1" x14ac:dyDescent="0.2"/>
    <row r="1150" ht="15.75" customHeight="1" x14ac:dyDescent="0.2"/>
    <row r="1151" ht="15.75" customHeight="1" x14ac:dyDescent="0.2"/>
    <row r="1152" ht="15.75" customHeight="1" x14ac:dyDescent="0.2"/>
    <row r="1153" ht="15.75" customHeight="1" x14ac:dyDescent="0.2"/>
    <row r="1154" ht="15.75" customHeight="1" x14ac:dyDescent="0.2"/>
    <row r="1155" ht="15.75" customHeight="1" x14ac:dyDescent="0.2"/>
    <row r="1156" ht="15.75" customHeight="1" x14ac:dyDescent="0.2"/>
    <row r="1157" ht="15.75" customHeight="1" x14ac:dyDescent="0.2"/>
    <row r="1158" ht="15.75" customHeight="1" x14ac:dyDescent="0.2"/>
    <row r="1159" ht="15.75" customHeight="1" x14ac:dyDescent="0.2"/>
    <row r="1160" ht="15.75" customHeight="1" x14ac:dyDescent="0.2"/>
    <row r="1161" ht="15.75" customHeight="1" x14ac:dyDescent="0.2"/>
    <row r="1162" ht="15.75" customHeight="1" x14ac:dyDescent="0.2"/>
    <row r="1163" ht="15.75" customHeight="1" x14ac:dyDescent="0.2"/>
    <row r="1164" ht="15.75" customHeight="1" x14ac:dyDescent="0.2"/>
    <row r="1165" ht="15.75" customHeight="1" x14ac:dyDescent="0.2"/>
    <row r="1166" ht="15.75" customHeight="1" x14ac:dyDescent="0.2"/>
    <row r="1167" ht="15.75" customHeight="1" x14ac:dyDescent="0.2"/>
    <row r="1168" ht="15.75" customHeight="1" x14ac:dyDescent="0.2"/>
    <row r="1169" ht="15.75" customHeight="1" x14ac:dyDescent="0.2"/>
    <row r="1170" ht="15.75" customHeight="1" x14ac:dyDescent="0.2"/>
    <row r="1171" ht="15.75" customHeight="1" x14ac:dyDescent="0.2"/>
    <row r="1172" ht="15.75" customHeight="1" x14ac:dyDescent="0.2"/>
    <row r="1173" ht="15.75" customHeight="1" x14ac:dyDescent="0.2"/>
    <row r="1174" ht="15.75" customHeight="1" x14ac:dyDescent="0.2"/>
    <row r="1175" ht="15.75" customHeight="1" x14ac:dyDescent="0.2"/>
    <row r="1176" ht="15.75" customHeight="1" x14ac:dyDescent="0.2"/>
    <row r="1177" ht="15.75" customHeight="1" x14ac:dyDescent="0.2"/>
    <row r="1178" ht="15.75" customHeight="1" x14ac:dyDescent="0.2"/>
    <row r="1179" ht="15.75" customHeight="1" x14ac:dyDescent="0.2"/>
    <row r="1180" ht="15.75" customHeight="1" x14ac:dyDescent="0.2"/>
    <row r="1181" ht="15.75" customHeight="1" x14ac:dyDescent="0.2"/>
    <row r="1182" ht="15.75" customHeight="1" x14ac:dyDescent="0.2"/>
    <row r="1183" ht="15.75" customHeight="1" x14ac:dyDescent="0.2"/>
    <row r="1184" ht="15.75" customHeight="1" x14ac:dyDescent="0.2"/>
    <row r="1185" ht="15.75" customHeight="1" x14ac:dyDescent="0.2"/>
    <row r="1186" ht="15.75" customHeight="1" x14ac:dyDescent="0.2"/>
    <row r="1187" ht="15.75" customHeight="1" x14ac:dyDescent="0.2"/>
    <row r="1188" ht="15.75" customHeight="1" x14ac:dyDescent="0.2"/>
    <row r="1189" ht="15.75" customHeight="1" x14ac:dyDescent="0.2"/>
    <row r="1190" ht="15.75" customHeight="1" x14ac:dyDescent="0.2"/>
    <row r="1191" ht="15.75" customHeight="1" x14ac:dyDescent="0.2"/>
    <row r="1192" ht="15.75" customHeight="1" x14ac:dyDescent="0.2"/>
    <row r="1193" ht="15.75" customHeight="1" x14ac:dyDescent="0.2"/>
    <row r="1194" ht="15.75" customHeight="1" x14ac:dyDescent="0.2"/>
    <row r="1195" ht="15.75" customHeight="1" x14ac:dyDescent="0.2"/>
    <row r="1196" ht="15.75" customHeight="1" x14ac:dyDescent="0.2"/>
    <row r="1197" ht="15.75" customHeight="1" x14ac:dyDescent="0.2"/>
    <row r="1198" ht="15.75" customHeight="1" x14ac:dyDescent="0.2"/>
    <row r="1199" ht="15.75" customHeight="1" x14ac:dyDescent="0.2"/>
    <row r="1200" ht="15.75" customHeight="1" x14ac:dyDescent="0.2"/>
    <row r="1201" ht="15.75" customHeight="1" x14ac:dyDescent="0.2"/>
    <row r="1202" ht="15.75" customHeight="1" x14ac:dyDescent="0.2"/>
    <row r="1203" ht="15.75" customHeight="1" x14ac:dyDescent="0.2"/>
    <row r="1204" ht="15.75" customHeight="1" x14ac:dyDescent="0.2"/>
    <row r="1205" ht="15.75" customHeight="1" x14ac:dyDescent="0.2"/>
    <row r="1206" ht="15.75" customHeight="1" x14ac:dyDescent="0.2"/>
    <row r="1207" ht="15.75" customHeight="1" x14ac:dyDescent="0.2"/>
    <row r="1208" ht="15.75" customHeight="1" x14ac:dyDescent="0.2"/>
    <row r="1209" ht="15.75" customHeight="1" x14ac:dyDescent="0.2"/>
    <row r="1210" ht="15.75" customHeight="1" x14ac:dyDescent="0.2"/>
    <row r="1211" ht="15.75" customHeight="1" x14ac:dyDescent="0.2"/>
    <row r="1212" ht="15.75" customHeight="1" x14ac:dyDescent="0.2"/>
    <row r="1213" ht="15.75" customHeight="1" x14ac:dyDescent="0.2"/>
    <row r="1214" ht="15.75" customHeight="1" x14ac:dyDescent="0.2"/>
    <row r="1215" ht="15.75" customHeight="1" x14ac:dyDescent="0.2"/>
    <row r="1216" ht="15.75" customHeight="1" x14ac:dyDescent="0.2"/>
    <row r="1217" ht="15.75" customHeight="1" x14ac:dyDescent="0.2"/>
    <row r="1218" ht="15.75" customHeight="1" x14ac:dyDescent="0.2"/>
    <row r="1219" ht="15.75" customHeight="1" x14ac:dyDescent="0.2"/>
    <row r="1220" ht="15.75" customHeight="1" x14ac:dyDescent="0.2"/>
    <row r="1221" ht="15.75" customHeight="1" x14ac:dyDescent="0.2"/>
    <row r="1222" ht="15.75" customHeight="1" x14ac:dyDescent="0.2"/>
    <row r="1223" ht="15.75" customHeight="1" x14ac:dyDescent="0.2"/>
    <row r="1224" ht="15.75" customHeight="1" x14ac:dyDescent="0.2"/>
    <row r="1225" ht="15.75" customHeight="1" x14ac:dyDescent="0.2"/>
    <row r="1226" ht="15.75" customHeight="1" x14ac:dyDescent="0.2"/>
    <row r="1227" ht="15.75" customHeight="1" x14ac:dyDescent="0.2"/>
    <row r="1228" ht="15.75" customHeight="1" x14ac:dyDescent="0.2"/>
    <row r="1229" ht="15.75" customHeight="1" x14ac:dyDescent="0.2"/>
    <row r="1230" ht="15.75" customHeight="1" x14ac:dyDescent="0.2"/>
    <row r="1231" ht="15.75" customHeight="1" x14ac:dyDescent="0.2"/>
    <row r="1232" ht="15.75" customHeight="1" x14ac:dyDescent="0.2"/>
    <row r="1233" ht="15.75" customHeight="1" x14ac:dyDescent="0.2"/>
    <row r="1234" ht="15.75" customHeight="1" x14ac:dyDescent="0.2"/>
    <row r="1235" ht="15.75" customHeight="1" x14ac:dyDescent="0.2"/>
    <row r="1236" ht="15.75" customHeight="1" x14ac:dyDescent="0.2"/>
    <row r="1237" ht="15.75" customHeight="1" x14ac:dyDescent="0.2"/>
    <row r="1238" ht="15.75" customHeight="1" x14ac:dyDescent="0.2"/>
    <row r="1239" ht="15.75" customHeight="1" x14ac:dyDescent="0.2"/>
    <row r="1240" ht="15.75" customHeight="1" x14ac:dyDescent="0.2"/>
    <row r="1241" ht="15.75" customHeight="1" x14ac:dyDescent="0.2"/>
    <row r="1242" ht="15.75" customHeight="1" x14ac:dyDescent="0.2"/>
    <row r="1243" ht="15.75" customHeight="1" x14ac:dyDescent="0.2"/>
    <row r="1244" ht="15.75" customHeight="1" x14ac:dyDescent="0.2"/>
    <row r="1245" ht="15.75" customHeight="1" x14ac:dyDescent="0.2"/>
    <row r="1246" ht="15.75" customHeight="1" x14ac:dyDescent="0.2"/>
    <row r="1247" ht="15.75" customHeight="1" x14ac:dyDescent="0.2"/>
    <row r="1248" ht="15.75" customHeight="1" x14ac:dyDescent="0.2"/>
    <row r="1249" ht="15.75" customHeight="1" x14ac:dyDescent="0.2"/>
    <row r="1250" ht="15.75" customHeight="1" x14ac:dyDescent="0.2"/>
    <row r="1251" ht="15.75" customHeight="1" x14ac:dyDescent="0.2"/>
    <row r="1252" ht="15.75" customHeight="1" x14ac:dyDescent="0.2"/>
    <row r="1253" ht="15.75" customHeight="1" x14ac:dyDescent="0.2"/>
    <row r="1254" ht="15.75" customHeight="1" x14ac:dyDescent="0.2"/>
    <row r="1255" ht="15.75" customHeight="1" x14ac:dyDescent="0.2"/>
    <row r="1256" ht="15.75" customHeight="1" x14ac:dyDescent="0.2"/>
    <row r="1257" ht="15.75" customHeight="1" x14ac:dyDescent="0.2"/>
    <row r="1258" ht="15.75" customHeight="1" x14ac:dyDescent="0.2"/>
    <row r="1259" ht="15.75" customHeight="1" x14ac:dyDescent="0.2"/>
    <row r="1260" ht="15.75" customHeight="1" x14ac:dyDescent="0.2"/>
    <row r="1261" ht="15.75" customHeight="1" x14ac:dyDescent="0.2"/>
    <row r="1262" ht="15.75" customHeight="1" x14ac:dyDescent="0.2"/>
    <row r="1263" ht="15.75" customHeight="1" x14ac:dyDescent="0.2"/>
    <row r="1264" ht="15.75" customHeight="1" x14ac:dyDescent="0.2"/>
    <row r="1265" ht="15.75" customHeight="1" x14ac:dyDescent="0.2"/>
    <row r="1266" ht="15.75" customHeight="1" x14ac:dyDescent="0.2"/>
    <row r="1267" ht="15.75" customHeight="1" x14ac:dyDescent="0.2"/>
    <row r="1268" ht="15.75" customHeight="1" x14ac:dyDescent="0.2"/>
    <row r="1269" ht="15.75" customHeight="1" x14ac:dyDescent="0.2"/>
    <row r="1270" ht="15.75" customHeight="1" x14ac:dyDescent="0.2"/>
    <row r="1271" ht="15.75" customHeight="1" x14ac:dyDescent="0.2"/>
    <row r="1272" ht="15.75" customHeight="1" x14ac:dyDescent="0.2"/>
    <row r="1273" ht="15.75" customHeight="1" x14ac:dyDescent="0.2"/>
    <row r="1274" ht="15.75" customHeight="1" x14ac:dyDescent="0.2"/>
    <row r="1275" ht="15.75" customHeight="1" x14ac:dyDescent="0.2"/>
    <row r="1276" ht="15.75" customHeight="1" x14ac:dyDescent="0.2"/>
    <row r="1277" ht="15.75" customHeight="1" x14ac:dyDescent="0.2"/>
    <row r="1278" ht="15.75" customHeight="1" x14ac:dyDescent="0.2"/>
    <row r="1279" ht="15.75" customHeight="1" x14ac:dyDescent="0.2"/>
    <row r="1280" ht="15.75" customHeight="1" x14ac:dyDescent="0.2"/>
    <row r="1281" ht="15.75" customHeight="1" x14ac:dyDescent="0.2"/>
    <row r="1282" ht="15.75" customHeight="1" x14ac:dyDescent="0.2"/>
    <row r="1283" ht="15.75" customHeight="1" x14ac:dyDescent="0.2"/>
    <row r="1284" ht="15.75" customHeight="1" x14ac:dyDescent="0.2"/>
    <row r="1285" ht="15.75" customHeight="1" x14ac:dyDescent="0.2"/>
    <row r="1286" ht="15.75" customHeight="1" x14ac:dyDescent="0.2"/>
    <row r="1287" ht="15.75" customHeight="1" x14ac:dyDescent="0.2"/>
    <row r="1288" ht="15.75" customHeight="1" x14ac:dyDescent="0.2"/>
    <row r="1289" ht="15.75" customHeight="1" x14ac:dyDescent="0.2"/>
    <row r="1290" ht="15.75" customHeight="1" x14ac:dyDescent="0.2"/>
    <row r="1291" ht="15.75" customHeight="1" x14ac:dyDescent="0.2"/>
    <row r="1292" ht="15.75" customHeight="1" x14ac:dyDescent="0.2"/>
    <row r="1293" ht="15.75" customHeight="1" x14ac:dyDescent="0.2"/>
    <row r="1294" ht="15.75" customHeight="1" x14ac:dyDescent="0.2"/>
    <row r="1295" ht="15.75" customHeight="1" x14ac:dyDescent="0.2"/>
    <row r="1296" ht="15.75" customHeight="1" x14ac:dyDescent="0.2"/>
    <row r="1297" ht="15.75" customHeight="1" x14ac:dyDescent="0.2"/>
    <row r="1298" ht="15.75" customHeight="1" x14ac:dyDescent="0.2"/>
    <row r="1299" ht="15.75" customHeight="1" x14ac:dyDescent="0.2"/>
    <row r="1300" ht="15.75" customHeight="1" x14ac:dyDescent="0.2"/>
    <row r="1301" ht="15.75" customHeight="1" x14ac:dyDescent="0.2"/>
    <row r="1302" ht="15.75" customHeight="1" x14ac:dyDescent="0.2"/>
    <row r="1303" ht="15.75" customHeight="1" x14ac:dyDescent="0.2"/>
    <row r="1304" ht="15.75" customHeight="1" x14ac:dyDescent="0.2"/>
    <row r="1305" ht="15.75" customHeight="1" x14ac:dyDescent="0.2"/>
    <row r="1306" ht="15.75" customHeight="1" x14ac:dyDescent="0.2"/>
    <row r="1307" ht="15.75" customHeight="1" x14ac:dyDescent="0.2"/>
    <row r="1308" ht="15.75" customHeight="1" x14ac:dyDescent="0.2"/>
    <row r="1309" ht="15.75" customHeight="1" x14ac:dyDescent="0.2"/>
    <row r="1310" ht="15.75" customHeight="1" x14ac:dyDescent="0.2"/>
    <row r="1311" ht="15.75" customHeight="1" x14ac:dyDescent="0.2"/>
    <row r="1312" ht="15.75" customHeight="1" x14ac:dyDescent="0.2"/>
    <row r="1313" ht="15.75" customHeight="1" x14ac:dyDescent="0.2"/>
    <row r="1314" ht="15.75" customHeight="1" x14ac:dyDescent="0.2"/>
    <row r="1315" ht="15.75" customHeight="1" x14ac:dyDescent="0.2"/>
    <row r="1316" ht="15.75" customHeight="1" x14ac:dyDescent="0.2"/>
    <row r="1317" ht="15.75" customHeight="1" x14ac:dyDescent="0.2"/>
    <row r="1318" ht="15.75" customHeight="1" x14ac:dyDescent="0.2"/>
    <row r="1319" ht="15.75" customHeight="1" x14ac:dyDescent="0.2"/>
    <row r="1320" ht="15.75" customHeight="1" x14ac:dyDescent="0.2"/>
    <row r="1321" ht="15.75" customHeight="1" x14ac:dyDescent="0.2"/>
    <row r="1322" ht="15.75" customHeight="1" x14ac:dyDescent="0.2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41"/>
  <sheetViews>
    <sheetView workbookViewId="0">
      <pane ySplit="1" topLeftCell="A148" activePane="bottomLeft" state="frozen"/>
      <selection pane="bottomLeft" activeCell="P172" sqref="P172"/>
    </sheetView>
  </sheetViews>
  <sheetFormatPr baseColWidth="10" defaultColWidth="11.1640625" defaultRowHeight="15" customHeight="1" x14ac:dyDescent="0.2"/>
  <cols>
    <col min="1" max="4" width="10.5" customWidth="1"/>
    <col min="5" max="5" width="10.5" style="190" customWidth="1"/>
    <col min="6" max="26" width="10.5" customWidth="1"/>
  </cols>
  <sheetData>
    <row r="1" spans="1:26" ht="33.75" customHeight="1" x14ac:dyDescent="0.2">
      <c r="A1" s="3"/>
      <c r="B1" s="3" t="s">
        <v>49</v>
      </c>
      <c r="C1" s="3" t="s">
        <v>50</v>
      </c>
      <c r="D1" s="3" t="s">
        <v>51</v>
      </c>
      <c r="E1" s="3" t="s">
        <v>52</v>
      </c>
      <c r="F1" s="2" t="s">
        <v>53</v>
      </c>
      <c r="G1" s="3" t="s">
        <v>54</v>
      </c>
      <c r="H1" s="2" t="s">
        <v>55</v>
      </c>
      <c r="I1" s="2"/>
      <c r="J1" s="2" t="s">
        <v>57</v>
      </c>
      <c r="K1" s="2" t="s">
        <v>58</v>
      </c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B2" s="3" t="s">
        <v>37</v>
      </c>
      <c r="C2" s="3"/>
      <c r="D2" s="3"/>
      <c r="E2" s="3"/>
      <c r="F2" s="2"/>
      <c r="G2" s="3"/>
      <c r="H2" s="2"/>
      <c r="I2" s="2"/>
      <c r="J2" s="2"/>
      <c r="K2" s="2"/>
      <c r="L2" s="2"/>
      <c r="M2" s="2"/>
      <c r="N2" s="3"/>
      <c r="O2" s="3"/>
      <c r="P2" s="3"/>
    </row>
    <row r="3" spans="1:26" ht="15.75" customHeight="1" x14ac:dyDescent="0.2">
      <c r="A3" s="4"/>
      <c r="B3" s="4" t="s">
        <v>59</v>
      </c>
      <c r="C3" s="3"/>
      <c r="D3" s="3"/>
      <c r="E3" s="3"/>
      <c r="F3" s="2"/>
      <c r="G3" s="3"/>
      <c r="H3" s="2"/>
      <c r="I3" s="2"/>
      <c r="J3" s="2"/>
      <c r="K3" s="2"/>
      <c r="L3" s="2"/>
      <c r="M3" s="2"/>
      <c r="N3" s="3"/>
      <c r="O3" s="3"/>
      <c r="P3" s="3"/>
    </row>
    <row r="4" spans="1:26" ht="15.75" customHeight="1" x14ac:dyDescent="0.2">
      <c r="A4" s="4" t="s">
        <v>60</v>
      </c>
      <c r="B4" s="4" t="s">
        <v>99</v>
      </c>
      <c r="C4" s="3"/>
      <c r="D4" s="3"/>
      <c r="E4" s="3"/>
      <c r="F4" s="2"/>
      <c r="G4" s="3"/>
      <c r="H4" s="2"/>
      <c r="I4" s="2"/>
      <c r="J4" s="2"/>
      <c r="K4" s="2"/>
      <c r="L4" s="2"/>
      <c r="M4" s="2"/>
      <c r="N4" s="3"/>
      <c r="O4" s="3"/>
      <c r="P4" s="3"/>
    </row>
    <row r="5" spans="1:26" ht="15.75" customHeight="1" x14ac:dyDescent="0.2">
      <c r="A5" s="4"/>
      <c r="B5" s="5" t="s">
        <v>62</v>
      </c>
      <c r="C5" s="3"/>
      <c r="D5" s="3"/>
      <c r="E5" s="3"/>
      <c r="F5" s="2"/>
      <c r="G5" s="3"/>
      <c r="H5" s="2"/>
      <c r="I5" s="2"/>
      <c r="J5" s="2"/>
      <c r="K5" s="2"/>
      <c r="L5" s="2"/>
      <c r="M5" s="2"/>
      <c r="N5" s="3"/>
      <c r="O5" s="3"/>
      <c r="P5" s="3"/>
    </row>
    <row r="6" spans="1:26" ht="15.75" customHeight="1" x14ac:dyDescent="0.2">
      <c r="C6" s="3"/>
      <c r="D6" s="3"/>
      <c r="E6" s="3"/>
      <c r="F6" s="2"/>
      <c r="G6" s="3"/>
      <c r="H6" s="2"/>
      <c r="I6" s="2"/>
      <c r="J6" s="2"/>
      <c r="K6" s="2"/>
      <c r="L6" s="2"/>
      <c r="M6" s="2"/>
      <c r="N6" s="3"/>
      <c r="O6" s="3"/>
      <c r="P6" s="3"/>
    </row>
    <row r="7" spans="1:26" ht="15.75" customHeight="1" x14ac:dyDescent="0.2">
      <c r="C7" s="15">
        <v>45097</v>
      </c>
      <c r="D7" s="19">
        <v>0.4375</v>
      </c>
      <c r="E7" s="3"/>
      <c r="F7" s="2"/>
      <c r="G7" s="3"/>
      <c r="H7" s="2"/>
      <c r="I7" s="2"/>
      <c r="J7" s="2">
        <v>8.5</v>
      </c>
      <c r="K7" s="2">
        <v>8.5</v>
      </c>
      <c r="L7" s="2"/>
      <c r="M7" s="2"/>
      <c r="N7" s="3"/>
      <c r="O7" s="3"/>
      <c r="P7" s="3"/>
    </row>
    <row r="8" spans="1:26" ht="15.75" customHeight="1" x14ac:dyDescent="0.2">
      <c r="C8" s="15">
        <v>45097</v>
      </c>
      <c r="D8" s="19">
        <v>0.44791666666666669</v>
      </c>
      <c r="E8" s="216">
        <v>0.1</v>
      </c>
      <c r="F8" s="2">
        <v>10.59</v>
      </c>
      <c r="G8" s="3">
        <v>106.3</v>
      </c>
      <c r="H8" s="2">
        <v>15.6</v>
      </c>
      <c r="I8" s="2"/>
      <c r="J8" s="2"/>
      <c r="K8" s="2"/>
      <c r="L8" s="2"/>
      <c r="M8" s="2"/>
      <c r="N8" s="3"/>
      <c r="O8" s="3"/>
      <c r="P8" s="3"/>
    </row>
    <row r="9" spans="1:26" ht="15.75" customHeight="1" x14ac:dyDescent="0.2">
      <c r="C9" s="15">
        <v>45097</v>
      </c>
      <c r="D9" s="19">
        <v>0.44791666666666669</v>
      </c>
      <c r="E9" s="216">
        <v>1</v>
      </c>
      <c r="F9" s="2">
        <v>10.55</v>
      </c>
      <c r="G9" s="3">
        <v>106.2</v>
      </c>
      <c r="H9" s="2">
        <v>15.7</v>
      </c>
      <c r="I9" s="2"/>
      <c r="J9" s="2"/>
      <c r="K9" s="2"/>
      <c r="L9" s="2"/>
      <c r="M9" s="2"/>
      <c r="N9" s="3"/>
      <c r="O9" s="3"/>
      <c r="P9" s="3"/>
    </row>
    <row r="10" spans="1:26" ht="15.75" customHeight="1" x14ac:dyDescent="0.2">
      <c r="C10" s="15">
        <v>45097</v>
      </c>
      <c r="D10" s="19">
        <v>0.44791666666666669</v>
      </c>
      <c r="E10" s="216">
        <v>2</v>
      </c>
      <c r="F10" s="2">
        <v>10.59</v>
      </c>
      <c r="G10" s="3">
        <v>106.3</v>
      </c>
      <c r="H10" s="2">
        <v>15.6</v>
      </c>
      <c r="I10" s="2"/>
      <c r="J10" s="2"/>
      <c r="K10" s="2"/>
      <c r="L10" s="2"/>
      <c r="M10" s="2"/>
      <c r="N10" s="3"/>
      <c r="O10" s="3"/>
      <c r="P10" s="3"/>
    </row>
    <row r="11" spans="1:26" ht="15.75" customHeight="1" x14ac:dyDescent="0.2">
      <c r="C11" s="15">
        <v>45097</v>
      </c>
      <c r="D11" s="19">
        <v>0.44791666666666669</v>
      </c>
      <c r="E11" s="216">
        <v>3</v>
      </c>
      <c r="F11" s="2">
        <v>10.66</v>
      </c>
      <c r="G11" s="3">
        <v>106.8</v>
      </c>
      <c r="H11" s="2">
        <v>15.5</v>
      </c>
      <c r="I11" s="2"/>
      <c r="J11" s="2"/>
      <c r="K11" s="2"/>
      <c r="L11" s="2"/>
      <c r="M11" s="2"/>
      <c r="N11" s="3"/>
      <c r="O11" s="3"/>
      <c r="P11" s="3"/>
    </row>
    <row r="12" spans="1:26" ht="15.75" customHeight="1" x14ac:dyDescent="0.2">
      <c r="C12" s="15">
        <v>45097</v>
      </c>
      <c r="D12" s="19">
        <v>0.44791666666666669</v>
      </c>
      <c r="E12" s="216">
        <v>4</v>
      </c>
      <c r="F12" s="2">
        <v>10.72</v>
      </c>
      <c r="G12" s="3">
        <v>107.1</v>
      </c>
      <c r="H12" s="2">
        <v>15.4</v>
      </c>
      <c r="I12" s="2"/>
      <c r="J12" s="2"/>
      <c r="K12" s="2"/>
      <c r="L12" s="2"/>
      <c r="M12" s="2"/>
      <c r="N12" s="3"/>
      <c r="O12" s="3"/>
      <c r="P12" s="3"/>
    </row>
    <row r="13" spans="1:26" ht="15.75" customHeight="1" x14ac:dyDescent="0.2">
      <c r="C13" s="15">
        <v>45097</v>
      </c>
      <c r="D13" s="19">
        <v>0.44791666666666669</v>
      </c>
      <c r="E13" s="216">
        <v>5</v>
      </c>
      <c r="F13" s="2">
        <v>10.81</v>
      </c>
      <c r="G13" s="3">
        <v>107.9</v>
      </c>
      <c r="H13" s="2">
        <v>15.3</v>
      </c>
      <c r="I13" s="2"/>
      <c r="J13" s="2"/>
      <c r="K13" s="2"/>
      <c r="L13" s="2"/>
      <c r="M13" s="2"/>
      <c r="N13" s="3"/>
      <c r="O13" s="3"/>
      <c r="P13" s="3"/>
    </row>
    <row r="14" spans="1:26" ht="15.75" customHeight="1" x14ac:dyDescent="0.2">
      <c r="C14" s="15">
        <v>45097</v>
      </c>
      <c r="D14" s="19">
        <v>0.44791666666666669</v>
      </c>
      <c r="E14" s="216">
        <v>6</v>
      </c>
      <c r="F14" s="2">
        <v>11.44</v>
      </c>
      <c r="G14" s="3">
        <v>111.7</v>
      </c>
      <c r="H14" s="2">
        <v>14.3</v>
      </c>
      <c r="I14" s="2"/>
      <c r="J14" s="2"/>
      <c r="K14" s="2"/>
      <c r="L14" s="2"/>
      <c r="M14" s="2"/>
      <c r="N14" s="3"/>
      <c r="O14" s="3"/>
      <c r="P14" s="3"/>
    </row>
    <row r="15" spans="1:26" ht="15.75" customHeight="1" x14ac:dyDescent="0.2">
      <c r="C15" s="15">
        <v>45097</v>
      </c>
      <c r="D15" s="19">
        <v>0.44791666666666669</v>
      </c>
      <c r="E15" s="216">
        <v>7</v>
      </c>
      <c r="F15" s="2">
        <v>11.58</v>
      </c>
      <c r="G15" s="3">
        <v>112.5</v>
      </c>
      <c r="H15" s="2">
        <v>14.1</v>
      </c>
      <c r="I15" s="2"/>
      <c r="J15" s="2"/>
      <c r="K15" s="2"/>
      <c r="L15" s="2"/>
      <c r="M15" s="2"/>
      <c r="N15" s="3"/>
      <c r="O15" s="3"/>
      <c r="P15" s="3"/>
    </row>
    <row r="16" spans="1:26" ht="15.75" customHeight="1" x14ac:dyDescent="0.2">
      <c r="C16" s="15">
        <v>45097</v>
      </c>
      <c r="D16" s="19">
        <v>0.44791666666666669</v>
      </c>
      <c r="E16" s="216">
        <v>8</v>
      </c>
      <c r="F16" s="2">
        <v>10.3</v>
      </c>
      <c r="G16" s="3">
        <v>99</v>
      </c>
      <c r="H16" s="2">
        <v>13.7</v>
      </c>
      <c r="I16" s="2"/>
      <c r="J16" s="2"/>
      <c r="K16" s="2"/>
      <c r="L16" s="2"/>
      <c r="M16" s="2"/>
      <c r="N16" s="3"/>
      <c r="O16" s="3"/>
      <c r="P16" s="3"/>
    </row>
    <row r="17" spans="3:16" ht="15.75" customHeight="1" x14ac:dyDescent="0.2">
      <c r="C17" s="15"/>
      <c r="D17" s="19"/>
      <c r="E17" s="216"/>
      <c r="F17" s="2"/>
      <c r="G17" s="3"/>
      <c r="H17" s="2"/>
      <c r="I17" s="2"/>
      <c r="J17" s="2"/>
      <c r="K17" s="2"/>
      <c r="L17" s="2"/>
      <c r="M17" s="2"/>
      <c r="N17" s="3"/>
      <c r="O17" s="3"/>
      <c r="P17" s="3"/>
    </row>
    <row r="18" spans="3:16" ht="15.75" customHeight="1" x14ac:dyDescent="0.2">
      <c r="C18" s="15">
        <v>45134</v>
      </c>
      <c r="D18" s="19">
        <v>0.37916666666666665</v>
      </c>
      <c r="E18" s="216"/>
      <c r="F18" s="2"/>
      <c r="G18" s="3"/>
      <c r="H18" s="2"/>
      <c r="I18" s="2"/>
      <c r="J18" s="2">
        <v>7.5</v>
      </c>
      <c r="K18" s="2">
        <v>7.5</v>
      </c>
      <c r="L18" s="2"/>
      <c r="M18" s="2"/>
      <c r="N18" s="3"/>
      <c r="O18" s="3"/>
      <c r="P18" s="3"/>
    </row>
    <row r="19" spans="3:16" ht="15.75" customHeight="1" x14ac:dyDescent="0.2">
      <c r="C19" s="15">
        <v>45134</v>
      </c>
      <c r="D19" s="19">
        <v>0.37916666666666665</v>
      </c>
      <c r="E19" s="216">
        <v>0.1</v>
      </c>
      <c r="F19" s="2">
        <v>9.25</v>
      </c>
      <c r="G19" s="3">
        <v>104.3</v>
      </c>
      <c r="H19" s="2">
        <v>21.3</v>
      </c>
      <c r="I19" s="2"/>
      <c r="J19" s="2"/>
      <c r="K19" s="2"/>
      <c r="L19" s="2"/>
      <c r="M19" s="2"/>
      <c r="N19" s="3"/>
      <c r="O19" s="3"/>
      <c r="P19" s="3"/>
    </row>
    <row r="20" spans="3:16" ht="15.75" customHeight="1" x14ac:dyDescent="0.2">
      <c r="C20" s="15">
        <v>45134</v>
      </c>
      <c r="D20" s="19">
        <v>0.37916666666666665</v>
      </c>
      <c r="E20" s="216">
        <v>1</v>
      </c>
      <c r="F20" s="2">
        <v>9.27</v>
      </c>
      <c r="G20" s="3">
        <v>104.4</v>
      </c>
      <c r="H20" s="2">
        <v>21.2</v>
      </c>
      <c r="I20" s="2"/>
      <c r="J20" s="2"/>
      <c r="K20" s="2"/>
      <c r="L20" s="2"/>
      <c r="M20" s="2"/>
      <c r="N20" s="3"/>
      <c r="O20" s="3"/>
      <c r="P20" s="3"/>
    </row>
    <row r="21" spans="3:16" ht="15.75" customHeight="1" x14ac:dyDescent="0.2">
      <c r="C21" s="15">
        <v>45134</v>
      </c>
      <c r="D21" s="19">
        <v>0.37916666666666665</v>
      </c>
      <c r="E21" s="216">
        <v>2</v>
      </c>
      <c r="F21" s="2">
        <v>9.25</v>
      </c>
      <c r="G21" s="3">
        <v>104.1</v>
      </c>
      <c r="H21" s="2">
        <v>21.2</v>
      </c>
      <c r="I21" s="2"/>
      <c r="J21" s="2"/>
      <c r="K21" s="2"/>
      <c r="L21" s="2"/>
      <c r="M21" s="2"/>
      <c r="N21" s="3"/>
      <c r="O21" s="3"/>
      <c r="P21" s="3"/>
    </row>
    <row r="22" spans="3:16" ht="15.75" customHeight="1" x14ac:dyDescent="0.2">
      <c r="C22" s="15">
        <v>45134</v>
      </c>
      <c r="D22" s="19">
        <v>0.37916666666666665</v>
      </c>
      <c r="E22" s="216">
        <v>3</v>
      </c>
      <c r="F22" s="2">
        <v>9.25</v>
      </c>
      <c r="G22" s="3">
        <v>103.9</v>
      </c>
      <c r="H22" s="2">
        <v>21.1</v>
      </c>
      <c r="I22" s="2"/>
      <c r="J22" s="2"/>
      <c r="K22" s="2"/>
      <c r="L22" s="2"/>
      <c r="M22" s="2"/>
      <c r="N22" s="3"/>
      <c r="O22" s="3"/>
      <c r="P22" s="3"/>
    </row>
    <row r="23" spans="3:16" ht="15.75" customHeight="1" x14ac:dyDescent="0.2">
      <c r="C23" s="15">
        <v>45134</v>
      </c>
      <c r="D23" s="19">
        <v>0.37916666666666665</v>
      </c>
      <c r="E23" s="216">
        <v>4</v>
      </c>
      <c r="F23" s="2">
        <v>9.23</v>
      </c>
      <c r="G23" s="3">
        <v>103.7</v>
      </c>
      <c r="H23" s="2">
        <v>21.1</v>
      </c>
      <c r="I23" s="2"/>
      <c r="J23" s="2"/>
      <c r="K23" s="2"/>
      <c r="L23" s="2"/>
      <c r="M23" s="2"/>
      <c r="N23" s="3"/>
      <c r="O23" s="3"/>
      <c r="P23" s="3"/>
    </row>
    <row r="24" spans="3:16" ht="15.75" customHeight="1" x14ac:dyDescent="0.2">
      <c r="C24" s="15">
        <v>45134</v>
      </c>
      <c r="D24" s="19">
        <v>0.37916666666666665</v>
      </c>
      <c r="E24" s="216">
        <v>5</v>
      </c>
      <c r="F24" s="2">
        <v>9.2100000000000009</v>
      </c>
      <c r="G24" s="3">
        <v>103.5</v>
      </c>
      <c r="H24" s="2">
        <v>21.1</v>
      </c>
      <c r="I24" s="2"/>
      <c r="J24" s="2"/>
      <c r="K24" s="2"/>
      <c r="L24" s="2"/>
      <c r="M24" s="2"/>
      <c r="N24" s="3"/>
      <c r="O24" s="3"/>
      <c r="P24" s="3"/>
    </row>
    <row r="25" spans="3:16" ht="15.75" customHeight="1" x14ac:dyDescent="0.2">
      <c r="C25" s="15">
        <v>45134</v>
      </c>
      <c r="D25" s="19">
        <v>0.37916666666666665</v>
      </c>
      <c r="E25" s="216">
        <v>6</v>
      </c>
      <c r="F25" s="2">
        <v>9.1999999999999993</v>
      </c>
      <c r="G25" s="3">
        <v>103.4</v>
      </c>
      <c r="H25" s="2">
        <v>21.1</v>
      </c>
      <c r="I25" s="2"/>
      <c r="J25" s="2"/>
      <c r="K25" s="2"/>
      <c r="L25" s="2"/>
      <c r="M25" s="2"/>
      <c r="N25" s="3"/>
      <c r="O25" s="3"/>
      <c r="P25" s="3"/>
    </row>
    <row r="26" spans="3:16" ht="15.75" customHeight="1" x14ac:dyDescent="0.2">
      <c r="C26" s="15">
        <v>45134</v>
      </c>
      <c r="D26" s="19">
        <v>0.37916666666666665</v>
      </c>
      <c r="E26" s="216">
        <v>7</v>
      </c>
      <c r="F26" s="2">
        <v>9.2799999999999994</v>
      </c>
      <c r="G26" s="3">
        <v>104.2</v>
      </c>
      <c r="H26" s="2">
        <v>21.1</v>
      </c>
      <c r="I26" s="2"/>
      <c r="J26" s="2"/>
      <c r="K26" s="2"/>
      <c r="L26" s="2"/>
      <c r="M26" s="2"/>
      <c r="N26" s="3"/>
      <c r="O26" s="3"/>
      <c r="P26" s="3"/>
    </row>
    <row r="27" spans="3:16" ht="15.75" customHeight="1" x14ac:dyDescent="0.2">
      <c r="C27" s="15"/>
      <c r="D27" s="19"/>
      <c r="E27" s="216"/>
      <c r="F27" s="2"/>
      <c r="G27" s="3"/>
      <c r="H27" s="2"/>
      <c r="I27" s="2"/>
      <c r="J27" s="2"/>
      <c r="K27" s="2"/>
      <c r="L27" s="2"/>
      <c r="M27" s="2"/>
      <c r="N27" s="3"/>
      <c r="O27" s="3"/>
      <c r="P27" s="3"/>
    </row>
    <row r="28" spans="3:16" ht="15.75" customHeight="1" x14ac:dyDescent="0.2">
      <c r="C28" s="15">
        <v>45161</v>
      </c>
      <c r="D28" s="19">
        <v>0.4055555555555555</v>
      </c>
      <c r="E28" s="216"/>
      <c r="F28" s="2"/>
      <c r="G28" s="3"/>
      <c r="H28" s="2"/>
      <c r="I28" s="2"/>
      <c r="J28" s="2">
        <v>7</v>
      </c>
      <c r="K28" s="2">
        <v>7</v>
      </c>
      <c r="L28" s="2"/>
      <c r="M28" s="2"/>
      <c r="N28" s="3"/>
      <c r="O28" s="3"/>
      <c r="P28" s="3"/>
    </row>
    <row r="29" spans="3:16" ht="15.75" customHeight="1" x14ac:dyDescent="0.2">
      <c r="C29" s="15">
        <v>45161</v>
      </c>
      <c r="D29" s="19">
        <v>0.40625</v>
      </c>
      <c r="E29" s="216">
        <v>0.1</v>
      </c>
      <c r="F29" s="2">
        <v>9.33</v>
      </c>
      <c r="G29" s="3">
        <v>104</v>
      </c>
      <c r="H29" s="2">
        <v>20.9</v>
      </c>
      <c r="I29" s="2"/>
      <c r="J29" s="2"/>
      <c r="K29" s="2"/>
      <c r="L29" s="2"/>
      <c r="M29" s="2"/>
      <c r="N29" s="3"/>
      <c r="O29" s="3"/>
      <c r="P29" s="3"/>
    </row>
    <row r="30" spans="3:16" ht="15.75" customHeight="1" x14ac:dyDescent="0.2">
      <c r="C30" s="15">
        <v>45161</v>
      </c>
      <c r="D30" s="19">
        <v>0.40625</v>
      </c>
      <c r="E30" s="216">
        <v>1</v>
      </c>
      <c r="F30" s="2">
        <v>9.26</v>
      </c>
      <c r="G30" s="3">
        <v>103.9</v>
      </c>
      <c r="H30" s="2">
        <v>21</v>
      </c>
      <c r="I30" s="2"/>
      <c r="J30" s="2"/>
      <c r="K30" s="2"/>
      <c r="L30" s="2"/>
      <c r="M30" s="2"/>
      <c r="N30" s="3"/>
      <c r="O30" s="3"/>
      <c r="P30" s="3"/>
    </row>
    <row r="31" spans="3:16" ht="15.75" customHeight="1" x14ac:dyDescent="0.2">
      <c r="C31" s="15">
        <v>45161</v>
      </c>
      <c r="D31" s="19">
        <v>0.40625</v>
      </c>
      <c r="E31" s="216">
        <v>2</v>
      </c>
      <c r="F31" s="2">
        <v>9.2100000000000009</v>
      </c>
      <c r="G31" s="3">
        <v>103.5</v>
      </c>
      <c r="H31" s="2">
        <v>21.1</v>
      </c>
      <c r="I31" s="2"/>
      <c r="J31" s="2"/>
      <c r="K31" s="2"/>
      <c r="L31" s="2"/>
      <c r="M31" s="2"/>
      <c r="N31" s="3"/>
      <c r="O31" s="3"/>
      <c r="P31" s="3"/>
    </row>
    <row r="32" spans="3:16" ht="15.75" customHeight="1" x14ac:dyDescent="0.2">
      <c r="C32" s="15">
        <v>45161</v>
      </c>
      <c r="D32" s="19">
        <v>0.40625</v>
      </c>
      <c r="E32" s="216">
        <v>3</v>
      </c>
      <c r="F32" s="2">
        <v>9.18</v>
      </c>
      <c r="G32" s="3">
        <v>103.2</v>
      </c>
      <c r="H32" s="2">
        <v>21.1</v>
      </c>
      <c r="I32" s="2"/>
      <c r="J32" s="2"/>
      <c r="K32" s="2"/>
      <c r="L32" s="2"/>
      <c r="M32" s="2"/>
      <c r="N32" s="3"/>
      <c r="O32" s="3"/>
      <c r="P32" s="3"/>
    </row>
    <row r="33" spans="3:16" ht="15.75" customHeight="1" x14ac:dyDescent="0.2">
      <c r="C33" s="15">
        <v>45161</v>
      </c>
      <c r="D33" s="19">
        <v>0.40625</v>
      </c>
      <c r="E33" s="216">
        <v>4</v>
      </c>
      <c r="F33" s="2">
        <v>9.16</v>
      </c>
      <c r="G33" s="3">
        <v>103</v>
      </c>
      <c r="H33" s="2">
        <v>21.1</v>
      </c>
      <c r="I33" s="2"/>
      <c r="J33" s="2"/>
      <c r="K33" s="2"/>
      <c r="L33" s="2"/>
      <c r="M33" s="2"/>
      <c r="N33" s="3"/>
      <c r="O33" s="3"/>
      <c r="P33" s="3"/>
    </row>
    <row r="34" spans="3:16" ht="15.75" customHeight="1" x14ac:dyDescent="0.2">
      <c r="C34" s="15">
        <v>45161</v>
      </c>
      <c r="D34" s="19">
        <v>0.40625</v>
      </c>
      <c r="E34" s="216">
        <v>5</v>
      </c>
      <c r="F34" s="2">
        <v>9.14</v>
      </c>
      <c r="G34" s="3">
        <v>102.8</v>
      </c>
      <c r="H34" s="2">
        <v>21.1</v>
      </c>
      <c r="I34" s="2"/>
      <c r="J34" s="2"/>
      <c r="K34" s="2"/>
      <c r="L34" s="2"/>
      <c r="M34" s="2"/>
      <c r="N34" s="3"/>
      <c r="O34" s="3"/>
      <c r="P34" s="3"/>
    </row>
    <row r="35" spans="3:16" ht="15.75" customHeight="1" x14ac:dyDescent="0.2">
      <c r="C35" s="15">
        <v>45161</v>
      </c>
      <c r="D35" s="19">
        <v>0.40625</v>
      </c>
      <c r="E35" s="216">
        <v>6</v>
      </c>
      <c r="F35" s="2">
        <v>9.11</v>
      </c>
      <c r="G35" s="3">
        <v>102.4</v>
      </c>
      <c r="H35" s="2">
        <v>21.1</v>
      </c>
      <c r="I35" s="2"/>
      <c r="J35" s="2"/>
      <c r="K35" s="2"/>
      <c r="L35" s="2"/>
      <c r="M35" s="2"/>
      <c r="N35" s="3"/>
      <c r="O35" s="3"/>
      <c r="P35" s="3"/>
    </row>
    <row r="36" spans="3:16" ht="15.75" customHeight="1" x14ac:dyDescent="0.2">
      <c r="C36" s="15">
        <v>45161</v>
      </c>
      <c r="D36" s="19">
        <v>0.40625</v>
      </c>
      <c r="E36" s="216">
        <v>7</v>
      </c>
      <c r="F36" s="2">
        <v>9.09</v>
      </c>
      <c r="G36" s="3">
        <v>102.2</v>
      </c>
      <c r="H36" s="2">
        <v>21.1</v>
      </c>
      <c r="I36" s="2"/>
      <c r="J36" s="2"/>
      <c r="K36" s="2"/>
      <c r="L36" s="2"/>
      <c r="M36" s="2"/>
      <c r="N36" s="3"/>
      <c r="O36" s="3"/>
      <c r="P36" s="3"/>
    </row>
    <row r="37" spans="3:16" ht="15.75" customHeight="1" x14ac:dyDescent="0.2">
      <c r="C37" s="15"/>
      <c r="D37" s="19"/>
      <c r="E37" s="216"/>
      <c r="F37" s="2"/>
      <c r="G37" s="3"/>
      <c r="H37" s="2"/>
      <c r="I37" s="2"/>
      <c r="J37" s="2"/>
      <c r="K37" s="2"/>
      <c r="L37" s="2"/>
      <c r="M37" s="2"/>
      <c r="N37" s="3"/>
      <c r="O37" s="3"/>
      <c r="P37" s="3"/>
    </row>
    <row r="38" spans="3:16" ht="15.75" customHeight="1" x14ac:dyDescent="0.2">
      <c r="C38" s="15">
        <v>45188</v>
      </c>
      <c r="D38" s="19">
        <v>0.36805555555555558</v>
      </c>
      <c r="E38" s="216"/>
      <c r="F38" s="2"/>
      <c r="G38" s="3"/>
      <c r="H38" s="2"/>
      <c r="I38" s="2"/>
      <c r="J38" s="2">
        <v>8</v>
      </c>
      <c r="K38" s="2">
        <v>8</v>
      </c>
      <c r="L38" s="2"/>
      <c r="M38" s="2"/>
      <c r="N38" s="3"/>
      <c r="O38" s="3"/>
      <c r="P38" s="3"/>
    </row>
    <row r="39" spans="3:16" ht="15.75" customHeight="1" x14ac:dyDescent="0.2">
      <c r="C39" s="15">
        <v>45188</v>
      </c>
      <c r="D39" s="19">
        <v>0.37847222222222227</v>
      </c>
      <c r="E39" s="216">
        <v>0.1</v>
      </c>
      <c r="F39" s="2">
        <v>9.82</v>
      </c>
      <c r="G39" s="3">
        <v>104.7</v>
      </c>
      <c r="H39" s="2">
        <v>18.399999999999999</v>
      </c>
      <c r="I39" s="2"/>
      <c r="J39" s="2"/>
      <c r="K39" s="2"/>
      <c r="L39" s="2"/>
      <c r="M39" s="2"/>
      <c r="N39" s="3"/>
      <c r="O39" s="3"/>
      <c r="P39" s="3"/>
    </row>
    <row r="40" spans="3:16" ht="15.75" customHeight="1" x14ac:dyDescent="0.2">
      <c r="C40" s="15">
        <v>45188</v>
      </c>
      <c r="D40" s="19">
        <v>0.37847222222222227</v>
      </c>
      <c r="E40" s="216">
        <v>1</v>
      </c>
      <c r="F40" s="2">
        <v>9.73</v>
      </c>
      <c r="G40" s="3">
        <v>104.2</v>
      </c>
      <c r="H40" s="2">
        <v>18.7</v>
      </c>
      <c r="I40" s="2"/>
      <c r="J40" s="2"/>
      <c r="K40" s="2"/>
      <c r="L40" s="2"/>
      <c r="M40" s="2"/>
      <c r="N40" s="3"/>
      <c r="O40" s="3"/>
      <c r="P40" s="3"/>
    </row>
    <row r="41" spans="3:16" ht="15.75" customHeight="1" x14ac:dyDescent="0.2">
      <c r="C41" s="15">
        <v>45188</v>
      </c>
      <c r="D41" s="19">
        <v>0.37847222222222227</v>
      </c>
      <c r="E41" s="216">
        <v>2</v>
      </c>
      <c r="F41" s="2">
        <v>9.6999999999999993</v>
      </c>
      <c r="G41" s="3">
        <v>104</v>
      </c>
      <c r="H41" s="2">
        <v>18.7</v>
      </c>
      <c r="I41" s="2"/>
      <c r="J41" s="2"/>
      <c r="K41" s="2"/>
      <c r="L41" s="2"/>
      <c r="M41" s="2"/>
      <c r="N41" s="3"/>
      <c r="O41" s="3"/>
      <c r="P41" s="3"/>
    </row>
    <row r="42" spans="3:16" ht="15.75" customHeight="1" x14ac:dyDescent="0.2">
      <c r="C42" s="15">
        <v>45188</v>
      </c>
      <c r="D42" s="19">
        <v>0.37847222222222227</v>
      </c>
      <c r="E42" s="216">
        <v>3</v>
      </c>
      <c r="F42" s="2">
        <v>9.65</v>
      </c>
      <c r="G42" s="3">
        <v>103.6</v>
      </c>
      <c r="H42" s="2">
        <v>18.8</v>
      </c>
      <c r="I42" s="2"/>
      <c r="J42" s="2"/>
      <c r="K42" s="2"/>
      <c r="L42" s="2"/>
      <c r="M42" s="2"/>
      <c r="N42" s="3"/>
      <c r="O42" s="3"/>
      <c r="P42" s="3"/>
    </row>
    <row r="43" spans="3:16" ht="15.75" customHeight="1" x14ac:dyDescent="0.2">
      <c r="C43" s="15">
        <v>45188</v>
      </c>
      <c r="D43" s="19">
        <v>0.37847222222222227</v>
      </c>
      <c r="E43" s="216">
        <v>4</v>
      </c>
      <c r="F43" s="2">
        <v>9.61</v>
      </c>
      <c r="G43" s="3">
        <v>103.2</v>
      </c>
      <c r="H43" s="2">
        <v>18.8</v>
      </c>
      <c r="I43" s="2"/>
      <c r="J43" s="2"/>
      <c r="K43" s="2"/>
      <c r="L43" s="2"/>
      <c r="M43" s="2"/>
      <c r="N43" s="3"/>
      <c r="O43" s="3"/>
      <c r="P43" s="3"/>
    </row>
    <row r="44" spans="3:16" ht="15.75" customHeight="1" x14ac:dyDescent="0.2">
      <c r="C44" s="15">
        <v>45188</v>
      </c>
      <c r="D44" s="19">
        <v>0.37847222222222227</v>
      </c>
      <c r="E44" s="216">
        <v>5</v>
      </c>
      <c r="F44" s="2">
        <v>9.59</v>
      </c>
      <c r="G44" s="3">
        <v>102.9</v>
      </c>
      <c r="H44" s="2">
        <v>18.8</v>
      </c>
      <c r="I44" s="2"/>
      <c r="J44" s="2"/>
      <c r="K44" s="2"/>
      <c r="L44" s="2"/>
      <c r="M44" s="2"/>
      <c r="N44" s="3"/>
      <c r="O44" s="3"/>
      <c r="P44" s="3"/>
    </row>
    <row r="45" spans="3:16" ht="15.75" customHeight="1" x14ac:dyDescent="0.2">
      <c r="C45" s="15">
        <v>45188</v>
      </c>
      <c r="D45" s="19">
        <v>0.37847222222222227</v>
      </c>
      <c r="E45" s="216">
        <v>6</v>
      </c>
      <c r="F45" s="2">
        <v>9.5500000000000007</v>
      </c>
      <c r="G45" s="3">
        <v>102.5</v>
      </c>
      <c r="H45" s="2">
        <v>18.8</v>
      </c>
      <c r="I45" s="2"/>
      <c r="J45" s="2"/>
      <c r="K45" s="2"/>
      <c r="L45" s="2"/>
      <c r="M45" s="2"/>
      <c r="N45" s="3"/>
      <c r="O45" s="3"/>
      <c r="P45" s="3"/>
    </row>
    <row r="46" spans="3:16" ht="15.75" customHeight="1" x14ac:dyDescent="0.2">
      <c r="C46" s="15">
        <v>45188</v>
      </c>
      <c r="D46" s="19">
        <v>0.37847222222222227</v>
      </c>
      <c r="E46" s="216">
        <v>7</v>
      </c>
      <c r="F46" s="2">
        <v>9.5</v>
      </c>
      <c r="G46" s="3">
        <v>101.6</v>
      </c>
      <c r="H46" s="2">
        <v>18.600000000000001</v>
      </c>
      <c r="I46" s="2"/>
      <c r="J46" s="2"/>
      <c r="K46" s="2"/>
      <c r="L46" s="2"/>
      <c r="M46" s="2"/>
      <c r="N46" s="3"/>
      <c r="O46" s="3"/>
      <c r="P46" s="3"/>
    </row>
    <row r="47" spans="3:16" ht="15.75" customHeight="1" x14ac:dyDescent="0.2">
      <c r="C47" s="15"/>
      <c r="D47" s="19"/>
      <c r="E47" s="216"/>
      <c r="F47" s="2"/>
      <c r="G47" s="3"/>
      <c r="H47" s="2"/>
      <c r="I47" s="2"/>
      <c r="J47" s="2"/>
      <c r="K47" s="2"/>
      <c r="L47" s="2"/>
      <c r="M47" s="2"/>
      <c r="N47" s="3"/>
      <c r="O47" s="3"/>
      <c r="P47" s="3"/>
    </row>
    <row r="48" spans="3:16" ht="15.75" customHeight="1" x14ac:dyDescent="0.2">
      <c r="C48" s="3"/>
      <c r="D48" s="3"/>
      <c r="F48" s="2"/>
      <c r="G48" s="3"/>
      <c r="H48" s="2"/>
      <c r="I48" s="2"/>
      <c r="J48" s="2"/>
      <c r="K48" s="2"/>
      <c r="L48" s="2"/>
      <c r="M48" s="2"/>
      <c r="N48" s="3"/>
      <c r="O48" s="3"/>
      <c r="P48" s="3"/>
    </row>
    <row r="49" spans="3:12" ht="15.75" customHeight="1" x14ac:dyDescent="0.2">
      <c r="C49" s="15">
        <v>44369</v>
      </c>
      <c r="D49" s="19">
        <v>0.62847222222222221</v>
      </c>
      <c r="E49" s="3"/>
      <c r="G49" s="3"/>
      <c r="H49" s="2"/>
      <c r="I49" s="2"/>
      <c r="J49" s="2">
        <v>8</v>
      </c>
      <c r="K49" s="2">
        <v>8</v>
      </c>
      <c r="L49" s="7"/>
    </row>
    <row r="50" spans="3:12" ht="15.75" customHeight="1" x14ac:dyDescent="0.2">
      <c r="C50" s="15">
        <v>44369</v>
      </c>
      <c r="D50" s="19">
        <v>0.63541666666666663</v>
      </c>
      <c r="E50" s="3">
        <v>0.1</v>
      </c>
      <c r="F50" s="2">
        <v>8.01</v>
      </c>
      <c r="G50" s="3">
        <v>86.5</v>
      </c>
      <c r="H50" s="2">
        <v>19.100000000000001</v>
      </c>
      <c r="I50" s="2"/>
      <c r="J50" s="2"/>
      <c r="K50" s="2"/>
      <c r="L50" s="7"/>
    </row>
    <row r="51" spans="3:12" ht="15.75" customHeight="1" x14ac:dyDescent="0.2">
      <c r="C51" s="15">
        <v>44369</v>
      </c>
      <c r="D51" s="19">
        <v>0.63541666666666663</v>
      </c>
      <c r="E51" s="190">
        <v>1</v>
      </c>
      <c r="F51" s="224">
        <v>8.11</v>
      </c>
      <c r="G51" s="215">
        <v>86.8</v>
      </c>
      <c r="H51" s="224">
        <v>18.600000000000001</v>
      </c>
      <c r="L51" s="7"/>
    </row>
    <row r="52" spans="3:12" ht="15.75" customHeight="1" x14ac:dyDescent="0.2">
      <c r="C52" s="15">
        <v>44369</v>
      </c>
      <c r="D52" s="19">
        <v>0.63541666666666663</v>
      </c>
      <c r="E52" s="190">
        <v>2</v>
      </c>
      <c r="F52" s="224">
        <v>8.15</v>
      </c>
      <c r="G52" s="215">
        <v>86.5</v>
      </c>
      <c r="H52" s="224">
        <v>18.3</v>
      </c>
      <c r="L52" s="7"/>
    </row>
    <row r="53" spans="3:12" ht="15.75" customHeight="1" x14ac:dyDescent="0.2">
      <c r="C53" s="15">
        <v>44369</v>
      </c>
      <c r="D53" s="19">
        <v>0.63541666666666663</v>
      </c>
      <c r="E53" s="190">
        <v>3</v>
      </c>
      <c r="F53" s="224">
        <v>8.15</v>
      </c>
      <c r="G53" s="215">
        <v>86.1</v>
      </c>
      <c r="H53" s="224">
        <v>18</v>
      </c>
    </row>
    <row r="54" spans="3:12" ht="15.75" customHeight="1" x14ac:dyDescent="0.2">
      <c r="C54" s="15">
        <v>44369</v>
      </c>
      <c r="D54" s="19">
        <v>0.63541666666666663</v>
      </c>
      <c r="E54" s="190">
        <v>4</v>
      </c>
      <c r="F54" s="224">
        <v>8.18</v>
      </c>
      <c r="G54" s="215">
        <v>86</v>
      </c>
      <c r="H54" s="224">
        <v>17.8</v>
      </c>
    </row>
    <row r="55" spans="3:12" ht="15.75" customHeight="1" x14ac:dyDescent="0.2">
      <c r="C55" s="15">
        <v>44369</v>
      </c>
      <c r="D55" s="19">
        <v>0.63541666666666663</v>
      </c>
      <c r="E55" s="190">
        <v>5</v>
      </c>
      <c r="F55" s="224">
        <v>8.2200000000000006</v>
      </c>
      <c r="G55" s="215">
        <v>85.6</v>
      </c>
      <c r="H55" s="224">
        <v>17.2</v>
      </c>
    </row>
    <row r="56" spans="3:12" ht="15.75" customHeight="1" x14ac:dyDescent="0.2">
      <c r="C56" s="15">
        <v>44369</v>
      </c>
      <c r="D56" s="19">
        <v>0.63541666666666663</v>
      </c>
      <c r="E56" s="190">
        <v>6</v>
      </c>
      <c r="F56" s="224">
        <v>8.43</v>
      </c>
      <c r="G56" s="215">
        <v>85.1</v>
      </c>
      <c r="H56" s="224">
        <v>15.8</v>
      </c>
    </row>
    <row r="57" spans="3:12" ht="15.75" customHeight="1" x14ac:dyDescent="0.2">
      <c r="C57" s="15">
        <v>44369</v>
      </c>
      <c r="D57" s="19">
        <v>0.63541666666666663</v>
      </c>
      <c r="E57" s="190">
        <v>7</v>
      </c>
      <c r="F57" s="224">
        <v>8.58</v>
      </c>
      <c r="G57" s="215">
        <v>85.2</v>
      </c>
      <c r="H57" s="224">
        <v>15</v>
      </c>
    </row>
    <row r="58" spans="3:12" ht="15.75" customHeight="1" x14ac:dyDescent="0.2"/>
    <row r="59" spans="3:12" ht="15.75" customHeight="1" x14ac:dyDescent="0.2">
      <c r="C59" s="205">
        <v>44403</v>
      </c>
      <c r="D59" s="185">
        <v>0.66319444444444442</v>
      </c>
      <c r="J59">
        <v>7.5</v>
      </c>
      <c r="K59">
        <v>7.5</v>
      </c>
    </row>
    <row r="60" spans="3:12" ht="15.75" customHeight="1" x14ac:dyDescent="0.2">
      <c r="C60" s="205">
        <v>44403</v>
      </c>
      <c r="D60" s="185">
        <v>0.66319444444444442</v>
      </c>
      <c r="E60" s="190">
        <v>0.1</v>
      </c>
      <c r="F60" s="224">
        <v>7.09</v>
      </c>
      <c r="G60" s="215">
        <v>83.6</v>
      </c>
      <c r="H60" s="224">
        <v>23.6</v>
      </c>
    </row>
    <row r="61" spans="3:12" ht="15.75" customHeight="1" x14ac:dyDescent="0.2">
      <c r="C61" s="205">
        <v>44403</v>
      </c>
      <c r="D61" s="185">
        <v>0.66319444444444442</v>
      </c>
      <c r="E61" s="190">
        <v>1</v>
      </c>
      <c r="F61" s="224">
        <v>7.1</v>
      </c>
      <c r="G61" s="215">
        <v>83</v>
      </c>
      <c r="H61" s="224">
        <v>23.2</v>
      </c>
    </row>
    <row r="62" spans="3:12" ht="15.75" customHeight="1" x14ac:dyDescent="0.2">
      <c r="C62" s="205">
        <v>44403</v>
      </c>
      <c r="D62" s="185">
        <v>0.66319444444444442</v>
      </c>
      <c r="E62" s="190">
        <v>2</v>
      </c>
      <c r="F62" s="224">
        <v>7.1</v>
      </c>
      <c r="G62" s="215">
        <v>82.6</v>
      </c>
      <c r="H62" s="224">
        <v>22.9</v>
      </c>
    </row>
    <row r="63" spans="3:12" ht="15.75" customHeight="1" x14ac:dyDescent="0.2">
      <c r="C63" s="205">
        <v>44403</v>
      </c>
      <c r="D63" s="185">
        <v>0.66319444444444442</v>
      </c>
      <c r="E63" s="190">
        <v>3</v>
      </c>
      <c r="F63" s="224">
        <v>7.09</v>
      </c>
      <c r="G63" s="215">
        <v>82.4</v>
      </c>
      <c r="H63" s="224">
        <v>22.9</v>
      </c>
    </row>
    <row r="64" spans="3:12" ht="15.75" customHeight="1" x14ac:dyDescent="0.2">
      <c r="C64" s="205">
        <v>44403</v>
      </c>
      <c r="D64" s="185">
        <v>0.66319444444444442</v>
      </c>
      <c r="E64" s="190">
        <v>4</v>
      </c>
      <c r="F64" s="224">
        <v>7.09</v>
      </c>
      <c r="G64" s="215">
        <v>82.3</v>
      </c>
      <c r="H64" s="224">
        <v>22.8</v>
      </c>
    </row>
    <row r="65" spans="3:11" ht="15.75" customHeight="1" x14ac:dyDescent="0.2">
      <c r="C65" s="205">
        <v>44403</v>
      </c>
      <c r="D65" s="185">
        <v>0.66319444444444442</v>
      </c>
      <c r="E65" s="190">
        <v>5</v>
      </c>
      <c r="F65" s="224">
        <v>7.07</v>
      </c>
      <c r="G65" s="215">
        <v>82.1</v>
      </c>
      <c r="H65" s="224">
        <v>22.8</v>
      </c>
    </row>
    <row r="66" spans="3:11" ht="15.75" customHeight="1" x14ac:dyDescent="0.2">
      <c r="C66" s="205">
        <v>44403</v>
      </c>
      <c r="D66" s="185">
        <v>0.66319444444444442</v>
      </c>
      <c r="E66" s="190">
        <v>6</v>
      </c>
      <c r="F66" s="224">
        <v>7.07</v>
      </c>
      <c r="G66" s="215">
        <v>82</v>
      </c>
      <c r="H66" s="224">
        <v>22.7</v>
      </c>
    </row>
    <row r="67" spans="3:11" ht="15.75" customHeight="1" x14ac:dyDescent="0.2">
      <c r="C67" s="205">
        <v>44403</v>
      </c>
      <c r="D67" s="185">
        <v>0.66319444444444442</v>
      </c>
      <c r="E67" s="190">
        <v>7</v>
      </c>
      <c r="F67" s="224">
        <v>8.59</v>
      </c>
      <c r="G67" s="215">
        <v>93.8</v>
      </c>
      <c r="H67" s="224">
        <v>19.5</v>
      </c>
    </row>
    <row r="68" spans="3:11" ht="15.75" customHeight="1" x14ac:dyDescent="0.2">
      <c r="C68" s="205"/>
      <c r="D68" s="185"/>
      <c r="F68" s="224"/>
      <c r="G68" s="215"/>
      <c r="H68" s="224"/>
    </row>
    <row r="69" spans="3:11" ht="15.75" customHeight="1" x14ac:dyDescent="0.2">
      <c r="C69" s="205">
        <v>44438</v>
      </c>
      <c r="D69" s="185">
        <v>0.62847222222222221</v>
      </c>
      <c r="F69" s="224"/>
      <c r="G69" s="215"/>
      <c r="H69" s="224"/>
      <c r="J69">
        <v>8</v>
      </c>
      <c r="K69">
        <v>8</v>
      </c>
    </row>
    <row r="70" spans="3:11" ht="15.75" customHeight="1" x14ac:dyDescent="0.2">
      <c r="C70" s="205">
        <v>44438</v>
      </c>
      <c r="D70" s="185">
        <v>0.63541666666666663</v>
      </c>
      <c r="E70" s="190">
        <v>0.1</v>
      </c>
      <c r="F70" s="224">
        <v>7.61</v>
      </c>
      <c r="G70" s="215">
        <v>85.6</v>
      </c>
      <c r="H70" s="224">
        <v>21.2</v>
      </c>
    </row>
    <row r="71" spans="3:11" ht="15.75" customHeight="1" x14ac:dyDescent="0.2">
      <c r="C71" s="205">
        <v>44438</v>
      </c>
      <c r="D71" s="185">
        <v>0.63541666666666663</v>
      </c>
      <c r="E71" s="190">
        <v>1</v>
      </c>
      <c r="F71" s="224">
        <v>7.6</v>
      </c>
      <c r="G71" s="215">
        <v>84.8</v>
      </c>
      <c r="H71" s="224">
        <v>20.8</v>
      </c>
    </row>
    <row r="72" spans="3:11" ht="15.75" customHeight="1" x14ac:dyDescent="0.2">
      <c r="C72" s="205">
        <v>44438</v>
      </c>
      <c r="D72" s="185">
        <v>0.63541666666666663</v>
      </c>
      <c r="E72" s="190">
        <v>2</v>
      </c>
      <c r="F72" s="224">
        <v>7.59</v>
      </c>
      <c r="G72" s="215">
        <v>84.3</v>
      </c>
      <c r="H72" s="224">
        <v>20.399999999999999</v>
      </c>
    </row>
    <row r="73" spans="3:11" ht="15.75" customHeight="1" x14ac:dyDescent="0.2">
      <c r="C73" s="205">
        <v>44438</v>
      </c>
      <c r="D73" s="185">
        <v>0.63541666666666663</v>
      </c>
      <c r="E73" s="190">
        <v>3</v>
      </c>
      <c r="F73" s="224">
        <v>7.58</v>
      </c>
      <c r="G73" s="215">
        <v>83.8</v>
      </c>
      <c r="H73" s="224">
        <v>20.3</v>
      </c>
    </row>
    <row r="74" spans="3:11" ht="15.75" customHeight="1" x14ac:dyDescent="0.2">
      <c r="C74" s="205">
        <v>44438</v>
      </c>
      <c r="D74" s="185">
        <v>0.63541666666666663</v>
      </c>
      <c r="E74" s="190">
        <v>4</v>
      </c>
      <c r="F74" s="224">
        <v>7.62</v>
      </c>
      <c r="G74" s="215">
        <v>84.3</v>
      </c>
      <c r="H74" s="224">
        <v>20.3</v>
      </c>
    </row>
    <row r="75" spans="3:11" ht="15.75" customHeight="1" x14ac:dyDescent="0.2">
      <c r="C75" s="205">
        <v>44438</v>
      </c>
      <c r="D75" s="185">
        <v>0.63541666666666663</v>
      </c>
      <c r="E75" s="190">
        <v>5</v>
      </c>
      <c r="F75" s="224">
        <v>7.61</v>
      </c>
      <c r="G75" s="215">
        <v>84</v>
      </c>
      <c r="H75" s="224">
        <v>20.2</v>
      </c>
    </row>
    <row r="76" spans="3:11" ht="15.75" customHeight="1" x14ac:dyDescent="0.2">
      <c r="C76" s="205">
        <v>44438</v>
      </c>
      <c r="D76" s="185">
        <v>0.63541666666666663</v>
      </c>
      <c r="E76" s="190">
        <v>6</v>
      </c>
      <c r="F76" s="224">
        <v>7.6</v>
      </c>
      <c r="G76" s="215">
        <v>83.7</v>
      </c>
      <c r="H76" s="224">
        <v>20.100000000000001</v>
      </c>
    </row>
    <row r="77" spans="3:11" ht="15.75" customHeight="1" x14ac:dyDescent="0.2">
      <c r="C77" s="205">
        <v>44438</v>
      </c>
      <c r="D77" s="185">
        <v>0.63541666666666663</v>
      </c>
      <c r="E77" s="190">
        <v>7</v>
      </c>
      <c r="F77" s="224">
        <v>7.66</v>
      </c>
      <c r="G77" s="215">
        <v>84.3</v>
      </c>
      <c r="H77" s="224">
        <v>20</v>
      </c>
    </row>
    <row r="78" spans="3:11" ht="15.75" customHeight="1" x14ac:dyDescent="0.2">
      <c r="C78" s="205"/>
      <c r="D78" s="185"/>
      <c r="F78" s="224"/>
      <c r="G78" s="215"/>
      <c r="H78" s="224"/>
    </row>
    <row r="79" spans="3:11" ht="15.75" customHeight="1" x14ac:dyDescent="0.2">
      <c r="C79" s="205">
        <v>44459</v>
      </c>
      <c r="D79" s="185">
        <v>0.60763888888888895</v>
      </c>
      <c r="F79" s="224"/>
      <c r="G79" s="215"/>
      <c r="H79" s="224"/>
      <c r="J79">
        <v>8</v>
      </c>
      <c r="K79">
        <v>8</v>
      </c>
    </row>
    <row r="80" spans="3:11" ht="15.75" customHeight="1" x14ac:dyDescent="0.2">
      <c r="C80" s="205">
        <v>44459</v>
      </c>
      <c r="D80" s="185">
        <v>0.61458333333333337</v>
      </c>
      <c r="E80" s="190">
        <v>0.1</v>
      </c>
      <c r="F80" s="224">
        <v>7.96</v>
      </c>
      <c r="G80" s="215">
        <v>82.9</v>
      </c>
      <c r="H80" s="224">
        <v>17.3</v>
      </c>
    </row>
    <row r="81" spans="3:12" ht="15.75" customHeight="1" x14ac:dyDescent="0.2">
      <c r="C81" s="205">
        <v>44459</v>
      </c>
      <c r="D81" s="185">
        <v>0.61458333333333337</v>
      </c>
      <c r="E81" s="190">
        <v>1</v>
      </c>
      <c r="F81" s="224">
        <v>7.94</v>
      </c>
      <c r="G81" s="215">
        <v>82.7</v>
      </c>
      <c r="H81" s="224">
        <v>17.3</v>
      </c>
    </row>
    <row r="82" spans="3:12" ht="15.75" customHeight="1" x14ac:dyDescent="0.2">
      <c r="C82" s="205">
        <v>44459</v>
      </c>
      <c r="D82" s="185">
        <v>0.61458333333333337</v>
      </c>
      <c r="E82" s="190">
        <v>2</v>
      </c>
      <c r="F82" s="224">
        <v>7.93</v>
      </c>
      <c r="G82" s="215">
        <v>82.6</v>
      </c>
      <c r="H82" s="224">
        <v>17.3</v>
      </c>
      <c r="L82" s="33"/>
    </row>
    <row r="83" spans="3:12" ht="15.75" customHeight="1" x14ac:dyDescent="0.2">
      <c r="C83" s="205">
        <v>44459</v>
      </c>
      <c r="D83" s="185">
        <v>0.61458333333333337</v>
      </c>
      <c r="E83" s="190">
        <v>3</v>
      </c>
      <c r="F83" s="224">
        <v>7.92</v>
      </c>
      <c r="G83" s="215">
        <v>82.4</v>
      </c>
      <c r="H83" s="224">
        <v>17.3</v>
      </c>
      <c r="L83" s="33"/>
    </row>
    <row r="84" spans="3:12" ht="15.75" customHeight="1" x14ac:dyDescent="0.2">
      <c r="C84" s="205">
        <v>44459</v>
      </c>
      <c r="D84" s="185">
        <v>0.61458333333333337</v>
      </c>
      <c r="E84" s="190">
        <v>4</v>
      </c>
      <c r="F84" s="224">
        <v>7.9</v>
      </c>
      <c r="G84" s="215">
        <v>82.2</v>
      </c>
      <c r="H84" s="224">
        <v>17.3</v>
      </c>
      <c r="J84" s="1"/>
      <c r="K84" s="1"/>
      <c r="L84" s="33"/>
    </row>
    <row r="85" spans="3:12" ht="15.75" customHeight="1" x14ac:dyDescent="0.2">
      <c r="C85" s="205">
        <v>44459</v>
      </c>
      <c r="D85" s="185">
        <v>0.61458333333333337</v>
      </c>
      <c r="E85" s="190">
        <v>5</v>
      </c>
      <c r="F85" s="224">
        <v>7.89</v>
      </c>
      <c r="G85" s="215">
        <v>82.1</v>
      </c>
      <c r="H85" s="224">
        <v>17.3</v>
      </c>
      <c r="J85" s="1"/>
      <c r="K85" s="1"/>
      <c r="L85" s="33"/>
    </row>
    <row r="86" spans="3:12" ht="15.75" customHeight="1" x14ac:dyDescent="0.2">
      <c r="C86" s="205">
        <v>44459</v>
      </c>
      <c r="D86" s="185">
        <v>0.61458333333333337</v>
      </c>
      <c r="E86" s="190">
        <v>6</v>
      </c>
      <c r="F86" s="224">
        <v>7.88</v>
      </c>
      <c r="G86" s="215">
        <v>82</v>
      </c>
      <c r="H86" s="224">
        <v>17.3</v>
      </c>
      <c r="J86" s="1"/>
      <c r="K86" s="1"/>
      <c r="L86" s="33"/>
    </row>
    <row r="87" spans="3:12" ht="15.75" customHeight="1" x14ac:dyDescent="0.2">
      <c r="C87" s="205">
        <v>44459</v>
      </c>
      <c r="D87" s="185">
        <v>0.61458333333333337</v>
      </c>
      <c r="E87" s="190">
        <v>7</v>
      </c>
      <c r="F87" s="224">
        <v>7.9</v>
      </c>
      <c r="G87" s="215">
        <v>82.4</v>
      </c>
      <c r="H87" s="224">
        <v>17.3</v>
      </c>
      <c r="J87" s="1"/>
      <c r="K87" s="1"/>
      <c r="L87" s="33"/>
    </row>
    <row r="88" spans="3:12" ht="15.75" customHeight="1" x14ac:dyDescent="0.2">
      <c r="C88" s="1"/>
      <c r="F88" s="1"/>
      <c r="J88" s="1"/>
      <c r="K88" s="1"/>
    </row>
    <row r="89" spans="3:12" ht="15.75" customHeight="1" x14ac:dyDescent="0.2"/>
    <row r="90" spans="3:12" ht="15.75" customHeight="1" x14ac:dyDescent="0.2">
      <c r="C90" s="205">
        <v>42870</v>
      </c>
      <c r="D90" s="185">
        <v>0.54166666666666663</v>
      </c>
      <c r="J90">
        <v>8</v>
      </c>
      <c r="K90">
        <v>8</v>
      </c>
    </row>
    <row r="91" spans="3:12" ht="15.75" customHeight="1" x14ac:dyDescent="0.2">
      <c r="C91" s="205">
        <v>42870</v>
      </c>
      <c r="D91" s="185">
        <v>0.54861111111111105</v>
      </c>
      <c r="E91" s="190">
        <v>0.1</v>
      </c>
      <c r="F91">
        <v>9.4700000000000006</v>
      </c>
      <c r="G91">
        <v>84.1</v>
      </c>
      <c r="H91">
        <v>10.1</v>
      </c>
    </row>
    <row r="92" spans="3:12" ht="15.75" customHeight="1" x14ac:dyDescent="0.2">
      <c r="C92" s="205">
        <v>42870</v>
      </c>
      <c r="D92" s="185">
        <v>0.54861111111111105</v>
      </c>
      <c r="E92" s="190">
        <v>1</v>
      </c>
      <c r="F92">
        <v>9.5500000000000007</v>
      </c>
      <c r="G92">
        <v>84.4</v>
      </c>
      <c r="H92">
        <v>9.9</v>
      </c>
    </row>
    <row r="93" spans="3:12" ht="15.75" customHeight="1" x14ac:dyDescent="0.2">
      <c r="C93" s="205">
        <v>42870</v>
      </c>
      <c r="D93" s="185">
        <v>0.54861111111111105</v>
      </c>
      <c r="E93" s="190">
        <v>2</v>
      </c>
      <c r="F93">
        <v>9.58</v>
      </c>
      <c r="G93">
        <v>84.3</v>
      </c>
      <c r="H93">
        <v>9.8000000000000007</v>
      </c>
    </row>
    <row r="94" spans="3:12" ht="15.75" customHeight="1" x14ac:dyDescent="0.2">
      <c r="C94" s="205">
        <v>42870</v>
      </c>
      <c r="D94" s="185">
        <v>0.54861111111111105</v>
      </c>
      <c r="E94" s="190">
        <v>3</v>
      </c>
      <c r="F94">
        <v>9.59</v>
      </c>
      <c r="G94">
        <v>83.9</v>
      </c>
      <c r="H94">
        <v>9.5</v>
      </c>
    </row>
    <row r="95" spans="3:12" ht="15.75" customHeight="1" x14ac:dyDescent="0.2">
      <c r="C95" s="205">
        <v>42870</v>
      </c>
      <c r="D95" s="185">
        <v>0.54861111111111105</v>
      </c>
      <c r="E95" s="190">
        <v>4</v>
      </c>
      <c r="F95">
        <v>9.6</v>
      </c>
      <c r="G95">
        <v>83.9</v>
      </c>
      <c r="H95">
        <v>9.4</v>
      </c>
    </row>
    <row r="96" spans="3:12" ht="15.75" customHeight="1" x14ac:dyDescent="0.2">
      <c r="C96" s="205">
        <v>42870</v>
      </c>
      <c r="D96" s="185">
        <v>0.54861111111111105</v>
      </c>
      <c r="E96" s="190">
        <v>5</v>
      </c>
      <c r="F96">
        <v>9.59</v>
      </c>
      <c r="G96">
        <v>83.8</v>
      </c>
      <c r="H96">
        <v>9.4</v>
      </c>
    </row>
    <row r="97" spans="3:11" ht="15.75" customHeight="1" x14ac:dyDescent="0.2">
      <c r="C97" s="205">
        <v>42870</v>
      </c>
      <c r="D97" s="185">
        <v>0.54861111111111105</v>
      </c>
      <c r="E97" s="190">
        <v>6</v>
      </c>
      <c r="F97">
        <v>9.6</v>
      </c>
      <c r="G97">
        <v>83.7</v>
      </c>
      <c r="H97">
        <v>9.3000000000000007</v>
      </c>
    </row>
    <row r="98" spans="3:11" ht="15.75" customHeight="1" x14ac:dyDescent="0.2">
      <c r="C98" s="205">
        <v>42870</v>
      </c>
      <c r="D98" s="185">
        <v>0.54861111111111105</v>
      </c>
      <c r="E98" s="190">
        <v>7</v>
      </c>
      <c r="F98">
        <v>9.6</v>
      </c>
      <c r="G98">
        <v>83.7</v>
      </c>
      <c r="H98">
        <v>9.3000000000000007</v>
      </c>
    </row>
    <row r="99" spans="3:11" ht="15.75" customHeight="1" x14ac:dyDescent="0.2"/>
    <row r="100" spans="3:11" ht="15.75" customHeight="1" x14ac:dyDescent="0.2">
      <c r="C100" s="205">
        <v>42898</v>
      </c>
      <c r="D100" s="185">
        <v>0.53125</v>
      </c>
      <c r="J100">
        <v>7.5</v>
      </c>
      <c r="K100">
        <v>7.5</v>
      </c>
    </row>
    <row r="101" spans="3:11" ht="15.75" customHeight="1" x14ac:dyDescent="0.2">
      <c r="C101" s="205">
        <v>42898</v>
      </c>
      <c r="D101" s="185">
        <v>0.53819444444444442</v>
      </c>
      <c r="E101" s="190">
        <v>0.1</v>
      </c>
      <c r="F101">
        <v>8.56</v>
      </c>
      <c r="G101">
        <v>88.4</v>
      </c>
      <c r="H101">
        <v>16.899999999999999</v>
      </c>
    </row>
    <row r="102" spans="3:11" ht="15.75" customHeight="1" x14ac:dyDescent="0.2">
      <c r="C102" s="205">
        <v>42898</v>
      </c>
      <c r="D102" s="185">
        <v>0.53819444444444442</v>
      </c>
      <c r="E102" s="190">
        <v>1</v>
      </c>
      <c r="F102">
        <v>8.67</v>
      </c>
      <c r="G102">
        <v>88.2</v>
      </c>
      <c r="H102">
        <v>16.2</v>
      </c>
    </row>
    <row r="103" spans="3:11" ht="15.75" customHeight="1" x14ac:dyDescent="0.2">
      <c r="C103" s="205">
        <v>42898</v>
      </c>
      <c r="D103" s="185">
        <v>0.53819444444444442</v>
      </c>
      <c r="E103" s="190">
        <v>2</v>
      </c>
      <c r="F103">
        <v>8.75</v>
      </c>
      <c r="G103">
        <v>88.1</v>
      </c>
      <c r="H103">
        <v>15.7</v>
      </c>
    </row>
    <row r="104" spans="3:11" ht="15.75" customHeight="1" x14ac:dyDescent="0.2">
      <c r="C104" s="205">
        <v>42898</v>
      </c>
      <c r="D104" s="185">
        <v>0.53819444444444442</v>
      </c>
      <c r="E104" s="190">
        <v>3</v>
      </c>
      <c r="F104">
        <v>8.74</v>
      </c>
      <c r="G104">
        <v>87.3</v>
      </c>
      <c r="H104">
        <v>15.4</v>
      </c>
    </row>
    <row r="105" spans="3:11" ht="15.75" customHeight="1" x14ac:dyDescent="0.2">
      <c r="C105" s="205">
        <v>42898</v>
      </c>
      <c r="D105" s="185">
        <v>0.53819444444444442</v>
      </c>
      <c r="E105" s="190">
        <v>4</v>
      </c>
      <c r="F105">
        <v>8.7899999999999991</v>
      </c>
      <c r="G105">
        <v>87.5</v>
      </c>
      <c r="H105">
        <v>15.1</v>
      </c>
    </row>
    <row r="106" spans="3:11" ht="15.75" customHeight="1" x14ac:dyDescent="0.2"/>
    <row r="107" spans="3:11" ht="15.75" customHeight="1" x14ac:dyDescent="0.2">
      <c r="C107" s="205">
        <v>42928</v>
      </c>
      <c r="D107" s="185">
        <v>0.48749999999999999</v>
      </c>
      <c r="J107">
        <v>8</v>
      </c>
      <c r="K107">
        <v>8</v>
      </c>
    </row>
    <row r="108" spans="3:11" ht="15.75" customHeight="1" x14ac:dyDescent="0.2">
      <c r="C108" s="205">
        <v>42928</v>
      </c>
      <c r="D108" s="185">
        <v>0.49236111111111108</v>
      </c>
      <c r="E108" s="190">
        <v>0.1</v>
      </c>
      <c r="F108">
        <v>7.45</v>
      </c>
      <c r="G108">
        <v>86.5</v>
      </c>
      <c r="H108">
        <v>22.8</v>
      </c>
    </row>
    <row r="109" spans="3:11" ht="15.75" customHeight="1" x14ac:dyDescent="0.2">
      <c r="C109" s="205">
        <v>42928</v>
      </c>
      <c r="D109" s="185">
        <v>0.49236111111111108</v>
      </c>
      <c r="E109" s="190">
        <v>1</v>
      </c>
      <c r="F109">
        <v>7.5</v>
      </c>
      <c r="G109">
        <v>86.4</v>
      </c>
      <c r="H109">
        <v>22.4</v>
      </c>
    </row>
    <row r="110" spans="3:11" ht="15.75" customHeight="1" x14ac:dyDescent="0.2">
      <c r="C110" s="205">
        <v>42928</v>
      </c>
      <c r="D110" s="185">
        <v>0.49236111111111108</v>
      </c>
      <c r="E110" s="190">
        <v>2</v>
      </c>
      <c r="F110">
        <v>7.56</v>
      </c>
      <c r="G110">
        <v>86.5</v>
      </c>
      <c r="H110">
        <v>22</v>
      </c>
    </row>
    <row r="111" spans="3:11" ht="15.75" customHeight="1" x14ac:dyDescent="0.2">
      <c r="C111" s="205">
        <v>42928</v>
      </c>
      <c r="D111" s="185">
        <v>0.49236111111111108</v>
      </c>
      <c r="E111" s="190">
        <v>3</v>
      </c>
      <c r="F111">
        <v>7.58</v>
      </c>
      <c r="G111">
        <v>86.4</v>
      </c>
      <c r="H111">
        <v>21.8</v>
      </c>
    </row>
    <row r="112" spans="3:11" ht="15.75" customHeight="1" x14ac:dyDescent="0.2">
      <c r="C112" s="205">
        <v>42928</v>
      </c>
      <c r="D112" s="185">
        <v>0.49236111111111108</v>
      </c>
      <c r="E112" s="190">
        <v>4</v>
      </c>
      <c r="F112">
        <v>7.6</v>
      </c>
      <c r="G112">
        <v>86.4</v>
      </c>
      <c r="H112">
        <v>21.7</v>
      </c>
    </row>
    <row r="113" spans="3:11" ht="15.75" customHeight="1" x14ac:dyDescent="0.2">
      <c r="C113" s="205">
        <v>42928</v>
      </c>
      <c r="D113" s="185">
        <v>0.49236111111111108</v>
      </c>
      <c r="E113" s="190">
        <v>5</v>
      </c>
      <c r="F113">
        <v>7.61</v>
      </c>
      <c r="G113">
        <v>86.4</v>
      </c>
      <c r="H113">
        <v>21.6</v>
      </c>
    </row>
    <row r="114" spans="3:11" ht="15.75" customHeight="1" x14ac:dyDescent="0.2">
      <c r="C114" s="205">
        <v>42928</v>
      </c>
      <c r="D114" s="185">
        <v>0.49236111111111108</v>
      </c>
      <c r="E114" s="190">
        <v>6</v>
      </c>
      <c r="F114">
        <v>7.64</v>
      </c>
      <c r="G114">
        <v>86.6</v>
      </c>
      <c r="H114">
        <v>21.5</v>
      </c>
    </row>
    <row r="115" spans="3:11" ht="15.75" customHeight="1" x14ac:dyDescent="0.2">
      <c r="C115" s="205">
        <v>42928</v>
      </c>
      <c r="D115" s="185">
        <v>0.49236111111111108</v>
      </c>
      <c r="E115" s="190">
        <v>7</v>
      </c>
      <c r="F115">
        <v>7.74</v>
      </c>
      <c r="G115">
        <v>87.8</v>
      </c>
      <c r="H115">
        <v>21.5</v>
      </c>
    </row>
    <row r="116" spans="3:11" ht="15.75" customHeight="1" x14ac:dyDescent="0.2"/>
    <row r="117" spans="3:11" ht="15.75" customHeight="1" x14ac:dyDescent="0.2">
      <c r="C117" s="205">
        <v>42954</v>
      </c>
      <c r="D117" s="185">
        <v>0.55555555555555558</v>
      </c>
      <c r="J117">
        <v>7.5</v>
      </c>
      <c r="K117">
        <v>7.5</v>
      </c>
    </row>
    <row r="118" spans="3:11" ht="15.75" customHeight="1" x14ac:dyDescent="0.2">
      <c r="C118" s="205">
        <v>42954</v>
      </c>
      <c r="D118" s="185">
        <v>0.55972222222222223</v>
      </c>
      <c r="E118" s="190">
        <v>0.1</v>
      </c>
      <c r="F118">
        <v>7.23</v>
      </c>
      <c r="G118">
        <v>88.1</v>
      </c>
      <c r="H118">
        <v>25.4</v>
      </c>
    </row>
    <row r="119" spans="3:11" ht="15.75" customHeight="1" x14ac:dyDescent="0.2">
      <c r="C119" s="205">
        <v>42954</v>
      </c>
      <c r="D119" s="185">
        <v>0.55972222222222223</v>
      </c>
      <c r="E119" s="190">
        <v>1</v>
      </c>
      <c r="F119">
        <v>7.27</v>
      </c>
      <c r="G119">
        <v>87.4</v>
      </c>
      <c r="H119">
        <v>24.6</v>
      </c>
    </row>
    <row r="120" spans="3:11" ht="15.75" customHeight="1" x14ac:dyDescent="0.2">
      <c r="C120" s="205">
        <v>42954</v>
      </c>
      <c r="D120" s="185">
        <v>0.55972222222222223</v>
      </c>
      <c r="E120" s="190">
        <v>2</v>
      </c>
      <c r="F120">
        <v>7.28</v>
      </c>
      <c r="G120">
        <v>86.5</v>
      </c>
      <c r="H120">
        <v>24.1</v>
      </c>
    </row>
    <row r="121" spans="3:11" ht="15.75" customHeight="1" x14ac:dyDescent="0.2">
      <c r="C121" s="205">
        <v>42954</v>
      </c>
      <c r="D121" s="185">
        <v>0.55972222222222223</v>
      </c>
      <c r="E121" s="190">
        <v>3</v>
      </c>
      <c r="F121">
        <v>7.28</v>
      </c>
      <c r="G121">
        <v>86.2</v>
      </c>
      <c r="H121">
        <v>23.8</v>
      </c>
    </row>
    <row r="122" spans="3:11" ht="15.75" customHeight="1" x14ac:dyDescent="0.2">
      <c r="C122" s="205">
        <v>42954</v>
      </c>
      <c r="D122" s="185">
        <v>0.55972222222222223</v>
      </c>
      <c r="E122" s="190">
        <v>4</v>
      </c>
      <c r="F122">
        <v>7.31</v>
      </c>
      <c r="G122">
        <v>86.3</v>
      </c>
      <c r="H122">
        <v>23.7</v>
      </c>
    </row>
    <row r="123" spans="3:11" ht="15.75" customHeight="1" x14ac:dyDescent="0.2">
      <c r="C123" s="205">
        <v>42954</v>
      </c>
      <c r="D123" s="185">
        <v>0.55972222222222223</v>
      </c>
      <c r="E123" s="190">
        <v>5</v>
      </c>
      <c r="F123">
        <v>7.35</v>
      </c>
      <c r="G123">
        <v>86.7</v>
      </c>
      <c r="H123">
        <v>23.6</v>
      </c>
    </row>
    <row r="124" spans="3:11" ht="15.75" customHeight="1" x14ac:dyDescent="0.2">
      <c r="C124" s="205">
        <v>42954</v>
      </c>
      <c r="D124" s="185">
        <v>0.55972222222222223</v>
      </c>
      <c r="E124" s="190">
        <v>6</v>
      </c>
      <c r="F124">
        <v>7.36</v>
      </c>
      <c r="G124">
        <v>86.4</v>
      </c>
      <c r="H124">
        <v>23.4</v>
      </c>
    </row>
    <row r="125" spans="3:11" ht="15.75" customHeight="1" x14ac:dyDescent="0.2">
      <c r="C125" s="205">
        <v>42954</v>
      </c>
      <c r="D125" s="185">
        <v>0.55972222222222223</v>
      </c>
      <c r="E125" s="190">
        <v>7</v>
      </c>
      <c r="H125">
        <v>23.1</v>
      </c>
    </row>
    <row r="126" spans="3:11" ht="15.75" customHeight="1" x14ac:dyDescent="0.2"/>
    <row r="127" spans="3:11" ht="15.75" customHeight="1" x14ac:dyDescent="0.2">
      <c r="C127" s="205">
        <v>42989</v>
      </c>
      <c r="D127" s="185">
        <v>0.55555555555555558</v>
      </c>
      <c r="J127">
        <v>6.5</v>
      </c>
      <c r="K127">
        <v>6.5</v>
      </c>
    </row>
    <row r="128" spans="3:11" ht="15.75" customHeight="1" x14ac:dyDescent="0.2">
      <c r="C128" s="205">
        <v>42989</v>
      </c>
      <c r="D128" s="185">
        <v>0.55555555555555558</v>
      </c>
      <c r="E128" s="190">
        <v>0.1</v>
      </c>
      <c r="F128">
        <v>7.65</v>
      </c>
      <c r="G128">
        <v>86.4</v>
      </c>
      <c r="H128">
        <v>21.4</v>
      </c>
    </row>
    <row r="129" spans="3:11" ht="15.75" customHeight="1" x14ac:dyDescent="0.2">
      <c r="C129" s="205">
        <v>42989</v>
      </c>
      <c r="D129" s="185">
        <v>0.55555555555555558</v>
      </c>
      <c r="E129" s="190">
        <v>1</v>
      </c>
      <c r="F129">
        <v>7.66</v>
      </c>
      <c r="G129">
        <v>86.1</v>
      </c>
      <c r="H129">
        <v>21.2</v>
      </c>
    </row>
    <row r="130" spans="3:11" ht="15.75" customHeight="1" x14ac:dyDescent="0.2">
      <c r="C130" s="205">
        <v>42989</v>
      </c>
      <c r="D130" s="185">
        <v>0.55555555555555558</v>
      </c>
      <c r="E130" s="190">
        <v>2</v>
      </c>
      <c r="F130">
        <v>7.65</v>
      </c>
      <c r="G130">
        <v>85.8</v>
      </c>
      <c r="H130">
        <v>21</v>
      </c>
    </row>
    <row r="131" spans="3:11" ht="15.75" customHeight="1" x14ac:dyDescent="0.2">
      <c r="C131" s="205">
        <v>42989</v>
      </c>
      <c r="D131" s="185">
        <v>0.55555555555555558</v>
      </c>
      <c r="E131" s="190">
        <v>3</v>
      </c>
      <c r="F131">
        <v>7.68</v>
      </c>
      <c r="G131">
        <v>85.8</v>
      </c>
      <c r="H131">
        <v>20.8</v>
      </c>
    </row>
    <row r="132" spans="3:11" ht="15.75" customHeight="1" x14ac:dyDescent="0.2">
      <c r="C132" s="205">
        <v>42989</v>
      </c>
      <c r="D132" s="185">
        <v>0.55555555555555558</v>
      </c>
      <c r="E132" s="190">
        <v>4</v>
      </c>
      <c r="F132">
        <v>7.67</v>
      </c>
      <c r="G132">
        <v>85.5</v>
      </c>
      <c r="H132">
        <v>20.7</v>
      </c>
    </row>
    <row r="133" spans="3:11" ht="15.75" customHeight="1" x14ac:dyDescent="0.2">
      <c r="C133" s="205">
        <v>42989</v>
      </c>
      <c r="D133" s="185">
        <v>0.55555555555555558</v>
      </c>
      <c r="E133" s="190">
        <v>5</v>
      </c>
      <c r="F133">
        <v>7.66</v>
      </c>
      <c r="G133">
        <v>85.2</v>
      </c>
      <c r="H133">
        <v>20.6</v>
      </c>
    </row>
    <row r="134" spans="3:11" ht="15.75" customHeight="1" x14ac:dyDescent="0.2">
      <c r="C134" s="205">
        <v>42989</v>
      </c>
      <c r="D134" s="185">
        <v>0.55555555555555558</v>
      </c>
      <c r="E134" s="190">
        <v>6</v>
      </c>
      <c r="F134">
        <v>7.76</v>
      </c>
      <c r="G134">
        <v>86</v>
      </c>
      <c r="H134">
        <v>20.399999999999999</v>
      </c>
    </row>
    <row r="135" spans="3:11" ht="15.75" customHeight="1" x14ac:dyDescent="0.2"/>
    <row r="136" spans="3:11" ht="15.75" customHeight="1" x14ac:dyDescent="0.2">
      <c r="C136" s="205">
        <v>43018</v>
      </c>
      <c r="D136" s="185">
        <v>0.54861111111111105</v>
      </c>
      <c r="J136">
        <v>8</v>
      </c>
      <c r="K136">
        <v>8</v>
      </c>
    </row>
    <row r="137" spans="3:11" ht="15.75" customHeight="1" x14ac:dyDescent="0.2">
      <c r="C137" s="205">
        <v>43018</v>
      </c>
      <c r="D137" s="185">
        <v>0.55208333333333337</v>
      </c>
      <c r="E137" s="190">
        <v>0.1</v>
      </c>
      <c r="F137">
        <v>8.69</v>
      </c>
      <c r="G137">
        <v>83.7</v>
      </c>
      <c r="H137">
        <v>13.7</v>
      </c>
    </row>
    <row r="138" spans="3:11" ht="15.75" customHeight="1" x14ac:dyDescent="0.2">
      <c r="C138" s="205">
        <v>43018</v>
      </c>
      <c r="D138" s="185">
        <v>0.55208333333333337</v>
      </c>
      <c r="E138" s="190">
        <v>1</v>
      </c>
      <c r="F138">
        <v>8.64</v>
      </c>
      <c r="G138">
        <v>83.4</v>
      </c>
      <c r="H138">
        <v>13.8</v>
      </c>
    </row>
    <row r="139" spans="3:11" ht="15.75" customHeight="1" x14ac:dyDescent="0.2">
      <c r="C139" s="205">
        <v>43018</v>
      </c>
      <c r="D139" s="185">
        <v>0.55208333333333337</v>
      </c>
      <c r="E139" s="190">
        <v>2</v>
      </c>
      <c r="F139">
        <v>8.6199999999999992</v>
      </c>
      <c r="G139">
        <v>83.2</v>
      </c>
      <c r="H139">
        <v>13.8</v>
      </c>
    </row>
    <row r="140" spans="3:11" ht="15.75" customHeight="1" x14ac:dyDescent="0.2">
      <c r="C140" s="205">
        <v>43018</v>
      </c>
      <c r="D140" s="185">
        <v>0.55208333333333337</v>
      </c>
      <c r="E140" s="190">
        <v>3</v>
      </c>
      <c r="F140">
        <v>8.6</v>
      </c>
      <c r="G140">
        <v>83</v>
      </c>
      <c r="H140">
        <v>13.8</v>
      </c>
    </row>
    <row r="141" spans="3:11" ht="15.75" customHeight="1" x14ac:dyDescent="0.2">
      <c r="C141" s="205">
        <v>43018</v>
      </c>
      <c r="D141" s="185">
        <v>0.55208333333333337</v>
      </c>
      <c r="E141" s="190">
        <v>4</v>
      </c>
      <c r="F141">
        <v>8.58</v>
      </c>
      <c r="G141">
        <v>82.9</v>
      </c>
      <c r="H141">
        <v>13.8</v>
      </c>
    </row>
    <row r="142" spans="3:11" ht="15.75" customHeight="1" x14ac:dyDescent="0.2">
      <c r="C142" s="205">
        <v>43018</v>
      </c>
      <c r="D142" s="185">
        <v>0.55208333333333337</v>
      </c>
      <c r="E142" s="190">
        <v>5</v>
      </c>
      <c r="F142">
        <v>8.56</v>
      </c>
      <c r="G142">
        <v>82.7</v>
      </c>
      <c r="H142">
        <v>13.8</v>
      </c>
    </row>
    <row r="143" spans="3:11" ht="15.75" customHeight="1" x14ac:dyDescent="0.2">
      <c r="C143" s="205">
        <v>43018</v>
      </c>
      <c r="D143" s="185">
        <v>0.55208333333333337</v>
      </c>
      <c r="E143" s="190">
        <v>6</v>
      </c>
      <c r="F143">
        <v>8.56</v>
      </c>
      <c r="G143">
        <v>82.7</v>
      </c>
      <c r="H143">
        <v>13.8</v>
      </c>
    </row>
    <row r="144" spans="3:11" ht="15.75" customHeight="1" x14ac:dyDescent="0.2">
      <c r="C144" s="205">
        <v>43018</v>
      </c>
      <c r="D144" s="185">
        <v>0.55208333333333337</v>
      </c>
      <c r="E144" s="190">
        <v>7</v>
      </c>
      <c r="F144">
        <v>8.58</v>
      </c>
      <c r="G144">
        <v>82.9</v>
      </c>
      <c r="H144">
        <v>13.8</v>
      </c>
    </row>
    <row r="145" spans="2:11" ht="15.75" customHeight="1" x14ac:dyDescent="0.2"/>
    <row r="146" spans="2:11" ht="15.75" customHeight="1" x14ac:dyDescent="0.2">
      <c r="C146" s="205">
        <v>34507</v>
      </c>
      <c r="D146" s="185">
        <v>0.5</v>
      </c>
      <c r="J146">
        <v>9.6</v>
      </c>
    </row>
    <row r="147" spans="2:11" ht="15.75" customHeight="1" x14ac:dyDescent="0.2"/>
    <row r="148" spans="2:11" ht="15.75" customHeight="1" x14ac:dyDescent="0.2">
      <c r="B148">
        <v>7.2</v>
      </c>
      <c r="C148" s="205">
        <v>34255</v>
      </c>
      <c r="D148" s="185">
        <v>0.56597222222222221</v>
      </c>
      <c r="J148" s="252" t="s">
        <v>257</v>
      </c>
    </row>
    <row r="149" spans="2:11" ht="15.75" customHeight="1" x14ac:dyDescent="0.2">
      <c r="C149" s="205">
        <v>34255</v>
      </c>
      <c r="D149" s="185">
        <v>0.56597222222222221</v>
      </c>
      <c r="E149" s="190">
        <v>1</v>
      </c>
      <c r="F149">
        <v>9.4</v>
      </c>
      <c r="H149">
        <v>14.8</v>
      </c>
    </row>
    <row r="150" spans="2:11" ht="15.75" customHeight="1" x14ac:dyDescent="0.2">
      <c r="C150" s="205">
        <v>34255</v>
      </c>
      <c r="D150" s="185">
        <v>0.56597222222222221</v>
      </c>
      <c r="E150" s="190">
        <v>7</v>
      </c>
      <c r="F150">
        <v>9.5</v>
      </c>
      <c r="H150">
        <v>14.7</v>
      </c>
    </row>
    <row r="151" spans="2:11" ht="15.75" customHeight="1" x14ac:dyDescent="0.2"/>
    <row r="152" spans="2:11" ht="15.75" customHeight="1" x14ac:dyDescent="0.2">
      <c r="B152">
        <v>6</v>
      </c>
      <c r="C152" s="205">
        <v>34227</v>
      </c>
      <c r="D152" s="185">
        <v>0.60763888888888884</v>
      </c>
      <c r="J152" s="252" t="s">
        <v>257</v>
      </c>
    </row>
    <row r="153" spans="2:11" ht="15.75" customHeight="1" x14ac:dyDescent="0.2">
      <c r="E153" s="250" t="s">
        <v>603</v>
      </c>
    </row>
    <row r="154" spans="2:11" ht="15.75" customHeight="1" x14ac:dyDescent="0.2"/>
    <row r="155" spans="2:11" ht="15.75" customHeight="1" x14ac:dyDescent="0.2">
      <c r="B155">
        <v>10.3</v>
      </c>
      <c r="C155" s="205">
        <v>34199</v>
      </c>
      <c r="D155" s="185">
        <v>0.54166666666666663</v>
      </c>
      <c r="J155">
        <v>10.3</v>
      </c>
      <c r="K155" s="252" t="s">
        <v>601</v>
      </c>
    </row>
    <row r="156" spans="2:11" ht="15.75" customHeight="1" x14ac:dyDescent="0.2">
      <c r="C156" s="205">
        <v>34199</v>
      </c>
      <c r="D156" s="185">
        <v>0.54166666666666663</v>
      </c>
      <c r="E156" s="190">
        <v>1</v>
      </c>
      <c r="F156">
        <v>8.6</v>
      </c>
      <c r="H156">
        <v>19.8</v>
      </c>
    </row>
    <row r="157" spans="2:11" ht="15.75" customHeight="1" x14ac:dyDescent="0.2">
      <c r="C157" s="205">
        <v>34199</v>
      </c>
      <c r="D157" s="185">
        <v>0.54166666666666663</v>
      </c>
      <c r="E157" s="190">
        <v>9</v>
      </c>
      <c r="F157">
        <v>9.3000000000000007</v>
      </c>
      <c r="H157">
        <v>16.899999999999999</v>
      </c>
    </row>
    <row r="158" spans="2:11" ht="15.75" customHeight="1" x14ac:dyDescent="0.2"/>
    <row r="159" spans="2:11" ht="15.75" customHeight="1" x14ac:dyDescent="0.2">
      <c r="B159">
        <v>8.8000000000000007</v>
      </c>
      <c r="C159" s="205">
        <v>34178</v>
      </c>
      <c r="D159" s="185">
        <v>0.54166666666666663</v>
      </c>
      <c r="J159">
        <v>10.199999999999999</v>
      </c>
      <c r="K159" s="252" t="s">
        <v>611</v>
      </c>
    </row>
    <row r="160" spans="2:11" ht="15.75" customHeight="1" x14ac:dyDescent="0.2">
      <c r="C160" s="205">
        <v>34178</v>
      </c>
      <c r="D160" s="185">
        <v>0.54166666666666663</v>
      </c>
      <c r="E160" s="190">
        <v>1</v>
      </c>
      <c r="F160">
        <v>9.3000000000000007</v>
      </c>
      <c r="H160">
        <v>18.7</v>
      </c>
    </row>
    <row r="161" spans="2:12" ht="15.75" customHeight="1" x14ac:dyDescent="0.2">
      <c r="C161" s="205">
        <v>34178</v>
      </c>
      <c r="D161" s="185">
        <v>0.54166666666666663</v>
      </c>
      <c r="E161" s="190">
        <v>8</v>
      </c>
      <c r="F161">
        <v>9.4</v>
      </c>
      <c r="H161">
        <v>17.3</v>
      </c>
    </row>
    <row r="162" spans="2:12" ht="15.75" customHeight="1" x14ac:dyDescent="0.2"/>
    <row r="163" spans="2:12" ht="15.75" customHeight="1" x14ac:dyDescent="0.2">
      <c r="B163">
        <v>7.2</v>
      </c>
      <c r="C163" s="205">
        <v>34158</v>
      </c>
      <c r="D163" s="185">
        <v>0.48958333333333331</v>
      </c>
      <c r="J163">
        <v>7.2</v>
      </c>
      <c r="K163" s="252" t="s">
        <v>601</v>
      </c>
    </row>
    <row r="164" spans="2:12" ht="15.75" customHeight="1" x14ac:dyDescent="0.2">
      <c r="C164" s="205">
        <v>34158</v>
      </c>
      <c r="D164" s="185">
        <v>0.48958333333333331</v>
      </c>
      <c r="E164" s="190">
        <v>1</v>
      </c>
      <c r="F164">
        <v>9.4</v>
      </c>
      <c r="H164">
        <v>17.100000000000001</v>
      </c>
    </row>
    <row r="165" spans="2:12" ht="15.75" customHeight="1" x14ac:dyDescent="0.2">
      <c r="C165" s="205">
        <v>34158</v>
      </c>
      <c r="D165" s="185">
        <v>0.48958333333333331</v>
      </c>
      <c r="E165" s="190">
        <v>7</v>
      </c>
      <c r="F165">
        <v>9.3000000000000007</v>
      </c>
      <c r="H165">
        <v>16.2</v>
      </c>
    </row>
    <row r="166" spans="2:12" ht="15.75" customHeight="1" x14ac:dyDescent="0.2"/>
    <row r="167" spans="2:12" ht="15.75" customHeight="1" x14ac:dyDescent="0.2">
      <c r="B167">
        <v>6.8</v>
      </c>
      <c r="C167" s="205">
        <v>34136</v>
      </c>
      <c r="J167">
        <v>7.3</v>
      </c>
      <c r="K167" s="252" t="s">
        <v>609</v>
      </c>
      <c r="L167" s="252" t="s">
        <v>615</v>
      </c>
    </row>
    <row r="168" spans="2:12" ht="15.75" customHeight="1" x14ac:dyDescent="0.2">
      <c r="C168" s="205">
        <v>34136</v>
      </c>
      <c r="E168" s="190">
        <v>1</v>
      </c>
      <c r="F168">
        <v>9.6</v>
      </c>
      <c r="H168">
        <v>15.7</v>
      </c>
    </row>
    <row r="169" spans="2:12" ht="15.75" customHeight="1" x14ac:dyDescent="0.2">
      <c r="C169" s="205">
        <v>34136</v>
      </c>
      <c r="E169" s="190">
        <v>6</v>
      </c>
      <c r="F169">
        <v>9.6999999999999993</v>
      </c>
      <c r="H169">
        <v>15</v>
      </c>
    </row>
    <row r="170" spans="2:12" ht="15.75" customHeight="1" x14ac:dyDescent="0.2"/>
    <row r="171" spans="2:12" ht="15.75" customHeight="1" x14ac:dyDescent="0.2">
      <c r="B171">
        <v>6.5</v>
      </c>
      <c r="C171" s="205">
        <v>34108</v>
      </c>
      <c r="D171" s="185">
        <v>0.45833333333333331</v>
      </c>
      <c r="J171">
        <v>8.3000000000000007</v>
      </c>
      <c r="L171" s="252" t="s">
        <v>615</v>
      </c>
    </row>
    <row r="172" spans="2:12" ht="15.75" customHeight="1" x14ac:dyDescent="0.2">
      <c r="C172" s="205">
        <v>34108</v>
      </c>
      <c r="E172" s="190">
        <v>1</v>
      </c>
      <c r="F172">
        <v>11.4</v>
      </c>
      <c r="H172">
        <v>14.4</v>
      </c>
    </row>
    <row r="173" spans="2:12" ht="15.75" customHeight="1" x14ac:dyDescent="0.2">
      <c r="C173" s="205">
        <v>34108</v>
      </c>
      <c r="E173" s="190">
        <v>6</v>
      </c>
      <c r="F173">
        <v>12.4</v>
      </c>
      <c r="H173">
        <v>11.1</v>
      </c>
    </row>
    <row r="174" spans="2:12" ht="15.75" customHeight="1" x14ac:dyDescent="0.2"/>
    <row r="175" spans="2:12" ht="15.75" customHeight="1" x14ac:dyDescent="0.2">
      <c r="B175">
        <v>4.4000000000000004</v>
      </c>
      <c r="C175" s="205">
        <v>34082</v>
      </c>
      <c r="D175" s="185">
        <v>0.62708333333333333</v>
      </c>
      <c r="J175">
        <v>4.4000000000000004</v>
      </c>
      <c r="K175" s="252" t="s">
        <v>601</v>
      </c>
    </row>
    <row r="176" spans="2:12" ht="15.75" customHeight="1" x14ac:dyDescent="0.2">
      <c r="E176" s="250" t="s">
        <v>603</v>
      </c>
    </row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D2748"/>
  <sheetViews>
    <sheetView workbookViewId="0">
      <pane xSplit="1" ySplit="1" topLeftCell="B2074" activePane="bottomRight" state="frozen"/>
      <selection pane="topRight" activeCell="B1" sqref="B1"/>
      <selection pane="bottomLeft" activeCell="A2" sqref="A2"/>
      <selection pane="bottomRight" activeCell="I2089" sqref="I2089"/>
    </sheetView>
  </sheetViews>
  <sheetFormatPr baseColWidth="10" defaultColWidth="11.1640625" defaultRowHeight="15" customHeight="1" x14ac:dyDescent="0.2"/>
  <cols>
    <col min="1" max="2" width="10.5" customWidth="1"/>
    <col min="3" max="3" width="11.83203125" style="209" customWidth="1"/>
    <col min="4" max="4" width="10.83203125" customWidth="1"/>
    <col min="5" max="5" width="10.33203125" customWidth="1"/>
    <col min="6" max="6" width="10.5" style="190" customWidth="1"/>
    <col min="7" max="7" width="10.83203125" style="190" customWidth="1"/>
    <col min="8" max="8" width="8.83203125" customWidth="1"/>
    <col min="9" max="9" width="9.6640625" customWidth="1"/>
    <col min="10" max="10" width="11.33203125" customWidth="1"/>
    <col min="11" max="11" width="8.1640625" customWidth="1"/>
    <col min="12" max="12" width="9.83203125" customWidth="1"/>
    <col min="13" max="13" width="8.33203125" customWidth="1"/>
    <col min="14" max="14" width="7.6640625" customWidth="1"/>
    <col min="15" max="19" width="10.83203125" customWidth="1"/>
    <col min="20" max="30" width="10.5" customWidth="1"/>
  </cols>
  <sheetData>
    <row r="1" spans="1:30" ht="33.75" customHeight="1" x14ac:dyDescent="0.2">
      <c r="A1" s="3"/>
      <c r="B1" s="3" t="s">
        <v>49</v>
      </c>
      <c r="C1" s="208" t="s">
        <v>50</v>
      </c>
      <c r="D1" s="3" t="s">
        <v>51</v>
      </c>
      <c r="E1" s="3" t="s">
        <v>52</v>
      </c>
      <c r="F1" s="2" t="s">
        <v>53</v>
      </c>
      <c r="G1" s="3" t="s">
        <v>54</v>
      </c>
      <c r="H1" s="2" t="s">
        <v>55</v>
      </c>
      <c r="I1" s="2" t="s">
        <v>56</v>
      </c>
      <c r="J1" s="2" t="s">
        <v>57</v>
      </c>
      <c r="K1" s="2" t="s">
        <v>58</v>
      </c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3.5" customHeight="1" x14ac:dyDescent="0.2">
      <c r="B2" s="1" t="s">
        <v>9</v>
      </c>
      <c r="C2" s="208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50"/>
      <c r="P2" s="3"/>
      <c r="Q2" s="3"/>
      <c r="R2" s="3"/>
      <c r="S2" s="3"/>
    </row>
    <row r="3" spans="1:30" ht="13.5" customHeight="1" x14ac:dyDescent="0.2">
      <c r="A3" s="4"/>
      <c r="B3" s="4" t="s">
        <v>59</v>
      </c>
      <c r="C3" s="208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50"/>
      <c r="P3" s="3"/>
      <c r="Q3" s="3"/>
      <c r="R3" s="3"/>
      <c r="S3" s="3"/>
    </row>
    <row r="4" spans="1:30" ht="13.5" customHeight="1" x14ac:dyDescent="0.2">
      <c r="A4" s="4" t="s">
        <v>60</v>
      </c>
      <c r="B4" s="4" t="s">
        <v>101</v>
      </c>
      <c r="C4" s="208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50"/>
      <c r="P4" s="3"/>
      <c r="Q4" s="3"/>
      <c r="R4" s="3"/>
      <c r="S4" s="3"/>
    </row>
    <row r="5" spans="1:30" ht="30" customHeight="1" x14ac:dyDescent="0.2">
      <c r="A5" s="4"/>
      <c r="B5" s="5" t="s">
        <v>62</v>
      </c>
      <c r="C5" s="208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50"/>
      <c r="P5" s="3"/>
      <c r="Q5" s="3"/>
      <c r="R5" s="3"/>
      <c r="S5" s="3"/>
    </row>
    <row r="6" spans="1:30" ht="13.5" customHeight="1" x14ac:dyDescent="0.2">
      <c r="C6" s="208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50"/>
      <c r="P6" s="3"/>
      <c r="Q6" s="3"/>
      <c r="R6" s="3"/>
      <c r="S6" s="3"/>
    </row>
    <row r="7" spans="1:30" ht="13.5" customHeight="1" x14ac:dyDescent="0.2">
      <c r="C7" s="208">
        <v>45463</v>
      </c>
      <c r="D7" s="19">
        <v>0.57638888888888895</v>
      </c>
      <c r="E7" s="3"/>
      <c r="F7" s="3"/>
      <c r="G7" s="3"/>
      <c r="H7" s="3"/>
      <c r="I7" s="3"/>
      <c r="J7" s="3">
        <v>7</v>
      </c>
      <c r="K7" s="3">
        <v>8</v>
      </c>
      <c r="L7" s="3"/>
      <c r="M7" s="3"/>
      <c r="N7" s="3"/>
      <c r="O7" s="50"/>
      <c r="P7" s="3"/>
      <c r="Q7" s="3"/>
      <c r="R7" s="3"/>
      <c r="S7" s="3"/>
    </row>
    <row r="8" spans="1:30" ht="13.5" customHeight="1" x14ac:dyDescent="0.2">
      <c r="C8" s="208">
        <v>45463</v>
      </c>
      <c r="D8" s="19">
        <v>0.58680555555555558</v>
      </c>
      <c r="E8" s="3">
        <v>0.1</v>
      </c>
      <c r="F8" s="3">
        <v>10.36</v>
      </c>
      <c r="G8" s="3">
        <v>106</v>
      </c>
      <c r="H8" s="3">
        <v>16.8</v>
      </c>
      <c r="I8" s="3"/>
      <c r="J8" s="3"/>
      <c r="K8" s="3"/>
      <c r="L8" s="3"/>
      <c r="M8" s="3"/>
      <c r="N8" s="3"/>
      <c r="O8" s="50"/>
      <c r="P8" s="3"/>
      <c r="Q8" s="3"/>
      <c r="R8" s="3"/>
      <c r="S8" s="3"/>
    </row>
    <row r="9" spans="1:30" ht="13.5" customHeight="1" x14ac:dyDescent="0.2">
      <c r="C9" s="208">
        <v>45463</v>
      </c>
      <c r="D9" s="19">
        <v>0.58680555555555558</v>
      </c>
      <c r="E9" s="3">
        <v>1</v>
      </c>
      <c r="F9" s="3">
        <v>10.45</v>
      </c>
      <c r="G9" s="3">
        <v>106.8</v>
      </c>
      <c r="H9" s="3">
        <v>16.399999999999999</v>
      </c>
      <c r="I9" s="3"/>
      <c r="J9" s="3"/>
      <c r="K9" s="3"/>
      <c r="L9" s="3"/>
      <c r="M9" s="3"/>
      <c r="N9" s="3"/>
      <c r="O9" s="50"/>
      <c r="P9" s="3"/>
      <c r="Q9" s="3"/>
      <c r="R9" s="3"/>
      <c r="S9" s="3"/>
    </row>
    <row r="10" spans="1:30" ht="13.5" customHeight="1" x14ac:dyDescent="0.2">
      <c r="C10" s="208">
        <v>45463</v>
      </c>
      <c r="D10" s="19">
        <v>0.58680555555555558</v>
      </c>
      <c r="E10" s="3">
        <v>2</v>
      </c>
      <c r="F10" s="3">
        <v>10.49</v>
      </c>
      <c r="G10" s="3">
        <v>105.6</v>
      </c>
      <c r="H10" s="3">
        <v>15.8</v>
      </c>
      <c r="I10" s="3"/>
      <c r="J10" s="3"/>
      <c r="K10" s="3"/>
      <c r="L10" s="3"/>
      <c r="M10" s="3"/>
      <c r="N10" s="3"/>
      <c r="O10" s="50"/>
      <c r="P10" s="3"/>
      <c r="Q10" s="3"/>
      <c r="R10" s="3"/>
      <c r="S10" s="3"/>
    </row>
    <row r="11" spans="1:30" ht="13.5" customHeight="1" x14ac:dyDescent="0.2">
      <c r="C11" s="208">
        <v>45463</v>
      </c>
      <c r="D11" s="19">
        <v>0.58680555555555558</v>
      </c>
      <c r="E11" s="3">
        <v>3</v>
      </c>
      <c r="F11" s="3">
        <v>10.5</v>
      </c>
      <c r="G11" s="3">
        <v>104.8</v>
      </c>
      <c r="H11" s="3">
        <v>15.3</v>
      </c>
      <c r="I11" s="3"/>
      <c r="J11" s="3"/>
      <c r="K11" s="3"/>
      <c r="L11" s="3"/>
      <c r="M11" s="3"/>
      <c r="N11" s="3"/>
      <c r="O11" s="50"/>
      <c r="P11" s="3"/>
      <c r="Q11" s="3"/>
      <c r="R11" s="3"/>
      <c r="S11" s="3"/>
    </row>
    <row r="12" spans="1:30" ht="13.5" customHeight="1" x14ac:dyDescent="0.2">
      <c r="C12" s="208">
        <v>45463</v>
      </c>
      <c r="D12" s="19">
        <v>0.58680555555555558</v>
      </c>
      <c r="E12" s="3">
        <v>4</v>
      </c>
      <c r="F12" s="3">
        <v>10.55</v>
      </c>
      <c r="G12" s="3">
        <v>104.6</v>
      </c>
      <c r="H12" s="3">
        <v>15</v>
      </c>
      <c r="I12" s="3"/>
      <c r="J12" s="3"/>
      <c r="K12" s="3"/>
      <c r="L12" s="3"/>
      <c r="M12" s="3"/>
      <c r="N12" s="3"/>
      <c r="O12" s="50"/>
      <c r="P12" s="3"/>
      <c r="Q12" s="3"/>
      <c r="R12" s="3"/>
      <c r="S12" s="3"/>
    </row>
    <row r="13" spans="1:30" ht="13.5" customHeight="1" x14ac:dyDescent="0.2">
      <c r="C13" s="208">
        <v>45463</v>
      </c>
      <c r="D13" s="19">
        <v>0.58680555555555558</v>
      </c>
      <c r="E13" s="3">
        <v>5</v>
      </c>
      <c r="F13" s="3">
        <v>10.57</v>
      </c>
      <c r="G13" s="3">
        <v>104.4</v>
      </c>
      <c r="H13" s="3">
        <v>14.9</v>
      </c>
      <c r="I13" s="3"/>
      <c r="J13" s="3"/>
      <c r="K13" s="3"/>
      <c r="L13" s="3"/>
      <c r="M13" s="3"/>
      <c r="N13" s="3"/>
      <c r="O13" s="50"/>
      <c r="P13" s="3"/>
      <c r="Q13" s="3"/>
      <c r="R13" s="3"/>
      <c r="S13" s="3"/>
    </row>
    <row r="14" spans="1:30" ht="13.5" customHeight="1" x14ac:dyDescent="0.2">
      <c r="C14" s="208">
        <v>45463</v>
      </c>
      <c r="D14" s="19">
        <v>0.58680555555555558</v>
      </c>
      <c r="E14" s="3">
        <v>6</v>
      </c>
      <c r="F14" s="3">
        <v>10.55</v>
      </c>
      <c r="G14" s="3">
        <v>104</v>
      </c>
      <c r="H14" s="3">
        <v>14.7</v>
      </c>
      <c r="I14" s="3"/>
      <c r="J14" s="3"/>
      <c r="K14" s="3"/>
      <c r="L14" s="3"/>
      <c r="M14" s="3"/>
      <c r="N14" s="3"/>
      <c r="O14" s="50"/>
      <c r="P14" s="3"/>
      <c r="Q14" s="3"/>
      <c r="R14" s="3"/>
      <c r="S14" s="3"/>
    </row>
    <row r="15" spans="1:30" ht="13.5" customHeight="1" x14ac:dyDescent="0.2">
      <c r="C15" s="208">
        <v>45463</v>
      </c>
      <c r="D15" s="19">
        <v>0.58680555555555558</v>
      </c>
      <c r="E15" s="3">
        <v>7</v>
      </c>
      <c r="F15" s="3">
        <v>10.56</v>
      </c>
      <c r="G15" s="3">
        <v>102.6</v>
      </c>
      <c r="H15" s="3">
        <v>14.5</v>
      </c>
      <c r="I15" s="3"/>
      <c r="J15" s="3"/>
      <c r="K15" s="3"/>
      <c r="L15" s="3"/>
      <c r="M15" s="3"/>
      <c r="N15" s="3"/>
      <c r="O15" s="50"/>
      <c r="P15" s="3"/>
      <c r="Q15" s="3"/>
      <c r="R15" s="3"/>
      <c r="S15" s="3"/>
    </row>
    <row r="16" spans="1:30" ht="13.5" customHeight="1" x14ac:dyDescent="0.2">
      <c r="C16" s="208">
        <v>45463</v>
      </c>
      <c r="D16" s="19">
        <v>0.58680555555555558</v>
      </c>
      <c r="E16" s="3">
        <v>8</v>
      </c>
      <c r="F16" s="3">
        <v>10.58</v>
      </c>
      <c r="G16" s="3">
        <v>103.5</v>
      </c>
      <c r="H16" s="3">
        <v>14.4</v>
      </c>
      <c r="I16" s="3"/>
      <c r="J16" s="3"/>
      <c r="K16" s="3"/>
      <c r="L16" s="3"/>
      <c r="M16" s="3"/>
      <c r="N16" s="3"/>
      <c r="O16" s="50"/>
      <c r="P16" s="3"/>
      <c r="Q16" s="3"/>
      <c r="R16" s="3"/>
      <c r="S16" s="3"/>
    </row>
    <row r="17" spans="3:19" ht="13.5" customHeight="1" x14ac:dyDescent="0.2">
      <c r="C17" s="208">
        <v>45463</v>
      </c>
      <c r="D17" s="19">
        <v>0.58680555555555558</v>
      </c>
      <c r="E17" s="3">
        <v>9</v>
      </c>
      <c r="F17" s="3">
        <v>10.57</v>
      </c>
      <c r="G17" s="3">
        <v>103.53</v>
      </c>
      <c r="H17" s="3">
        <v>14.3</v>
      </c>
      <c r="I17" s="3"/>
      <c r="J17" s="3"/>
      <c r="K17" s="3"/>
      <c r="L17" s="3"/>
      <c r="M17" s="3"/>
      <c r="N17" s="3"/>
      <c r="O17" s="50"/>
      <c r="P17" s="3"/>
      <c r="Q17" s="3"/>
      <c r="R17" s="3"/>
      <c r="S17" s="3"/>
    </row>
    <row r="18" spans="3:19" ht="13.5" customHeight="1" x14ac:dyDescent="0.2">
      <c r="C18" s="208">
        <v>45463</v>
      </c>
      <c r="D18" s="19">
        <v>0.58680555555555558</v>
      </c>
      <c r="E18" s="3">
        <v>10</v>
      </c>
      <c r="F18" s="3">
        <v>10.57</v>
      </c>
      <c r="G18" s="3">
        <v>102.9</v>
      </c>
      <c r="H18" s="3">
        <v>14.1</v>
      </c>
      <c r="I18" s="3"/>
      <c r="J18" s="3"/>
      <c r="K18" s="3"/>
      <c r="L18" s="3"/>
      <c r="M18" s="3"/>
      <c r="N18" s="3"/>
      <c r="O18" s="50"/>
      <c r="P18" s="3"/>
      <c r="Q18" s="3"/>
      <c r="R18" s="3"/>
      <c r="S18" s="3"/>
    </row>
    <row r="19" spans="3:19" ht="13.5" customHeight="1" x14ac:dyDescent="0.2">
      <c r="C19" s="208">
        <v>45463</v>
      </c>
      <c r="D19" s="19">
        <v>0.58680555555555558</v>
      </c>
      <c r="E19" s="3">
        <v>11</v>
      </c>
      <c r="F19" s="3">
        <v>10.88</v>
      </c>
      <c r="G19" s="3">
        <v>99.9</v>
      </c>
      <c r="H19" s="3">
        <v>11.6</v>
      </c>
      <c r="I19" s="3"/>
      <c r="J19" s="3"/>
      <c r="K19" s="3"/>
      <c r="L19" s="3"/>
      <c r="M19" s="3"/>
      <c r="N19" s="3"/>
      <c r="O19" s="50"/>
      <c r="P19" s="3"/>
      <c r="Q19" s="3"/>
      <c r="R19" s="3"/>
      <c r="S19" s="3"/>
    </row>
    <row r="20" spans="3:19" ht="13.5" customHeight="1" x14ac:dyDescent="0.2">
      <c r="C20" s="208">
        <v>45463</v>
      </c>
      <c r="D20" s="19">
        <v>0.58680555555555558</v>
      </c>
      <c r="E20" s="3">
        <v>12</v>
      </c>
      <c r="F20" s="3">
        <v>11.04</v>
      </c>
      <c r="G20" s="3">
        <v>99.7</v>
      </c>
      <c r="H20" s="3">
        <v>10.9</v>
      </c>
      <c r="I20" s="3"/>
      <c r="J20" s="3"/>
      <c r="K20" s="3"/>
      <c r="L20" s="3"/>
      <c r="M20" s="3"/>
      <c r="N20" s="3"/>
      <c r="O20" s="50"/>
      <c r="P20" s="3"/>
      <c r="Q20" s="3"/>
      <c r="R20" s="3"/>
      <c r="S20" s="3"/>
    </row>
    <row r="21" spans="3:19" ht="13.5" customHeight="1" x14ac:dyDescent="0.2">
      <c r="C21" s="208">
        <v>45463</v>
      </c>
      <c r="D21" s="19">
        <v>0.58680555555555558</v>
      </c>
      <c r="E21" s="3">
        <v>15</v>
      </c>
      <c r="F21" s="3">
        <v>11.07</v>
      </c>
      <c r="G21" s="3">
        <v>95.2</v>
      </c>
      <c r="H21" s="3">
        <v>8.8000000000000007</v>
      </c>
      <c r="I21" s="3"/>
      <c r="J21" s="3"/>
      <c r="K21" s="3"/>
      <c r="L21" s="3"/>
      <c r="M21" s="3"/>
      <c r="N21" s="3"/>
      <c r="O21" s="50"/>
      <c r="P21" s="3"/>
      <c r="Q21" s="3"/>
      <c r="R21" s="3"/>
      <c r="S21" s="3"/>
    </row>
    <row r="22" spans="3:19" ht="13.5" customHeight="1" x14ac:dyDescent="0.2">
      <c r="C22" s="208">
        <v>45463</v>
      </c>
      <c r="D22" s="19">
        <v>0.58680555555555558</v>
      </c>
      <c r="E22" s="3">
        <v>20</v>
      </c>
      <c r="F22" s="3">
        <v>11.14</v>
      </c>
      <c r="G22" s="3">
        <v>92.5</v>
      </c>
      <c r="H22" s="3">
        <v>7.3</v>
      </c>
      <c r="I22" s="3"/>
      <c r="J22" s="3"/>
      <c r="K22" s="3"/>
      <c r="L22" s="3"/>
      <c r="M22" s="3"/>
      <c r="N22" s="3"/>
      <c r="O22" s="50"/>
      <c r="P22" s="3"/>
      <c r="Q22" s="3"/>
      <c r="R22" s="3"/>
      <c r="S22" s="3"/>
    </row>
    <row r="23" spans="3:19" ht="13.5" customHeight="1" x14ac:dyDescent="0.2">
      <c r="C23" s="208">
        <v>45463</v>
      </c>
      <c r="D23" s="19">
        <v>0.58680555555555558</v>
      </c>
      <c r="E23" s="3">
        <v>25</v>
      </c>
      <c r="F23" s="3">
        <v>11.78</v>
      </c>
      <c r="G23" s="3">
        <v>91.4</v>
      </c>
      <c r="H23" s="3">
        <v>6.7</v>
      </c>
      <c r="I23" s="3"/>
      <c r="J23" s="3"/>
      <c r="K23" s="3"/>
      <c r="L23" s="3"/>
      <c r="M23" s="3"/>
      <c r="N23" s="3"/>
      <c r="O23" s="50"/>
      <c r="P23" s="3"/>
      <c r="Q23" s="3"/>
      <c r="R23" s="3"/>
      <c r="S23" s="3"/>
    </row>
    <row r="24" spans="3:19" ht="13.5" customHeight="1" x14ac:dyDescent="0.2">
      <c r="C24" s="208">
        <v>45463</v>
      </c>
      <c r="D24" s="19">
        <v>0.58680555555555558</v>
      </c>
      <c r="E24" s="3">
        <v>30</v>
      </c>
      <c r="F24" s="3">
        <v>11.13</v>
      </c>
      <c r="G24" s="3">
        <v>90.1</v>
      </c>
      <c r="H24" s="3">
        <v>6.3</v>
      </c>
      <c r="I24" s="3"/>
      <c r="J24" s="3"/>
      <c r="K24" s="3"/>
      <c r="L24" s="3"/>
      <c r="M24" s="3"/>
      <c r="N24" s="3"/>
      <c r="O24" s="50"/>
      <c r="P24" s="3"/>
      <c r="Q24" s="3"/>
      <c r="R24" s="3"/>
      <c r="S24" s="3"/>
    </row>
    <row r="25" spans="3:19" ht="13.5" customHeight="1" x14ac:dyDescent="0.2">
      <c r="C25" s="208">
        <v>45463</v>
      </c>
      <c r="D25" s="19">
        <v>0.58680555555555558</v>
      </c>
      <c r="E25" s="3">
        <v>35</v>
      </c>
      <c r="F25" s="3">
        <v>11.05</v>
      </c>
      <c r="G25" s="3">
        <v>89.2</v>
      </c>
      <c r="H25" s="3">
        <v>6.2</v>
      </c>
      <c r="I25" s="3"/>
      <c r="J25" s="3"/>
      <c r="K25" s="3"/>
      <c r="L25" s="3"/>
      <c r="M25" s="3"/>
      <c r="N25" s="3"/>
      <c r="O25" s="50"/>
      <c r="P25" s="3"/>
      <c r="Q25" s="3"/>
      <c r="R25" s="3"/>
      <c r="S25" s="3"/>
    </row>
    <row r="26" spans="3:19" ht="13.5" customHeight="1" x14ac:dyDescent="0.2">
      <c r="C26" s="208">
        <v>45463</v>
      </c>
      <c r="D26" s="19">
        <v>0.58680555555555558</v>
      </c>
      <c r="E26" s="3">
        <v>40</v>
      </c>
      <c r="F26" s="3">
        <v>10.97</v>
      </c>
      <c r="G26" s="3">
        <v>88.1</v>
      </c>
      <c r="H26" s="3">
        <v>6</v>
      </c>
      <c r="I26" s="3"/>
      <c r="J26" s="3"/>
      <c r="K26" s="3"/>
      <c r="L26" s="3"/>
      <c r="M26" s="3"/>
      <c r="N26" s="3"/>
      <c r="O26" s="50"/>
      <c r="P26" s="3"/>
      <c r="Q26" s="3"/>
      <c r="R26" s="3"/>
      <c r="S26" s="3"/>
    </row>
    <row r="27" spans="3:19" ht="13.5" customHeight="1" x14ac:dyDescent="0.2">
      <c r="C27" s="208">
        <v>45463</v>
      </c>
      <c r="D27" s="19">
        <v>0.58680555555555558</v>
      </c>
      <c r="E27" s="3">
        <v>44</v>
      </c>
      <c r="F27" s="3">
        <v>10.88</v>
      </c>
      <c r="G27" s="3">
        <v>87.4</v>
      </c>
      <c r="H27" s="3">
        <v>6</v>
      </c>
      <c r="I27" s="3"/>
      <c r="J27" s="3"/>
      <c r="K27" s="3"/>
      <c r="L27" s="3"/>
      <c r="M27" s="3"/>
      <c r="N27" s="3"/>
      <c r="O27" s="50"/>
      <c r="P27" s="3"/>
      <c r="Q27" s="3"/>
      <c r="R27" s="3"/>
      <c r="S27" s="3"/>
    </row>
    <row r="28" spans="3:19" ht="13.5" customHeight="1" x14ac:dyDescent="0.2">
      <c r="C28" s="208">
        <v>45463</v>
      </c>
      <c r="D28" s="19">
        <v>0.58680555555555558</v>
      </c>
      <c r="E28" s="3">
        <v>45</v>
      </c>
      <c r="F28" s="3">
        <v>10.78</v>
      </c>
      <c r="G28" s="3">
        <v>86.8</v>
      </c>
      <c r="H28" s="3">
        <v>6.1</v>
      </c>
      <c r="I28" s="3"/>
      <c r="J28" s="3"/>
      <c r="K28" s="3"/>
      <c r="L28" s="3"/>
      <c r="M28" s="3"/>
      <c r="N28" s="3"/>
      <c r="O28" s="50"/>
      <c r="P28" s="3"/>
      <c r="Q28" s="3"/>
      <c r="R28" s="3"/>
      <c r="S28" s="3"/>
    </row>
    <row r="29" spans="3:19" ht="13.5" customHeight="1" x14ac:dyDescent="0.2">
      <c r="C29" s="208">
        <v>45463</v>
      </c>
      <c r="D29" s="19">
        <v>0.58680555555555558</v>
      </c>
      <c r="E29" s="3">
        <v>46</v>
      </c>
      <c r="F29" s="3">
        <v>10.76</v>
      </c>
      <c r="G29" s="3">
        <v>86.6</v>
      </c>
      <c r="H29" s="3">
        <v>6.1</v>
      </c>
      <c r="I29" s="3"/>
      <c r="J29" s="3"/>
      <c r="K29" s="3"/>
      <c r="L29" s="3"/>
      <c r="M29" s="3"/>
      <c r="N29" s="3"/>
      <c r="O29" s="50"/>
      <c r="P29" s="3"/>
      <c r="Q29" s="3"/>
      <c r="R29" s="3"/>
      <c r="S29" s="3"/>
    </row>
    <row r="30" spans="3:19" ht="13.5" customHeight="1" x14ac:dyDescent="0.2">
      <c r="C30" s="208">
        <v>45463</v>
      </c>
      <c r="D30" s="19">
        <v>0.58680555555555558</v>
      </c>
      <c r="E30" s="3">
        <v>48</v>
      </c>
      <c r="F30" s="3">
        <v>10.74</v>
      </c>
      <c r="G30" s="3">
        <v>86.5</v>
      </c>
      <c r="H30" s="3">
        <v>6.1</v>
      </c>
      <c r="I30" s="3"/>
      <c r="J30" s="3"/>
      <c r="K30" s="3"/>
      <c r="L30" s="3"/>
      <c r="M30" s="3"/>
      <c r="N30" s="3"/>
      <c r="O30" s="50"/>
      <c r="P30" s="3"/>
      <c r="Q30" s="3"/>
      <c r="R30" s="3"/>
      <c r="S30" s="3"/>
    </row>
    <row r="31" spans="3:19" ht="13.5" customHeight="1" x14ac:dyDescent="0.2">
      <c r="C31" s="208">
        <v>45463</v>
      </c>
      <c r="D31" s="19">
        <v>0.58680555555555558</v>
      </c>
      <c r="E31" s="3">
        <v>50</v>
      </c>
      <c r="F31" s="3">
        <v>10.72</v>
      </c>
      <c r="G31" s="3">
        <v>86.4</v>
      </c>
      <c r="H31" s="3">
        <v>6.1</v>
      </c>
      <c r="I31" s="3"/>
      <c r="J31" s="3"/>
      <c r="K31" s="3"/>
      <c r="L31" s="3"/>
      <c r="M31" s="3"/>
      <c r="N31" s="3"/>
      <c r="O31" s="50"/>
      <c r="P31" s="3"/>
      <c r="Q31" s="3"/>
      <c r="R31" s="3"/>
      <c r="S31" s="3"/>
    </row>
    <row r="32" spans="3:19" ht="13.5" customHeight="1" x14ac:dyDescent="0.2">
      <c r="C32" s="208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50"/>
      <c r="P32" s="3"/>
      <c r="Q32" s="3"/>
      <c r="R32" s="3"/>
      <c r="S32" s="3"/>
    </row>
    <row r="33" spans="3:19" ht="13.5" customHeight="1" x14ac:dyDescent="0.2">
      <c r="C33" s="208">
        <v>45496</v>
      </c>
      <c r="D33" s="19">
        <v>0.38541666666666669</v>
      </c>
      <c r="E33" s="3"/>
      <c r="F33" s="3"/>
      <c r="G33" s="3"/>
      <c r="H33" s="3"/>
      <c r="I33" s="3"/>
      <c r="J33" s="3">
        <v>8.5</v>
      </c>
      <c r="K33" s="3">
        <v>11</v>
      </c>
      <c r="L33" s="3"/>
      <c r="M33" s="3"/>
      <c r="N33" s="3"/>
      <c r="O33" s="50"/>
      <c r="P33" s="3"/>
      <c r="Q33" s="3"/>
      <c r="R33" s="3"/>
      <c r="S33" s="3"/>
    </row>
    <row r="34" spans="3:19" ht="13.5" customHeight="1" x14ac:dyDescent="0.2">
      <c r="C34" s="208">
        <v>45496</v>
      </c>
      <c r="D34" s="19">
        <v>0.3888888888888889</v>
      </c>
      <c r="E34" s="3">
        <v>0.1</v>
      </c>
      <c r="F34" s="3">
        <v>8.85</v>
      </c>
      <c r="G34" s="3">
        <v>106.5</v>
      </c>
      <c r="H34" s="3">
        <v>24.4</v>
      </c>
      <c r="I34" s="3"/>
      <c r="J34" s="3"/>
      <c r="K34" s="3"/>
      <c r="L34" s="3"/>
      <c r="M34" s="3"/>
      <c r="N34" s="3"/>
      <c r="O34" s="50"/>
      <c r="P34" s="3"/>
      <c r="Q34" s="3"/>
      <c r="R34" s="3"/>
      <c r="S34" s="3"/>
    </row>
    <row r="35" spans="3:19" ht="13.5" customHeight="1" x14ac:dyDescent="0.2">
      <c r="C35" s="208">
        <v>45496</v>
      </c>
      <c r="D35" s="19">
        <v>0.3888888888888889</v>
      </c>
      <c r="E35" s="3">
        <v>1</v>
      </c>
      <c r="F35" s="3">
        <v>8.76</v>
      </c>
      <c r="G35" s="3">
        <v>105.5</v>
      </c>
      <c r="H35" s="3">
        <v>24.7</v>
      </c>
      <c r="I35" s="3"/>
      <c r="J35" s="3"/>
      <c r="K35" s="3"/>
      <c r="L35" s="3"/>
      <c r="M35" s="3"/>
      <c r="N35" s="3"/>
      <c r="O35" s="50"/>
      <c r="P35" s="3"/>
      <c r="Q35" s="3"/>
      <c r="R35" s="3"/>
      <c r="S35" s="3"/>
    </row>
    <row r="36" spans="3:19" ht="13.5" customHeight="1" x14ac:dyDescent="0.2">
      <c r="C36" s="208">
        <v>45496</v>
      </c>
      <c r="D36" s="19">
        <v>0.3888888888888889</v>
      </c>
      <c r="E36" s="3">
        <v>2</v>
      </c>
      <c r="F36" s="3">
        <v>8.7200000000000006</v>
      </c>
      <c r="G36" s="3">
        <v>105</v>
      </c>
      <c r="H36" s="3">
        <v>24.7</v>
      </c>
      <c r="I36" s="3"/>
      <c r="J36" s="3"/>
      <c r="K36" s="3"/>
      <c r="L36" s="3"/>
      <c r="M36" s="3"/>
      <c r="N36" s="3"/>
      <c r="O36" s="50"/>
      <c r="P36" s="3"/>
      <c r="Q36" s="3"/>
      <c r="R36" s="3"/>
      <c r="S36" s="3"/>
    </row>
    <row r="37" spans="3:19" ht="13.5" customHeight="1" x14ac:dyDescent="0.2">
      <c r="C37" s="208">
        <v>45496</v>
      </c>
      <c r="D37" s="19">
        <v>0.3888888888888889</v>
      </c>
      <c r="E37" s="3">
        <v>3</v>
      </c>
      <c r="F37" s="3">
        <v>8.69</v>
      </c>
      <c r="G37" s="3">
        <v>104.6</v>
      </c>
      <c r="H37" s="3">
        <v>24.7</v>
      </c>
      <c r="I37" s="3"/>
      <c r="J37" s="3"/>
      <c r="K37" s="3"/>
      <c r="L37" s="3"/>
      <c r="M37" s="3"/>
      <c r="N37" s="3"/>
      <c r="O37" s="50"/>
      <c r="P37" s="3"/>
      <c r="Q37" s="3"/>
      <c r="R37" s="3"/>
      <c r="S37" s="3"/>
    </row>
    <row r="38" spans="3:19" ht="13.5" customHeight="1" x14ac:dyDescent="0.2">
      <c r="C38" s="208">
        <v>45496</v>
      </c>
      <c r="D38" s="19">
        <v>0.3888888888888889</v>
      </c>
      <c r="E38" s="3">
        <v>4</v>
      </c>
      <c r="F38" s="3">
        <v>8.66</v>
      </c>
      <c r="G38" s="3">
        <v>104.2</v>
      </c>
      <c r="H38" s="3">
        <v>24.7</v>
      </c>
      <c r="I38" s="3"/>
      <c r="J38" s="3"/>
      <c r="K38" s="3"/>
      <c r="L38" s="3"/>
      <c r="M38" s="3"/>
      <c r="N38" s="3"/>
      <c r="O38" s="50"/>
      <c r="P38" s="3"/>
      <c r="Q38" s="3"/>
      <c r="R38" s="3"/>
      <c r="S38" s="3"/>
    </row>
    <row r="39" spans="3:19" ht="13.5" customHeight="1" x14ac:dyDescent="0.2">
      <c r="C39" s="208">
        <v>45496</v>
      </c>
      <c r="D39" s="19">
        <v>0.3888888888888889</v>
      </c>
      <c r="E39" s="3">
        <v>5</v>
      </c>
      <c r="F39" s="3">
        <v>8.7799999999999994</v>
      </c>
      <c r="G39" s="3">
        <v>104</v>
      </c>
      <c r="H39" s="3">
        <v>24.3</v>
      </c>
      <c r="I39" s="3"/>
      <c r="J39" s="3"/>
      <c r="K39" s="3"/>
      <c r="L39" s="3"/>
      <c r="M39" s="3"/>
      <c r="N39" s="3"/>
      <c r="O39" s="50"/>
      <c r="P39" s="3"/>
      <c r="Q39" s="3"/>
      <c r="R39" s="3"/>
      <c r="S39" s="3"/>
    </row>
    <row r="40" spans="3:19" ht="13.5" customHeight="1" x14ac:dyDescent="0.2">
      <c r="C40" s="208">
        <v>45496</v>
      </c>
      <c r="D40" s="19">
        <v>0.3888888888888889</v>
      </c>
      <c r="E40" s="3">
        <v>6</v>
      </c>
      <c r="F40" s="3">
        <v>9.7100000000000009</v>
      </c>
      <c r="G40" s="3">
        <v>111.9</v>
      </c>
      <c r="H40" s="3">
        <v>22.2</v>
      </c>
      <c r="I40" s="3"/>
      <c r="J40" s="3"/>
      <c r="K40" s="3"/>
      <c r="L40" s="3"/>
      <c r="M40" s="3"/>
      <c r="N40" s="3"/>
      <c r="O40" s="50"/>
      <c r="P40" s="3"/>
      <c r="Q40" s="3"/>
      <c r="R40" s="3"/>
      <c r="S40" s="3"/>
    </row>
    <row r="41" spans="3:19" ht="13.5" customHeight="1" x14ac:dyDescent="0.2">
      <c r="C41" s="208">
        <v>45496</v>
      </c>
      <c r="D41" s="19">
        <v>0.3888888888888889</v>
      </c>
      <c r="E41" s="3">
        <v>7</v>
      </c>
      <c r="F41" s="3">
        <v>10.44</v>
      </c>
      <c r="G41" s="3">
        <v>113.3</v>
      </c>
      <c r="H41" s="3">
        <v>19.399999999999999</v>
      </c>
      <c r="I41" s="3"/>
      <c r="J41" s="3"/>
      <c r="K41" s="3"/>
      <c r="L41" s="3"/>
      <c r="M41" s="3"/>
      <c r="N41" s="3"/>
      <c r="O41" s="50"/>
      <c r="P41" s="3"/>
      <c r="Q41" s="3"/>
      <c r="R41" s="3"/>
      <c r="S41" s="3"/>
    </row>
    <row r="42" spans="3:19" ht="13.5" customHeight="1" x14ac:dyDescent="0.2">
      <c r="C42" s="208">
        <v>45496</v>
      </c>
      <c r="D42" s="19">
        <v>0.3888888888888889</v>
      </c>
      <c r="E42" s="3">
        <v>8</v>
      </c>
      <c r="F42" s="3">
        <v>10.66</v>
      </c>
      <c r="G42" s="3">
        <v>112.8</v>
      </c>
      <c r="H42" s="3">
        <v>18.2</v>
      </c>
      <c r="I42" s="3"/>
      <c r="J42" s="3"/>
      <c r="K42" s="3"/>
      <c r="L42" s="3"/>
      <c r="M42" s="3"/>
      <c r="N42" s="3"/>
      <c r="O42" s="50"/>
      <c r="P42" s="3"/>
      <c r="Q42" s="3"/>
      <c r="R42" s="3"/>
      <c r="S42" s="3"/>
    </row>
    <row r="43" spans="3:19" ht="13.5" customHeight="1" x14ac:dyDescent="0.2">
      <c r="C43" s="208">
        <v>45496</v>
      </c>
      <c r="D43" s="19">
        <v>0.3888888888888889</v>
      </c>
      <c r="E43" s="3">
        <v>9</v>
      </c>
      <c r="F43" s="3">
        <v>10.77</v>
      </c>
      <c r="G43" s="3">
        <v>111.5</v>
      </c>
      <c r="H43" s="3">
        <v>17.100000000000001</v>
      </c>
      <c r="I43" s="3"/>
      <c r="J43" s="3"/>
      <c r="K43" s="3"/>
      <c r="L43" s="3"/>
      <c r="M43" s="3"/>
      <c r="N43" s="3"/>
      <c r="O43" s="50"/>
      <c r="P43" s="3"/>
      <c r="Q43" s="3"/>
      <c r="R43" s="3"/>
      <c r="S43" s="3"/>
    </row>
    <row r="44" spans="3:19" ht="13.5" customHeight="1" x14ac:dyDescent="0.2">
      <c r="C44" s="208">
        <v>45496</v>
      </c>
      <c r="D44" s="19">
        <v>0.3888888888888889</v>
      </c>
      <c r="E44" s="3">
        <v>10</v>
      </c>
      <c r="F44" s="3">
        <v>10.4</v>
      </c>
      <c r="G44" s="3">
        <v>111.1</v>
      </c>
      <c r="H44" s="3">
        <v>16.399999999999999</v>
      </c>
      <c r="I44" s="3"/>
      <c r="J44" s="3"/>
      <c r="K44" s="3"/>
      <c r="L44" s="3"/>
      <c r="M44" s="3"/>
      <c r="N44" s="3"/>
      <c r="O44" s="50"/>
      <c r="P44" s="3"/>
      <c r="Q44" s="3"/>
      <c r="R44" s="3"/>
      <c r="S44" s="3"/>
    </row>
    <row r="45" spans="3:19" ht="13.5" customHeight="1" x14ac:dyDescent="0.2">
      <c r="C45" s="208">
        <v>45496</v>
      </c>
      <c r="D45" s="19">
        <v>0.3888888888888889</v>
      </c>
      <c r="E45" s="3">
        <v>15</v>
      </c>
      <c r="F45" s="3">
        <v>10.9</v>
      </c>
      <c r="G45" s="3">
        <v>99</v>
      </c>
      <c r="H45" s="3">
        <v>10.5</v>
      </c>
      <c r="I45" s="3"/>
      <c r="J45" s="3"/>
      <c r="K45" s="3"/>
      <c r="L45" s="3"/>
      <c r="M45" s="3"/>
      <c r="N45" s="3"/>
      <c r="O45" s="50"/>
      <c r="P45" s="3"/>
      <c r="Q45" s="3"/>
      <c r="R45" s="3"/>
      <c r="S45" s="3"/>
    </row>
    <row r="46" spans="3:19" ht="13.5" customHeight="1" x14ac:dyDescent="0.2">
      <c r="C46" s="208">
        <v>45496</v>
      </c>
      <c r="D46" s="19">
        <v>0.3888888888888889</v>
      </c>
      <c r="E46" s="3">
        <v>20</v>
      </c>
      <c r="F46" s="3">
        <v>10.88</v>
      </c>
      <c r="G46" s="3">
        <v>91.7</v>
      </c>
      <c r="H46" s="3">
        <v>7.9</v>
      </c>
      <c r="I46" s="3"/>
      <c r="J46" s="3"/>
      <c r="K46" s="3"/>
      <c r="L46" s="3"/>
      <c r="M46" s="3"/>
      <c r="N46" s="3"/>
      <c r="O46" s="50"/>
      <c r="P46" s="3"/>
      <c r="Q46" s="3"/>
      <c r="R46" s="3"/>
      <c r="S46" s="3"/>
    </row>
    <row r="47" spans="3:19" ht="13.5" customHeight="1" x14ac:dyDescent="0.2">
      <c r="C47" s="208">
        <v>45496</v>
      </c>
      <c r="D47" s="19">
        <v>0.3888888888888889</v>
      </c>
      <c r="E47" s="3">
        <v>25</v>
      </c>
      <c r="F47" s="3">
        <v>10.61</v>
      </c>
      <c r="G47" s="3">
        <v>87.7</v>
      </c>
      <c r="H47" s="3">
        <v>7.2</v>
      </c>
      <c r="I47" s="3"/>
      <c r="J47" s="3"/>
      <c r="K47" s="3"/>
      <c r="L47" s="3"/>
      <c r="M47" s="3"/>
      <c r="N47" s="3"/>
      <c r="O47" s="50"/>
      <c r="P47" s="3"/>
      <c r="Q47" s="3"/>
      <c r="R47" s="3"/>
      <c r="S47" s="3"/>
    </row>
    <row r="48" spans="3:19" ht="13.5" customHeight="1" x14ac:dyDescent="0.2">
      <c r="C48" s="208">
        <v>45496</v>
      </c>
      <c r="D48" s="19">
        <v>0.3888888888888889</v>
      </c>
      <c r="E48" s="3">
        <v>30</v>
      </c>
      <c r="F48" s="3">
        <v>10.52</v>
      </c>
      <c r="G48" s="3">
        <v>85.8</v>
      </c>
      <c r="H48" s="3">
        <v>6.6</v>
      </c>
      <c r="I48" s="3"/>
      <c r="J48" s="3"/>
      <c r="K48" s="3"/>
      <c r="L48" s="3"/>
      <c r="M48" s="3"/>
      <c r="N48" s="3"/>
      <c r="O48" s="50"/>
      <c r="P48" s="3"/>
      <c r="Q48" s="3"/>
      <c r="R48" s="3"/>
      <c r="S48" s="3"/>
    </row>
    <row r="49" spans="3:19" ht="13.5" customHeight="1" x14ac:dyDescent="0.2">
      <c r="C49" s="208">
        <v>45496</v>
      </c>
      <c r="D49" s="19">
        <v>0.3888888888888889</v>
      </c>
      <c r="E49" s="3">
        <v>35</v>
      </c>
      <c r="F49" s="3">
        <v>10.45</v>
      </c>
      <c r="G49" s="3">
        <v>84.4</v>
      </c>
      <c r="H49" s="3">
        <v>6.3</v>
      </c>
      <c r="I49" s="3"/>
      <c r="J49" s="3"/>
      <c r="K49" s="3"/>
      <c r="L49" s="3"/>
      <c r="M49" s="3"/>
      <c r="N49" s="3"/>
      <c r="O49" s="50"/>
      <c r="P49" s="3"/>
      <c r="Q49" s="3"/>
      <c r="R49" s="3"/>
      <c r="S49" s="3"/>
    </row>
    <row r="50" spans="3:19" ht="13.5" customHeight="1" x14ac:dyDescent="0.2">
      <c r="C50" s="208"/>
      <c r="D50" s="19"/>
      <c r="E50" s="3"/>
      <c r="F50" s="3"/>
      <c r="G50" s="3"/>
      <c r="H50" s="3"/>
      <c r="I50" s="3"/>
      <c r="J50" s="3"/>
      <c r="K50" s="3"/>
      <c r="L50" s="3"/>
      <c r="M50" s="3"/>
      <c r="N50" s="3"/>
      <c r="O50" s="50"/>
      <c r="P50" s="3"/>
      <c r="Q50" s="3"/>
      <c r="R50" s="3"/>
      <c r="S50" s="3"/>
    </row>
    <row r="51" spans="3:19" ht="13.5" customHeight="1" x14ac:dyDescent="0.2">
      <c r="C51" s="208">
        <v>45524</v>
      </c>
      <c r="D51" s="19">
        <v>0.42708333333333331</v>
      </c>
      <c r="E51" s="3"/>
      <c r="F51" s="3"/>
      <c r="G51" s="3"/>
      <c r="H51" s="3"/>
      <c r="I51" s="3"/>
      <c r="J51" s="3">
        <v>9.5</v>
      </c>
      <c r="K51" s="3">
        <v>11.5</v>
      </c>
      <c r="L51" s="3"/>
      <c r="M51" s="3"/>
      <c r="N51" s="3"/>
      <c r="O51" s="50"/>
      <c r="P51" s="3"/>
      <c r="Q51" s="3"/>
      <c r="R51" s="3"/>
      <c r="S51" s="3"/>
    </row>
    <row r="52" spans="3:19" ht="13.5" customHeight="1" x14ac:dyDescent="0.2">
      <c r="C52" s="208">
        <v>45524</v>
      </c>
      <c r="D52" s="19">
        <v>0.43055555555555558</v>
      </c>
      <c r="E52" s="3">
        <v>0.1</v>
      </c>
      <c r="F52" s="3">
        <v>9.0299999999999994</v>
      </c>
      <c r="G52" s="3">
        <v>103.1</v>
      </c>
      <c r="H52" s="3">
        <v>21.9</v>
      </c>
      <c r="I52" s="3"/>
      <c r="J52" s="3"/>
      <c r="K52" s="3"/>
      <c r="L52" s="3"/>
      <c r="M52" s="3"/>
      <c r="N52" s="3"/>
      <c r="O52" s="50"/>
      <c r="P52" s="3"/>
      <c r="Q52" s="3"/>
      <c r="R52" s="3"/>
      <c r="S52" s="3"/>
    </row>
    <row r="53" spans="3:19" ht="13.5" customHeight="1" x14ac:dyDescent="0.2">
      <c r="C53" s="208">
        <v>45524</v>
      </c>
      <c r="D53" s="19">
        <v>0.43055555555555558</v>
      </c>
      <c r="E53" s="3">
        <v>1</v>
      </c>
      <c r="F53" s="3">
        <v>9.02</v>
      </c>
      <c r="G53" s="3">
        <v>102.9</v>
      </c>
      <c r="H53" s="3">
        <v>21.9</v>
      </c>
      <c r="I53" s="3"/>
      <c r="J53" s="3"/>
      <c r="K53" s="3"/>
      <c r="L53" s="3"/>
      <c r="M53" s="3"/>
      <c r="N53" s="3"/>
      <c r="O53" s="50"/>
      <c r="P53" s="3"/>
      <c r="Q53" s="3"/>
      <c r="R53" s="3"/>
      <c r="S53" s="3"/>
    </row>
    <row r="54" spans="3:19" ht="13.5" customHeight="1" x14ac:dyDescent="0.2">
      <c r="C54" s="208">
        <v>45524</v>
      </c>
      <c r="D54" s="19">
        <v>0.43055555555555558</v>
      </c>
      <c r="E54" s="3">
        <v>2</v>
      </c>
      <c r="F54" s="3">
        <v>9</v>
      </c>
      <c r="G54" s="3">
        <v>102.7</v>
      </c>
      <c r="H54" s="3">
        <v>21.9</v>
      </c>
      <c r="I54" s="3"/>
      <c r="J54" s="3"/>
      <c r="K54" s="3"/>
      <c r="L54" s="3"/>
      <c r="M54" s="3"/>
      <c r="N54" s="3"/>
      <c r="O54" s="50"/>
      <c r="P54" s="3"/>
      <c r="Q54" s="3"/>
      <c r="R54" s="3"/>
      <c r="S54" s="3"/>
    </row>
    <row r="55" spans="3:19" ht="13.5" customHeight="1" x14ac:dyDescent="0.2">
      <c r="C55" s="208">
        <v>45524</v>
      </c>
      <c r="D55" s="19">
        <v>0.43055555555555558</v>
      </c>
      <c r="E55" s="3">
        <v>3</v>
      </c>
      <c r="F55" s="3">
        <v>8.99</v>
      </c>
      <c r="G55" s="3">
        <v>102.6</v>
      </c>
      <c r="H55" s="3">
        <v>21.9</v>
      </c>
      <c r="I55" s="3"/>
      <c r="J55" s="3"/>
      <c r="K55" s="3"/>
      <c r="L55" s="3"/>
      <c r="M55" s="3"/>
      <c r="N55" s="3"/>
      <c r="O55" s="50"/>
      <c r="P55" s="3"/>
      <c r="Q55" s="3"/>
      <c r="R55" s="3"/>
      <c r="S55" s="3"/>
    </row>
    <row r="56" spans="3:19" ht="13.5" customHeight="1" x14ac:dyDescent="0.2">
      <c r="C56" s="208">
        <v>45524</v>
      </c>
      <c r="D56" s="19">
        <v>0.43055555555555558</v>
      </c>
      <c r="E56" s="3">
        <v>4</v>
      </c>
      <c r="F56" s="3">
        <v>8.99</v>
      </c>
      <c r="G56" s="3">
        <v>102.4</v>
      </c>
      <c r="H56" s="3">
        <v>21.8</v>
      </c>
      <c r="I56" s="3"/>
      <c r="J56" s="3"/>
      <c r="K56" s="3"/>
      <c r="L56" s="3"/>
      <c r="M56" s="3"/>
      <c r="N56" s="3"/>
      <c r="O56" s="50"/>
      <c r="P56" s="3"/>
      <c r="Q56" s="3"/>
      <c r="R56" s="3"/>
      <c r="S56" s="3"/>
    </row>
    <row r="57" spans="3:19" ht="13.5" customHeight="1" x14ac:dyDescent="0.2">
      <c r="C57" s="208">
        <v>45524</v>
      </c>
      <c r="D57" s="19">
        <v>0.43055555555555558</v>
      </c>
      <c r="E57" s="3">
        <v>5</v>
      </c>
      <c r="F57" s="3">
        <v>8.9700000000000006</v>
      </c>
      <c r="G57" s="3">
        <v>102.2</v>
      </c>
      <c r="H57" s="3">
        <v>21.8</v>
      </c>
      <c r="I57" s="3"/>
      <c r="J57" s="3"/>
      <c r="K57" s="3"/>
      <c r="L57" s="3"/>
      <c r="M57" s="3"/>
      <c r="N57" s="3"/>
      <c r="O57" s="50"/>
      <c r="P57" s="3"/>
      <c r="Q57" s="3"/>
      <c r="R57" s="3"/>
      <c r="S57" s="3"/>
    </row>
    <row r="58" spans="3:19" ht="13.5" customHeight="1" x14ac:dyDescent="0.2">
      <c r="C58" s="208">
        <v>45524</v>
      </c>
      <c r="D58" s="19">
        <v>0.43055555555555558</v>
      </c>
      <c r="E58" s="3">
        <v>6</v>
      </c>
      <c r="F58" s="3">
        <v>8.9600000000000009</v>
      </c>
      <c r="G58" s="3">
        <v>102</v>
      </c>
      <c r="H58" s="3">
        <v>21.8</v>
      </c>
      <c r="I58" s="3"/>
      <c r="J58" s="3"/>
      <c r="K58" s="3"/>
      <c r="L58" s="3"/>
      <c r="M58" s="3"/>
      <c r="N58" s="3"/>
      <c r="O58" s="50"/>
      <c r="P58" s="3"/>
      <c r="Q58" s="3"/>
      <c r="R58" s="3"/>
      <c r="S58" s="3"/>
    </row>
    <row r="59" spans="3:19" ht="13.5" customHeight="1" x14ac:dyDescent="0.2">
      <c r="C59" s="208">
        <v>45524</v>
      </c>
      <c r="D59" s="19">
        <v>0.43055555555555558</v>
      </c>
      <c r="E59" s="3">
        <v>7</v>
      </c>
      <c r="F59" s="3">
        <v>8.94</v>
      </c>
      <c r="G59" s="3">
        <v>101.9</v>
      </c>
      <c r="H59" s="3">
        <v>21.8</v>
      </c>
      <c r="I59" s="3"/>
      <c r="J59" s="3"/>
      <c r="K59" s="3"/>
      <c r="L59" s="3"/>
      <c r="M59" s="3"/>
      <c r="N59" s="3"/>
      <c r="O59" s="50"/>
      <c r="P59" s="3"/>
      <c r="Q59" s="3"/>
      <c r="R59" s="3"/>
      <c r="S59" s="3"/>
    </row>
    <row r="60" spans="3:19" ht="13.5" customHeight="1" x14ac:dyDescent="0.2">
      <c r="C60" s="208">
        <v>45524</v>
      </c>
      <c r="D60" s="19">
        <v>0.43055555555555558</v>
      </c>
      <c r="E60" s="3">
        <v>8</v>
      </c>
      <c r="F60" s="3">
        <v>8.93</v>
      </c>
      <c r="G60" s="3">
        <v>101.7</v>
      </c>
      <c r="H60" s="3">
        <v>21.8</v>
      </c>
      <c r="I60" s="3"/>
      <c r="J60" s="3"/>
      <c r="K60" s="3"/>
      <c r="L60" s="3"/>
      <c r="M60" s="3"/>
      <c r="N60" s="3"/>
      <c r="O60" s="50"/>
      <c r="P60" s="3"/>
      <c r="Q60" s="3"/>
      <c r="R60" s="3"/>
      <c r="S60" s="3"/>
    </row>
    <row r="61" spans="3:19" ht="13.5" customHeight="1" x14ac:dyDescent="0.2">
      <c r="C61" s="208">
        <v>45524</v>
      </c>
      <c r="D61" s="19">
        <v>0.43055555555555558</v>
      </c>
      <c r="E61" s="3">
        <v>9</v>
      </c>
      <c r="F61" s="3">
        <v>8.91</v>
      </c>
      <c r="G61" s="3">
        <v>101.5</v>
      </c>
      <c r="H61" s="3">
        <v>21.8</v>
      </c>
      <c r="I61" s="3"/>
      <c r="J61" s="3"/>
      <c r="K61" s="3"/>
      <c r="L61" s="3"/>
      <c r="M61" s="3"/>
      <c r="N61" s="3"/>
      <c r="O61" s="50"/>
      <c r="P61" s="3"/>
      <c r="Q61" s="3"/>
      <c r="R61" s="3"/>
      <c r="S61" s="3"/>
    </row>
    <row r="62" spans="3:19" ht="13.5" customHeight="1" x14ac:dyDescent="0.2">
      <c r="C62" s="208">
        <v>45524</v>
      </c>
      <c r="D62" s="19">
        <v>0.43055555555555558</v>
      </c>
      <c r="E62" s="3">
        <v>10</v>
      </c>
      <c r="F62" s="3">
        <v>8.9</v>
      </c>
      <c r="G62" s="3">
        <v>101.3</v>
      </c>
      <c r="H62" s="3">
        <v>21.7</v>
      </c>
      <c r="I62" s="3"/>
      <c r="J62" s="3"/>
      <c r="K62" s="3"/>
      <c r="L62" s="3"/>
      <c r="M62" s="3"/>
      <c r="N62" s="3"/>
      <c r="O62" s="50"/>
      <c r="P62" s="3"/>
      <c r="Q62" s="3"/>
      <c r="R62" s="3"/>
      <c r="S62" s="3"/>
    </row>
    <row r="63" spans="3:19" ht="13.5" customHeight="1" x14ac:dyDescent="0.2">
      <c r="C63" s="208">
        <v>45524</v>
      </c>
      <c r="D63" s="19">
        <v>0.43055555555555558</v>
      </c>
      <c r="E63" s="3">
        <v>11</v>
      </c>
      <c r="F63" s="3">
        <v>10.4</v>
      </c>
      <c r="G63" s="3">
        <v>109.7</v>
      </c>
      <c r="H63" s="3">
        <v>17.600000000000001</v>
      </c>
      <c r="I63" s="3"/>
      <c r="J63" s="3"/>
      <c r="K63" s="3"/>
      <c r="L63" s="3"/>
      <c r="M63" s="3"/>
      <c r="N63" s="3"/>
      <c r="O63" s="50"/>
      <c r="P63" s="3"/>
      <c r="Q63" s="3"/>
      <c r="R63" s="3"/>
      <c r="S63" s="3"/>
    </row>
    <row r="64" spans="3:19" ht="13.5" customHeight="1" x14ac:dyDescent="0.2">
      <c r="C64" s="208">
        <v>45524</v>
      </c>
      <c r="D64" s="19">
        <v>0.43055555555555558</v>
      </c>
      <c r="E64" s="3">
        <v>12</v>
      </c>
      <c r="F64" s="3">
        <v>11.49</v>
      </c>
      <c r="G64" s="3">
        <v>111.9</v>
      </c>
      <c r="H64" s="3">
        <v>14.2</v>
      </c>
      <c r="I64" s="3"/>
      <c r="J64" s="3"/>
      <c r="K64" s="3"/>
      <c r="L64" s="3"/>
      <c r="M64" s="3"/>
      <c r="N64" s="3"/>
      <c r="O64" s="50"/>
      <c r="P64" s="3"/>
      <c r="Q64" s="3"/>
      <c r="R64" s="3"/>
      <c r="S64" s="3"/>
    </row>
    <row r="65" spans="3:19" ht="13.5" customHeight="1" x14ac:dyDescent="0.2">
      <c r="C65" s="208">
        <v>45524</v>
      </c>
      <c r="D65" s="19">
        <v>0.43055555555555558</v>
      </c>
      <c r="E65" s="3">
        <v>13</v>
      </c>
      <c r="F65" s="3">
        <v>11.4</v>
      </c>
      <c r="G65" s="3">
        <v>104.3</v>
      </c>
      <c r="H65" s="3">
        <v>13.5</v>
      </c>
      <c r="I65" s="3"/>
      <c r="J65" s="3"/>
      <c r="K65" s="3"/>
      <c r="L65" s="3"/>
      <c r="M65" s="3"/>
      <c r="N65" s="3"/>
      <c r="O65" s="50"/>
      <c r="P65" s="3"/>
      <c r="Q65" s="3"/>
      <c r="R65" s="3"/>
      <c r="S65" s="3"/>
    </row>
    <row r="66" spans="3:19" ht="13.5" customHeight="1" x14ac:dyDescent="0.2">
      <c r="C66" s="208">
        <v>45524</v>
      </c>
      <c r="D66" s="19">
        <v>0.43055555555555558</v>
      </c>
      <c r="E66" s="3">
        <v>14</v>
      </c>
      <c r="F66" s="3">
        <v>10.86</v>
      </c>
      <c r="G66" s="3">
        <v>99.6</v>
      </c>
      <c r="H66" s="3">
        <v>11.7</v>
      </c>
      <c r="I66" s="3"/>
      <c r="J66" s="3"/>
      <c r="K66" s="3"/>
      <c r="L66" s="3"/>
      <c r="M66" s="3"/>
      <c r="N66" s="3"/>
      <c r="O66" s="50"/>
      <c r="P66" s="3"/>
      <c r="Q66" s="3"/>
      <c r="R66" s="3"/>
      <c r="S66" s="3"/>
    </row>
    <row r="67" spans="3:19" ht="13.5" customHeight="1" x14ac:dyDescent="0.2">
      <c r="C67" s="208">
        <v>45524</v>
      </c>
      <c r="D67" s="19">
        <v>0.43055555555555558</v>
      </c>
      <c r="E67" s="3">
        <v>15</v>
      </c>
      <c r="F67" s="3">
        <v>10.87</v>
      </c>
      <c r="G67" s="3">
        <v>98.1</v>
      </c>
      <c r="H67" s="3">
        <v>10.8</v>
      </c>
      <c r="I67" s="3"/>
      <c r="J67" s="3"/>
      <c r="K67" s="3"/>
      <c r="L67" s="3"/>
      <c r="M67" s="3"/>
      <c r="N67" s="3"/>
      <c r="O67" s="50"/>
      <c r="P67" s="3"/>
      <c r="Q67" s="3"/>
      <c r="R67" s="3"/>
      <c r="S67" s="3"/>
    </row>
    <row r="68" spans="3:19" ht="13.5" customHeight="1" x14ac:dyDescent="0.2">
      <c r="C68" s="208">
        <v>45524</v>
      </c>
      <c r="D68" s="19">
        <v>0.43055555555555558</v>
      </c>
      <c r="E68" s="3">
        <v>20</v>
      </c>
      <c r="F68" s="3">
        <v>10.85</v>
      </c>
      <c r="G68" s="3">
        <v>91.8</v>
      </c>
      <c r="H68" s="3">
        <v>8.1999999999999993</v>
      </c>
      <c r="I68" s="3"/>
      <c r="J68" s="3"/>
      <c r="K68" s="3"/>
      <c r="L68" s="3"/>
      <c r="M68" s="3"/>
      <c r="N68" s="3"/>
      <c r="O68" s="50"/>
      <c r="P68" s="3"/>
      <c r="Q68" s="3"/>
      <c r="R68" s="3"/>
      <c r="S68" s="3"/>
    </row>
    <row r="69" spans="3:19" ht="13.5" customHeight="1" x14ac:dyDescent="0.2">
      <c r="C69" s="208">
        <v>45524</v>
      </c>
      <c r="D69" s="19">
        <v>0.43055555555555558</v>
      </c>
      <c r="E69" s="3">
        <v>25</v>
      </c>
      <c r="F69" s="3">
        <v>10.38</v>
      </c>
      <c r="G69" s="3">
        <v>85.5</v>
      </c>
      <c r="H69" s="3">
        <v>7</v>
      </c>
      <c r="I69" s="3"/>
      <c r="J69" s="3"/>
      <c r="K69" s="3"/>
      <c r="L69" s="3"/>
      <c r="M69" s="3"/>
      <c r="N69" s="3"/>
      <c r="O69" s="50"/>
      <c r="P69" s="3"/>
      <c r="Q69" s="3"/>
      <c r="R69" s="3"/>
      <c r="S69" s="3"/>
    </row>
    <row r="70" spans="3:19" ht="13.5" customHeight="1" x14ac:dyDescent="0.2">
      <c r="C70" s="208">
        <v>45524</v>
      </c>
      <c r="D70" s="19">
        <v>0.43055555555555558</v>
      </c>
      <c r="E70" s="3">
        <v>30</v>
      </c>
      <c r="F70" s="3">
        <v>10.23</v>
      </c>
      <c r="G70" s="3">
        <v>83.4</v>
      </c>
      <c r="H70" s="3">
        <v>6.6</v>
      </c>
      <c r="I70" s="3"/>
      <c r="J70" s="3"/>
      <c r="K70" s="3"/>
      <c r="L70" s="3"/>
      <c r="M70" s="3"/>
      <c r="N70" s="3"/>
      <c r="O70" s="50"/>
      <c r="P70" s="3"/>
      <c r="Q70" s="3"/>
      <c r="R70" s="3"/>
      <c r="S70" s="3"/>
    </row>
    <row r="71" spans="3:19" ht="13.5" customHeight="1" x14ac:dyDescent="0.2">
      <c r="C71" s="208">
        <v>45524</v>
      </c>
      <c r="D71" s="19">
        <v>0.43055555555555558</v>
      </c>
      <c r="E71" s="3">
        <v>35</v>
      </c>
      <c r="F71" s="3">
        <v>10.16</v>
      </c>
      <c r="G71" s="3">
        <v>82.4</v>
      </c>
      <c r="H71" s="3">
        <v>6.4</v>
      </c>
      <c r="I71" s="3"/>
      <c r="J71" s="3"/>
      <c r="K71" s="3"/>
      <c r="L71" s="3"/>
      <c r="M71" s="3"/>
      <c r="N71" s="3"/>
      <c r="O71" s="50"/>
      <c r="P71" s="3"/>
      <c r="Q71" s="3"/>
      <c r="R71" s="3"/>
      <c r="S71" s="3"/>
    </row>
    <row r="72" spans="3:19" ht="13.5" customHeight="1" x14ac:dyDescent="0.2">
      <c r="C72" s="208">
        <v>45524</v>
      </c>
      <c r="D72" s="19">
        <v>0.43055555555555558</v>
      </c>
      <c r="E72" s="3">
        <v>40</v>
      </c>
      <c r="F72" s="3">
        <v>10.039999999999999</v>
      </c>
      <c r="G72" s="3">
        <v>81.099999999999994</v>
      </c>
      <c r="H72" s="3">
        <v>6.2</v>
      </c>
      <c r="I72" s="3"/>
      <c r="J72" s="3"/>
      <c r="K72" s="3"/>
      <c r="L72" s="3"/>
      <c r="M72" s="3"/>
      <c r="N72" s="3"/>
      <c r="O72" s="50"/>
      <c r="P72" s="3"/>
      <c r="Q72" s="3"/>
      <c r="R72" s="3"/>
      <c r="S72" s="3"/>
    </row>
    <row r="73" spans="3:19" ht="13.5" customHeight="1" x14ac:dyDescent="0.2">
      <c r="C73" s="208"/>
      <c r="D73" s="19"/>
      <c r="E73" s="3"/>
      <c r="F73" s="3"/>
      <c r="G73" s="3"/>
      <c r="H73" s="3"/>
      <c r="I73" s="3"/>
      <c r="J73" s="3"/>
      <c r="K73" s="3"/>
      <c r="L73" s="3"/>
      <c r="M73" s="3"/>
      <c r="N73" s="3"/>
      <c r="O73" s="50"/>
      <c r="P73" s="3"/>
      <c r="Q73" s="3"/>
      <c r="R73" s="3"/>
      <c r="S73" s="3"/>
    </row>
    <row r="74" spans="3:19" ht="13.5" customHeight="1" x14ac:dyDescent="0.2">
      <c r="C74" s="208">
        <v>45566</v>
      </c>
      <c r="D74" s="19">
        <v>0.55555555555555558</v>
      </c>
      <c r="E74" s="3"/>
      <c r="F74" s="3"/>
      <c r="G74" s="3"/>
      <c r="H74" s="3"/>
      <c r="I74" s="3"/>
      <c r="J74" s="3">
        <v>8</v>
      </c>
      <c r="K74" s="3">
        <v>10.5</v>
      </c>
      <c r="L74" s="3"/>
      <c r="M74" s="3"/>
      <c r="N74" s="3"/>
      <c r="O74" s="50"/>
      <c r="P74" s="3"/>
      <c r="Q74" s="3"/>
      <c r="R74" s="3"/>
      <c r="S74" s="3"/>
    </row>
    <row r="75" spans="3:19" ht="13.5" customHeight="1" x14ac:dyDescent="0.2">
      <c r="C75" s="208">
        <v>45566</v>
      </c>
      <c r="D75" s="19">
        <v>0.5625</v>
      </c>
      <c r="E75" s="3">
        <v>0.1</v>
      </c>
      <c r="F75" s="3">
        <v>9.6999999999999993</v>
      </c>
      <c r="G75" s="3">
        <v>100.8</v>
      </c>
      <c r="H75" s="3">
        <v>17.2</v>
      </c>
      <c r="I75" s="3"/>
      <c r="J75" s="3"/>
      <c r="K75" s="3"/>
      <c r="L75" s="3"/>
      <c r="M75" s="3"/>
      <c r="N75" s="3"/>
      <c r="O75" s="50"/>
      <c r="P75" s="3"/>
      <c r="Q75" s="3"/>
      <c r="R75" s="3"/>
      <c r="S75" s="3"/>
    </row>
    <row r="76" spans="3:19" ht="13.5" customHeight="1" x14ac:dyDescent="0.2">
      <c r="C76" s="208">
        <v>45566</v>
      </c>
      <c r="D76" s="19">
        <v>0.5625</v>
      </c>
      <c r="E76" s="3">
        <v>1</v>
      </c>
      <c r="F76" s="3">
        <v>9.67</v>
      </c>
      <c r="G76" s="3">
        <v>100.6</v>
      </c>
      <c r="H76" s="3">
        <v>17.3</v>
      </c>
      <c r="I76" s="3"/>
      <c r="J76" s="3"/>
      <c r="K76" s="3"/>
      <c r="L76" s="3"/>
      <c r="M76" s="3"/>
      <c r="N76" s="3"/>
      <c r="O76" s="50"/>
      <c r="P76" s="3"/>
      <c r="Q76" s="3"/>
      <c r="R76" s="3"/>
      <c r="S76" s="3"/>
    </row>
    <row r="77" spans="3:19" ht="13.5" customHeight="1" x14ac:dyDescent="0.2">
      <c r="C77" s="208">
        <v>45566</v>
      </c>
      <c r="D77" s="19">
        <v>0.5625</v>
      </c>
      <c r="E77" s="3">
        <v>2</v>
      </c>
      <c r="F77" s="3">
        <v>9.66</v>
      </c>
      <c r="G77" s="3">
        <v>100.5</v>
      </c>
      <c r="H77" s="3">
        <v>17.3</v>
      </c>
      <c r="I77" s="3"/>
      <c r="J77" s="3"/>
      <c r="K77" s="3"/>
      <c r="L77" s="3"/>
      <c r="M77" s="3"/>
      <c r="N77" s="3"/>
      <c r="O77" s="50"/>
      <c r="P77" s="3"/>
      <c r="Q77" s="3"/>
      <c r="R77" s="3"/>
      <c r="S77" s="3"/>
    </row>
    <row r="78" spans="3:19" ht="13.5" customHeight="1" x14ac:dyDescent="0.2">
      <c r="C78" s="208">
        <v>45566</v>
      </c>
      <c r="D78" s="19">
        <v>0.5625</v>
      </c>
      <c r="E78" s="3">
        <v>3</v>
      </c>
      <c r="F78" s="3">
        <v>9.64</v>
      </c>
      <c r="G78" s="3">
        <v>100.3</v>
      </c>
      <c r="H78" s="3">
        <v>17.3</v>
      </c>
      <c r="I78" s="3"/>
      <c r="J78" s="3"/>
      <c r="K78" s="3"/>
      <c r="L78" s="3"/>
      <c r="M78" s="3"/>
      <c r="N78" s="3"/>
      <c r="O78" s="50"/>
      <c r="P78" s="3"/>
      <c r="Q78" s="3"/>
      <c r="R78" s="3"/>
      <c r="S78" s="3"/>
    </row>
    <row r="79" spans="3:19" ht="13.5" customHeight="1" x14ac:dyDescent="0.2">
      <c r="C79" s="208">
        <v>45566</v>
      </c>
      <c r="D79" s="19">
        <v>0.5625</v>
      </c>
      <c r="E79" s="3">
        <v>4</v>
      </c>
      <c r="F79" s="3">
        <v>9.6199999999999992</v>
      </c>
      <c r="G79" s="3">
        <v>100.1</v>
      </c>
      <c r="H79" s="3">
        <v>17.3</v>
      </c>
      <c r="I79" s="3"/>
      <c r="J79" s="3"/>
      <c r="K79" s="3"/>
      <c r="L79" s="3"/>
      <c r="M79" s="3"/>
      <c r="N79" s="3"/>
      <c r="O79" s="50"/>
      <c r="P79" s="3"/>
      <c r="Q79" s="3"/>
      <c r="R79" s="3"/>
      <c r="S79" s="3"/>
    </row>
    <row r="80" spans="3:19" ht="13.5" customHeight="1" x14ac:dyDescent="0.2">
      <c r="C80" s="208">
        <v>45566</v>
      </c>
      <c r="D80" s="19">
        <v>0.5625</v>
      </c>
      <c r="E80" s="3">
        <v>5</v>
      </c>
      <c r="F80" s="3">
        <v>9.6</v>
      </c>
      <c r="G80" s="3">
        <v>99.7</v>
      </c>
      <c r="H80" s="3">
        <v>17.2</v>
      </c>
      <c r="I80" s="3"/>
      <c r="J80" s="3"/>
      <c r="K80" s="3"/>
      <c r="L80" s="3"/>
      <c r="M80" s="3"/>
      <c r="N80" s="3"/>
      <c r="O80" s="50"/>
      <c r="P80" s="3"/>
      <c r="Q80" s="3"/>
      <c r="R80" s="3"/>
      <c r="S80" s="3"/>
    </row>
    <row r="81" spans="3:19" ht="13.5" customHeight="1" x14ac:dyDescent="0.2">
      <c r="C81" s="208">
        <v>45566</v>
      </c>
      <c r="D81" s="19">
        <v>0.5625</v>
      </c>
      <c r="E81" s="3">
        <v>6</v>
      </c>
      <c r="F81" s="3">
        <v>9.57</v>
      </c>
      <c r="G81" s="3">
        <v>99.4</v>
      </c>
      <c r="H81" s="3">
        <v>17.2</v>
      </c>
      <c r="I81" s="3"/>
      <c r="J81" s="3"/>
      <c r="K81" s="3"/>
      <c r="L81" s="3"/>
      <c r="M81" s="3"/>
      <c r="N81" s="3"/>
      <c r="O81" s="50"/>
      <c r="P81" s="3"/>
      <c r="Q81" s="3"/>
      <c r="R81" s="3"/>
      <c r="S81" s="3"/>
    </row>
    <row r="82" spans="3:19" ht="13.5" customHeight="1" x14ac:dyDescent="0.2">
      <c r="C82" s="208">
        <v>45566</v>
      </c>
      <c r="D82" s="19">
        <v>0.5625</v>
      </c>
      <c r="E82" s="3">
        <v>7</v>
      </c>
      <c r="F82" s="3">
        <v>9.5500000000000007</v>
      </c>
      <c r="G82" s="3">
        <v>99.2</v>
      </c>
      <c r="H82" s="3">
        <v>17.2</v>
      </c>
      <c r="I82" s="3"/>
      <c r="J82" s="3"/>
      <c r="K82" s="3"/>
      <c r="L82" s="3"/>
      <c r="M82" s="3"/>
      <c r="N82" s="3"/>
      <c r="O82" s="50"/>
      <c r="P82" s="3"/>
      <c r="Q82" s="3"/>
      <c r="R82" s="3"/>
      <c r="S82" s="3"/>
    </row>
    <row r="83" spans="3:19" ht="13.5" customHeight="1" x14ac:dyDescent="0.2">
      <c r="C83" s="208">
        <v>45566</v>
      </c>
      <c r="D83" s="19">
        <v>0.5625</v>
      </c>
      <c r="E83" s="3">
        <v>8</v>
      </c>
      <c r="F83" s="3">
        <v>9.5299999999999994</v>
      </c>
      <c r="G83" s="3">
        <v>99</v>
      </c>
      <c r="H83" s="3">
        <v>17.2</v>
      </c>
      <c r="I83" s="3"/>
      <c r="J83" s="3"/>
      <c r="K83" s="3"/>
      <c r="L83" s="3"/>
      <c r="M83" s="3"/>
      <c r="N83" s="3"/>
      <c r="O83" s="50"/>
      <c r="P83" s="3"/>
      <c r="Q83" s="3"/>
      <c r="R83" s="3"/>
      <c r="S83" s="3"/>
    </row>
    <row r="84" spans="3:19" ht="13.5" customHeight="1" x14ac:dyDescent="0.2">
      <c r="C84" s="208">
        <v>45566</v>
      </c>
      <c r="D84" s="19">
        <v>0.5625</v>
      </c>
      <c r="E84" s="3">
        <v>9</v>
      </c>
      <c r="F84" s="3">
        <v>9.51</v>
      </c>
      <c r="G84" s="3">
        <v>98.8</v>
      </c>
      <c r="H84" s="3">
        <v>17.2</v>
      </c>
      <c r="I84" s="3"/>
      <c r="J84" s="3"/>
      <c r="K84" s="3"/>
      <c r="L84" s="3"/>
      <c r="M84" s="3"/>
      <c r="N84" s="3"/>
      <c r="O84" s="50"/>
      <c r="P84" s="3"/>
      <c r="Q84" s="3"/>
      <c r="R84" s="3"/>
      <c r="S84" s="3"/>
    </row>
    <row r="85" spans="3:19" ht="13.5" customHeight="1" x14ac:dyDescent="0.2">
      <c r="C85" s="208">
        <v>45566</v>
      </c>
      <c r="D85" s="19">
        <v>0.5625</v>
      </c>
      <c r="E85" s="3">
        <v>10</v>
      </c>
      <c r="F85" s="3">
        <v>9.49</v>
      </c>
      <c r="G85" s="3">
        <v>98.6</v>
      </c>
      <c r="H85" s="3">
        <v>17.2</v>
      </c>
      <c r="I85" s="3"/>
      <c r="J85" s="3"/>
      <c r="K85" s="3"/>
      <c r="L85" s="3"/>
      <c r="M85" s="3"/>
      <c r="N85" s="3"/>
      <c r="O85" s="50"/>
      <c r="P85" s="3"/>
      <c r="Q85" s="3"/>
      <c r="R85" s="3"/>
      <c r="S85" s="3"/>
    </row>
    <row r="86" spans="3:19" ht="13.5" customHeight="1" x14ac:dyDescent="0.2">
      <c r="C86" s="208">
        <v>45566</v>
      </c>
      <c r="D86" s="19">
        <v>0.5625</v>
      </c>
      <c r="E86" s="3">
        <v>11</v>
      </c>
      <c r="F86" s="3">
        <v>9.4700000000000006</v>
      </c>
      <c r="G86" s="3">
        <v>98.4</v>
      </c>
      <c r="H86" s="3">
        <v>17.2</v>
      </c>
      <c r="I86" s="3"/>
      <c r="J86" s="3"/>
      <c r="K86" s="3"/>
      <c r="L86" s="3"/>
      <c r="M86" s="3"/>
      <c r="N86" s="3"/>
      <c r="O86" s="50"/>
      <c r="P86" s="3"/>
      <c r="Q86" s="3"/>
      <c r="R86" s="3"/>
      <c r="S86" s="3"/>
    </row>
    <row r="87" spans="3:19" ht="13.5" customHeight="1" x14ac:dyDescent="0.2">
      <c r="C87" s="208">
        <v>45566</v>
      </c>
      <c r="D87" s="19">
        <v>0.5625</v>
      </c>
      <c r="E87" s="3">
        <v>12</v>
      </c>
      <c r="F87" s="3">
        <v>9.4600000000000009</v>
      </c>
      <c r="G87" s="3">
        <v>98.2</v>
      </c>
      <c r="H87" s="3">
        <v>17.2</v>
      </c>
      <c r="I87" s="3"/>
      <c r="J87" s="3"/>
      <c r="K87" s="3"/>
      <c r="L87" s="3"/>
      <c r="M87" s="3"/>
      <c r="N87" s="3"/>
      <c r="O87" s="50"/>
      <c r="P87" s="3"/>
      <c r="Q87" s="3"/>
      <c r="R87" s="3"/>
      <c r="S87" s="3"/>
    </row>
    <row r="88" spans="3:19" ht="13.5" customHeight="1" x14ac:dyDescent="0.2">
      <c r="C88" s="208">
        <v>45566</v>
      </c>
      <c r="D88" s="19">
        <v>0.5625</v>
      </c>
      <c r="E88" s="3">
        <v>13</v>
      </c>
      <c r="F88" s="3">
        <v>9.43</v>
      </c>
      <c r="G88" s="3">
        <v>97.9</v>
      </c>
      <c r="H88" s="3">
        <v>17.2</v>
      </c>
      <c r="I88" s="3"/>
      <c r="J88" s="3"/>
      <c r="K88" s="3"/>
      <c r="L88" s="3"/>
      <c r="M88" s="3"/>
      <c r="N88" s="3"/>
      <c r="O88" s="50"/>
      <c r="P88" s="3"/>
      <c r="Q88" s="3"/>
      <c r="R88" s="3"/>
      <c r="S88" s="3"/>
    </row>
    <row r="89" spans="3:19" ht="13.5" customHeight="1" x14ac:dyDescent="0.2">
      <c r="C89" s="208">
        <v>45566</v>
      </c>
      <c r="D89" s="19">
        <v>0.5625</v>
      </c>
      <c r="E89" s="3">
        <v>14</v>
      </c>
      <c r="F89" s="3">
        <v>10.050000000000001</v>
      </c>
      <c r="G89" s="3">
        <v>94.4</v>
      </c>
      <c r="H89" s="3">
        <v>12.5</v>
      </c>
      <c r="I89" s="3"/>
      <c r="J89" s="3"/>
      <c r="K89" s="3"/>
      <c r="L89" s="3"/>
      <c r="M89" s="3"/>
      <c r="N89" s="3"/>
      <c r="O89" s="50"/>
      <c r="P89" s="3"/>
      <c r="Q89" s="3"/>
      <c r="R89" s="3"/>
      <c r="S89" s="3"/>
    </row>
    <row r="90" spans="3:19" ht="13.5" customHeight="1" x14ac:dyDescent="0.2">
      <c r="C90" s="208">
        <v>45566</v>
      </c>
      <c r="D90" s="19">
        <v>0.5625</v>
      </c>
      <c r="E90" s="3">
        <v>15</v>
      </c>
      <c r="F90" s="3">
        <v>10.4</v>
      </c>
      <c r="G90" s="3">
        <v>93.8</v>
      </c>
      <c r="H90" s="3">
        <v>10.7</v>
      </c>
      <c r="I90" s="3"/>
      <c r="J90" s="3"/>
      <c r="K90" s="3"/>
      <c r="L90" s="3"/>
      <c r="M90" s="3"/>
      <c r="N90" s="3"/>
      <c r="O90" s="50"/>
      <c r="P90" s="3"/>
      <c r="Q90" s="3"/>
      <c r="R90" s="3"/>
      <c r="S90" s="3"/>
    </row>
    <row r="91" spans="3:19" ht="13.5" customHeight="1" x14ac:dyDescent="0.2">
      <c r="C91" s="208">
        <v>45566</v>
      </c>
      <c r="D91" s="19">
        <v>0.5625</v>
      </c>
      <c r="E91" s="3">
        <v>20</v>
      </c>
      <c r="F91" s="3">
        <v>10.18</v>
      </c>
      <c r="G91" s="3">
        <v>86</v>
      </c>
      <c r="H91" s="3">
        <v>8.1999999999999993</v>
      </c>
      <c r="I91" s="3"/>
      <c r="J91" s="3"/>
      <c r="K91" s="3"/>
      <c r="L91" s="3"/>
      <c r="M91" s="3"/>
      <c r="N91" s="3"/>
      <c r="O91" s="50"/>
      <c r="P91" s="3"/>
      <c r="Q91" s="3"/>
      <c r="R91" s="3"/>
      <c r="S91" s="3"/>
    </row>
    <row r="92" spans="3:19" ht="13.5" customHeight="1" x14ac:dyDescent="0.2">
      <c r="C92" s="208">
        <v>45566</v>
      </c>
      <c r="D92" s="19">
        <v>0.5625</v>
      </c>
      <c r="E92" s="3">
        <v>25</v>
      </c>
      <c r="F92" s="3">
        <v>9.94</v>
      </c>
      <c r="G92" s="3">
        <v>82.4</v>
      </c>
      <c r="H92" s="3">
        <v>7.3</v>
      </c>
      <c r="I92" s="3"/>
      <c r="J92" s="3"/>
      <c r="K92" s="3"/>
      <c r="L92" s="3"/>
      <c r="M92" s="3"/>
      <c r="N92" s="3"/>
      <c r="O92" s="50"/>
      <c r="P92" s="3"/>
      <c r="Q92" s="3"/>
      <c r="R92" s="3"/>
      <c r="S92" s="3"/>
    </row>
    <row r="93" spans="3:19" ht="13.5" customHeight="1" x14ac:dyDescent="0.2">
      <c r="C93" s="208">
        <v>45566</v>
      </c>
      <c r="D93" s="19">
        <v>0.5625</v>
      </c>
      <c r="E93" s="3">
        <v>30</v>
      </c>
      <c r="F93" s="3">
        <v>9.85</v>
      </c>
      <c r="G93" s="3">
        <v>81.099999999999994</v>
      </c>
      <c r="H93" s="3">
        <v>7</v>
      </c>
      <c r="I93" s="3"/>
      <c r="J93" s="3"/>
      <c r="K93" s="3"/>
      <c r="L93" s="3"/>
      <c r="M93" s="3"/>
      <c r="N93" s="3"/>
      <c r="O93" s="50"/>
      <c r="P93" s="3"/>
      <c r="Q93" s="3"/>
      <c r="R93" s="3"/>
      <c r="S93" s="3"/>
    </row>
    <row r="94" spans="3:19" ht="13.5" customHeight="1" x14ac:dyDescent="0.2">
      <c r="C94" s="208">
        <v>45566</v>
      </c>
      <c r="D94" s="19">
        <v>0.5625</v>
      </c>
      <c r="E94" s="3">
        <v>35</v>
      </c>
      <c r="F94" s="3">
        <v>9.77</v>
      </c>
      <c r="G94" s="3">
        <v>80.099999999999994</v>
      </c>
      <c r="H94" s="3">
        <v>6.8</v>
      </c>
      <c r="I94" s="3"/>
      <c r="J94" s="3"/>
      <c r="K94" s="3"/>
      <c r="L94" s="3"/>
      <c r="M94" s="3"/>
      <c r="N94" s="3"/>
      <c r="O94" s="50"/>
      <c r="P94" s="3"/>
      <c r="Q94" s="3"/>
      <c r="R94" s="3"/>
      <c r="S94" s="3"/>
    </row>
    <row r="95" spans="3:19" ht="13.5" customHeight="1" x14ac:dyDescent="0.2">
      <c r="C95" s="208">
        <v>45566</v>
      </c>
      <c r="D95" s="19">
        <v>0.5625</v>
      </c>
      <c r="E95" s="3">
        <v>40</v>
      </c>
      <c r="F95" s="3">
        <v>9.66</v>
      </c>
      <c r="G95" s="3">
        <v>78.8</v>
      </c>
      <c r="H95" s="3">
        <v>6.6</v>
      </c>
      <c r="I95" s="3"/>
      <c r="J95" s="3"/>
      <c r="K95" s="3"/>
      <c r="L95" s="3"/>
      <c r="M95" s="3"/>
      <c r="N95" s="3"/>
      <c r="O95" s="50"/>
      <c r="P95" s="3"/>
      <c r="Q95" s="3"/>
      <c r="R95" s="3"/>
      <c r="S95" s="3"/>
    </row>
    <row r="96" spans="3:19" ht="13.5" customHeight="1" x14ac:dyDescent="0.2">
      <c r="C96" s="208">
        <v>45566</v>
      </c>
      <c r="D96" s="19">
        <v>0.5625</v>
      </c>
      <c r="E96" s="3">
        <v>44</v>
      </c>
      <c r="F96" s="3">
        <v>8.4</v>
      </c>
      <c r="G96" s="3">
        <v>68.3</v>
      </c>
      <c r="H96" s="3">
        <v>6.6</v>
      </c>
      <c r="I96" s="3"/>
      <c r="J96" s="3"/>
      <c r="K96" s="3"/>
      <c r="L96" s="3"/>
      <c r="M96" s="3"/>
      <c r="N96" s="3"/>
      <c r="O96" s="50"/>
      <c r="P96" s="3"/>
      <c r="Q96" s="3"/>
      <c r="R96" s="3"/>
      <c r="S96" s="3"/>
    </row>
    <row r="97" spans="3:19" ht="13.5" customHeight="1" x14ac:dyDescent="0.2">
      <c r="C97" s="208"/>
      <c r="D97" s="19"/>
      <c r="E97" s="3"/>
      <c r="F97" s="3"/>
      <c r="G97" s="3"/>
      <c r="H97" s="3"/>
      <c r="I97" s="3"/>
      <c r="J97" s="3"/>
      <c r="K97" s="3"/>
      <c r="L97" s="3"/>
      <c r="M97" s="3"/>
      <c r="N97" s="3"/>
      <c r="O97" s="50"/>
      <c r="P97" s="3"/>
      <c r="Q97" s="3"/>
      <c r="R97" s="3"/>
      <c r="S97" s="3"/>
    </row>
    <row r="98" spans="3:19" ht="13.5" customHeight="1" x14ac:dyDescent="0.2">
      <c r="C98" s="208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50"/>
      <c r="P98" s="3"/>
      <c r="Q98" s="3"/>
      <c r="R98" s="3"/>
      <c r="S98" s="3"/>
    </row>
    <row r="99" spans="3:19" ht="13.5" customHeight="1" x14ac:dyDescent="0.2">
      <c r="C99" s="208">
        <v>45098</v>
      </c>
      <c r="D99" s="19">
        <v>0.53819444444444442</v>
      </c>
      <c r="E99" s="3"/>
      <c r="F99" s="3"/>
      <c r="G99" s="3"/>
      <c r="H99" s="3"/>
      <c r="I99" s="3"/>
      <c r="J99" s="3">
        <v>9</v>
      </c>
      <c r="K99" s="3">
        <v>10</v>
      </c>
      <c r="L99" s="3"/>
      <c r="M99" s="3"/>
      <c r="N99" s="3"/>
      <c r="O99" s="50"/>
      <c r="P99" s="3"/>
      <c r="Q99" s="3"/>
      <c r="R99" s="3"/>
      <c r="S99" s="3"/>
    </row>
    <row r="100" spans="3:19" ht="13.5" customHeight="1" x14ac:dyDescent="0.2">
      <c r="C100" s="208">
        <v>45098</v>
      </c>
      <c r="D100" s="19">
        <v>0.54861111111111105</v>
      </c>
      <c r="E100" s="3">
        <v>0.1</v>
      </c>
      <c r="F100" s="3">
        <v>9.74</v>
      </c>
      <c r="G100" s="3">
        <v>102.9</v>
      </c>
      <c r="H100" s="3">
        <v>18</v>
      </c>
      <c r="I100" s="3">
        <v>18</v>
      </c>
      <c r="J100" s="3"/>
      <c r="K100" s="3"/>
      <c r="L100" s="3"/>
      <c r="M100" s="3"/>
      <c r="N100" s="3"/>
      <c r="O100" s="50"/>
      <c r="P100" s="3"/>
      <c r="Q100" s="3"/>
      <c r="R100" s="3"/>
      <c r="S100" s="3"/>
    </row>
    <row r="101" spans="3:19" ht="13.5" customHeight="1" x14ac:dyDescent="0.2">
      <c r="C101" s="208">
        <v>45098</v>
      </c>
      <c r="D101" s="19">
        <v>0.54861111111111105</v>
      </c>
      <c r="E101" s="3">
        <v>1</v>
      </c>
      <c r="F101" s="3">
        <v>9.73</v>
      </c>
      <c r="G101" s="3">
        <v>102.6</v>
      </c>
      <c r="H101" s="3">
        <v>17.899999999999999</v>
      </c>
      <c r="I101" s="3">
        <v>17.899999999999999</v>
      </c>
      <c r="J101" s="3"/>
      <c r="K101" s="3"/>
      <c r="L101" s="3"/>
      <c r="M101" s="3"/>
      <c r="N101" s="3"/>
      <c r="O101" s="50"/>
      <c r="P101" s="3"/>
      <c r="Q101" s="3"/>
      <c r="R101" s="3"/>
      <c r="S101" s="3"/>
    </row>
    <row r="102" spans="3:19" ht="13.5" customHeight="1" x14ac:dyDescent="0.2">
      <c r="C102" s="208">
        <v>45098</v>
      </c>
      <c r="D102" s="19">
        <v>0.54861111111111105</v>
      </c>
      <c r="E102" s="3">
        <v>2</v>
      </c>
      <c r="F102" s="3">
        <v>9.73</v>
      </c>
      <c r="G102" s="3">
        <v>102.4</v>
      </c>
      <c r="H102" s="3">
        <v>17.8</v>
      </c>
      <c r="I102" s="3">
        <v>17.8</v>
      </c>
      <c r="J102" s="3"/>
      <c r="K102" s="3"/>
      <c r="L102" s="3"/>
      <c r="M102" s="3"/>
      <c r="N102" s="3"/>
      <c r="O102" s="50"/>
      <c r="P102" s="3"/>
      <c r="Q102" s="3"/>
      <c r="R102" s="3"/>
      <c r="S102" s="3"/>
    </row>
    <row r="103" spans="3:19" ht="13.5" customHeight="1" x14ac:dyDescent="0.2">
      <c r="C103" s="208">
        <v>45098</v>
      </c>
      <c r="D103" s="19">
        <v>0.54861111111111105</v>
      </c>
      <c r="E103" s="3">
        <v>3</v>
      </c>
      <c r="F103" s="3">
        <v>9.7200000000000006</v>
      </c>
      <c r="G103" s="3">
        <v>102.4</v>
      </c>
      <c r="H103" s="3">
        <v>17.7</v>
      </c>
      <c r="I103" s="3">
        <v>17.7</v>
      </c>
      <c r="J103" s="3"/>
      <c r="K103" s="3"/>
      <c r="L103" s="3"/>
      <c r="M103" s="3"/>
      <c r="N103" s="3"/>
      <c r="O103" s="50"/>
      <c r="P103" s="3"/>
      <c r="Q103" s="3"/>
      <c r="R103" s="3"/>
      <c r="S103" s="3"/>
    </row>
    <row r="104" spans="3:19" ht="13.5" customHeight="1" x14ac:dyDescent="0.2">
      <c r="C104" s="208">
        <v>45098</v>
      </c>
      <c r="D104" s="19">
        <v>0.54861111111111105</v>
      </c>
      <c r="E104" s="3">
        <v>4</v>
      </c>
      <c r="F104" s="3">
        <v>9.7200000000000006</v>
      </c>
      <c r="G104" s="3">
        <v>102</v>
      </c>
      <c r="H104" s="3">
        <v>17.7</v>
      </c>
      <c r="I104" s="3">
        <v>17.7</v>
      </c>
      <c r="J104" s="3"/>
      <c r="K104" s="3"/>
      <c r="L104" s="3"/>
      <c r="M104" s="3"/>
      <c r="N104" s="3"/>
      <c r="O104" s="50"/>
      <c r="P104" s="3"/>
      <c r="Q104" s="3"/>
      <c r="R104" s="3"/>
      <c r="S104" s="3"/>
    </row>
    <row r="105" spans="3:19" ht="13.5" customHeight="1" x14ac:dyDescent="0.2">
      <c r="C105" s="208">
        <v>45098</v>
      </c>
      <c r="D105" s="19">
        <v>0.54861111111111105</v>
      </c>
      <c r="E105" s="3">
        <v>5</v>
      </c>
      <c r="F105" s="3">
        <v>9.6999999999999993</v>
      </c>
      <c r="G105" s="3">
        <v>101.8</v>
      </c>
      <c r="H105" s="3">
        <v>17.7</v>
      </c>
      <c r="I105" s="3">
        <v>17.7</v>
      </c>
      <c r="J105" s="3"/>
      <c r="K105" s="3"/>
      <c r="L105" s="3"/>
      <c r="M105" s="3"/>
      <c r="N105" s="3"/>
      <c r="O105" s="50"/>
      <c r="P105" s="3"/>
      <c r="Q105" s="3"/>
      <c r="R105" s="3"/>
      <c r="S105" s="3"/>
    </row>
    <row r="106" spans="3:19" ht="13.5" customHeight="1" x14ac:dyDescent="0.2">
      <c r="C106" s="208">
        <v>45098</v>
      </c>
      <c r="D106" s="19">
        <v>0.54861111111111105</v>
      </c>
      <c r="E106" s="3">
        <v>6</v>
      </c>
      <c r="F106" s="3">
        <v>9.6999999999999993</v>
      </c>
      <c r="G106" s="3">
        <v>101.6</v>
      </c>
      <c r="H106" s="3">
        <v>17.600000000000001</v>
      </c>
      <c r="I106" s="3">
        <v>17.600000000000001</v>
      </c>
      <c r="J106" s="3"/>
      <c r="K106" s="3"/>
      <c r="L106" s="3"/>
      <c r="M106" s="3"/>
      <c r="N106" s="3"/>
      <c r="O106" s="50"/>
      <c r="P106" s="3"/>
      <c r="Q106" s="3"/>
      <c r="R106" s="3"/>
      <c r="S106" s="3"/>
    </row>
    <row r="107" spans="3:19" ht="13.5" customHeight="1" x14ac:dyDescent="0.2">
      <c r="C107" s="208">
        <v>45098</v>
      </c>
      <c r="D107" s="19">
        <v>0.54861111111111105</v>
      </c>
      <c r="E107" s="3">
        <v>7</v>
      </c>
      <c r="F107" s="3">
        <v>9.67</v>
      </c>
      <c r="G107" s="3">
        <v>101.3</v>
      </c>
      <c r="H107" s="3">
        <v>17.600000000000001</v>
      </c>
      <c r="I107" s="3">
        <v>17.600000000000001</v>
      </c>
      <c r="J107" s="3"/>
      <c r="K107" s="3"/>
      <c r="L107" s="3"/>
      <c r="M107" s="3"/>
      <c r="N107" s="3"/>
      <c r="O107" s="50"/>
      <c r="P107" s="3"/>
      <c r="Q107" s="3"/>
      <c r="R107" s="3"/>
      <c r="S107" s="3"/>
    </row>
    <row r="108" spans="3:19" ht="13.5" customHeight="1" x14ac:dyDescent="0.2">
      <c r="C108" s="208">
        <v>45098</v>
      </c>
      <c r="D108" s="19">
        <v>0.54861111111111105</v>
      </c>
      <c r="E108" s="3">
        <v>8</v>
      </c>
      <c r="F108" s="3">
        <v>9.68</v>
      </c>
      <c r="G108" s="3">
        <v>101.2</v>
      </c>
      <c r="H108" s="3">
        <v>17.5</v>
      </c>
      <c r="I108" s="3">
        <v>17.5</v>
      </c>
      <c r="J108" s="3"/>
      <c r="K108" s="3"/>
      <c r="L108" s="3"/>
      <c r="M108" s="3"/>
      <c r="N108" s="3"/>
      <c r="O108" s="50"/>
      <c r="P108" s="3"/>
      <c r="Q108" s="3"/>
      <c r="R108" s="3"/>
      <c r="S108" s="3"/>
    </row>
    <row r="109" spans="3:19" ht="13.5" customHeight="1" x14ac:dyDescent="0.2">
      <c r="C109" s="208">
        <v>45098</v>
      </c>
      <c r="D109" s="19">
        <v>0.54861111111111105</v>
      </c>
      <c r="E109" s="3">
        <v>9</v>
      </c>
      <c r="F109" s="3">
        <v>9.7100000000000009</v>
      </c>
      <c r="G109" s="3">
        <v>100.9</v>
      </c>
      <c r="H109" s="3">
        <v>17.2</v>
      </c>
      <c r="I109" s="3">
        <v>17.2</v>
      </c>
      <c r="J109" s="3"/>
      <c r="K109" s="3"/>
      <c r="L109" s="3"/>
      <c r="M109" s="3"/>
      <c r="N109" s="3"/>
      <c r="O109" s="50"/>
      <c r="P109" s="3"/>
      <c r="Q109" s="3"/>
      <c r="R109" s="3"/>
      <c r="S109" s="3"/>
    </row>
    <row r="110" spans="3:19" ht="13.5" customHeight="1" x14ac:dyDescent="0.2">
      <c r="C110" s="208">
        <v>45098</v>
      </c>
      <c r="D110" s="19">
        <v>0.54861111111111105</v>
      </c>
      <c r="E110" s="3">
        <v>10</v>
      </c>
      <c r="F110" s="3">
        <v>10.4</v>
      </c>
      <c r="G110" s="3">
        <v>99.3</v>
      </c>
      <c r="H110" s="3">
        <v>13.2</v>
      </c>
      <c r="I110" s="17">
        <f>AVERAGE(I100:I109)</f>
        <v>17.669999999999998</v>
      </c>
      <c r="J110" s="3"/>
      <c r="K110" s="3"/>
      <c r="L110" s="3"/>
      <c r="M110" s="3"/>
      <c r="N110" s="3"/>
      <c r="O110" s="50"/>
      <c r="P110" s="3"/>
      <c r="Q110" s="3"/>
      <c r="R110" s="3"/>
      <c r="S110" s="3"/>
    </row>
    <row r="111" spans="3:19" ht="13.5" customHeight="1" x14ac:dyDescent="0.2">
      <c r="C111" s="208">
        <v>45098</v>
      </c>
      <c r="D111" s="19">
        <v>0.54861111111111105</v>
      </c>
      <c r="E111" s="3">
        <v>11</v>
      </c>
      <c r="F111" s="3">
        <v>11.24</v>
      </c>
      <c r="G111" s="3">
        <v>98</v>
      </c>
      <c r="H111" s="3">
        <v>9.5</v>
      </c>
      <c r="I111" s="3"/>
      <c r="J111" s="3"/>
      <c r="K111" s="3"/>
      <c r="L111" s="3"/>
      <c r="M111" s="3"/>
      <c r="N111" s="3"/>
      <c r="O111" s="50"/>
      <c r="P111" s="3"/>
      <c r="Q111" s="3"/>
      <c r="R111" s="3"/>
      <c r="S111" s="3"/>
    </row>
    <row r="112" spans="3:19" ht="13.5" customHeight="1" x14ac:dyDescent="0.2">
      <c r="C112" s="208">
        <v>45098</v>
      </c>
      <c r="D112" s="19">
        <v>0.54861111111111105</v>
      </c>
      <c r="E112" s="3">
        <v>12</v>
      </c>
      <c r="F112" s="3">
        <v>11.55</v>
      </c>
      <c r="G112" s="3">
        <v>97.3</v>
      </c>
      <c r="H112" s="3">
        <v>7.9</v>
      </c>
      <c r="I112" s="3"/>
      <c r="J112" s="3"/>
      <c r="K112" s="3"/>
      <c r="L112" s="3"/>
      <c r="M112" s="3"/>
      <c r="N112" s="3"/>
      <c r="O112" s="50"/>
      <c r="P112" s="3"/>
      <c r="Q112" s="3"/>
      <c r="R112" s="3"/>
      <c r="S112" s="3"/>
    </row>
    <row r="113" spans="3:19" ht="13.5" customHeight="1" x14ac:dyDescent="0.2">
      <c r="C113" s="208">
        <v>45098</v>
      </c>
      <c r="D113" s="19">
        <v>0.54861111111111105</v>
      </c>
      <c r="E113" s="3">
        <v>13</v>
      </c>
      <c r="F113" s="3">
        <v>11.66</v>
      </c>
      <c r="G113" s="3">
        <v>97.2</v>
      </c>
      <c r="H113" s="3">
        <v>7.5</v>
      </c>
      <c r="I113" s="3"/>
      <c r="J113" s="3"/>
      <c r="K113" s="3"/>
      <c r="L113" s="3"/>
      <c r="M113" s="3"/>
      <c r="N113" s="3"/>
      <c r="O113" s="50"/>
      <c r="P113" s="3"/>
      <c r="Q113" s="3"/>
      <c r="R113" s="3"/>
      <c r="S113" s="3"/>
    </row>
    <row r="114" spans="3:19" ht="13.5" customHeight="1" x14ac:dyDescent="0.2">
      <c r="C114" s="208">
        <v>45098</v>
      </c>
      <c r="D114" s="19">
        <v>0.54861111111111105</v>
      </c>
      <c r="E114" s="3">
        <v>14</v>
      </c>
      <c r="F114" s="3">
        <v>11.77</v>
      </c>
      <c r="G114" s="3">
        <v>97</v>
      </c>
      <c r="H114" s="3">
        <v>7.1</v>
      </c>
      <c r="I114" s="3"/>
      <c r="J114" s="3"/>
      <c r="K114" s="3"/>
      <c r="L114" s="3"/>
      <c r="M114" s="3"/>
      <c r="N114" s="3"/>
      <c r="O114" s="50"/>
      <c r="P114" s="3"/>
      <c r="Q114" s="3"/>
      <c r="R114" s="3"/>
      <c r="S114" s="3"/>
    </row>
    <row r="115" spans="3:19" ht="13.5" customHeight="1" x14ac:dyDescent="0.2">
      <c r="C115" s="208">
        <v>45098</v>
      </c>
      <c r="D115" s="19">
        <v>0.54861111111111105</v>
      </c>
      <c r="E115" s="3">
        <v>15</v>
      </c>
      <c r="F115" s="3">
        <v>11.79</v>
      </c>
      <c r="G115" s="3">
        <v>96.2</v>
      </c>
      <c r="H115" s="3">
        <v>6.6</v>
      </c>
      <c r="I115" s="3"/>
      <c r="J115" s="3"/>
      <c r="K115" s="3"/>
      <c r="L115" s="3"/>
      <c r="M115" s="3"/>
      <c r="N115" s="3"/>
      <c r="O115" s="50"/>
      <c r="P115" s="3"/>
      <c r="Q115" s="3"/>
      <c r="R115" s="3"/>
      <c r="S115" s="3"/>
    </row>
    <row r="116" spans="3:19" ht="13.5" customHeight="1" x14ac:dyDescent="0.2">
      <c r="C116" s="208">
        <v>45098</v>
      </c>
      <c r="D116" s="19">
        <v>0.54861111111111105</v>
      </c>
      <c r="E116" s="3">
        <v>20</v>
      </c>
      <c r="F116" s="3">
        <v>11.8</v>
      </c>
      <c r="G116" s="3">
        <v>94.7</v>
      </c>
      <c r="H116" s="3">
        <v>5.9</v>
      </c>
      <c r="I116" s="3"/>
      <c r="J116" s="3"/>
      <c r="K116" s="3"/>
      <c r="L116" s="3"/>
      <c r="M116" s="3"/>
      <c r="N116" s="3"/>
      <c r="O116" s="50"/>
      <c r="P116" s="3"/>
      <c r="Q116" s="3"/>
      <c r="R116" s="3"/>
      <c r="S116" s="3"/>
    </row>
    <row r="117" spans="3:19" ht="13.5" customHeight="1" x14ac:dyDescent="0.2">
      <c r="C117" s="208">
        <v>45098</v>
      </c>
      <c r="D117" s="19">
        <v>0.54861111111111105</v>
      </c>
      <c r="E117" s="3">
        <v>25</v>
      </c>
      <c r="F117" s="3">
        <v>11.78</v>
      </c>
      <c r="G117" s="3">
        <v>93.3</v>
      </c>
      <c r="H117" s="3">
        <v>5.5</v>
      </c>
      <c r="I117" s="3"/>
      <c r="J117" s="3"/>
      <c r="K117" s="3"/>
      <c r="L117" s="3"/>
      <c r="M117" s="3"/>
      <c r="N117" s="3"/>
      <c r="O117" s="50"/>
      <c r="P117" s="3"/>
      <c r="Q117" s="3"/>
      <c r="R117" s="3"/>
      <c r="S117" s="3"/>
    </row>
    <row r="118" spans="3:19" ht="13.5" customHeight="1" x14ac:dyDescent="0.2">
      <c r="C118" s="208">
        <v>45098</v>
      </c>
      <c r="D118" s="19">
        <v>0.54861111111111105</v>
      </c>
      <c r="E118" s="3">
        <v>30</v>
      </c>
      <c r="F118" s="3">
        <v>11.68</v>
      </c>
      <c r="G118" s="3">
        <v>92.1</v>
      </c>
      <c r="H118" s="3">
        <v>5.3</v>
      </c>
      <c r="I118" s="3"/>
      <c r="J118" s="3"/>
      <c r="K118" s="3"/>
      <c r="L118" s="3"/>
      <c r="M118" s="3"/>
      <c r="N118" s="3"/>
      <c r="O118" s="50"/>
      <c r="P118" s="3"/>
      <c r="Q118" s="3"/>
      <c r="R118" s="3"/>
      <c r="S118" s="3"/>
    </row>
    <row r="119" spans="3:19" ht="13.5" customHeight="1" x14ac:dyDescent="0.2">
      <c r="C119" s="208">
        <v>45098</v>
      </c>
      <c r="D119" s="19">
        <v>0.54861111111111105</v>
      </c>
      <c r="E119" s="3">
        <v>35</v>
      </c>
      <c r="F119" s="3">
        <v>11.57</v>
      </c>
      <c r="G119" s="3">
        <v>90.7</v>
      </c>
      <c r="H119" s="3">
        <v>5.0999999999999996</v>
      </c>
      <c r="I119" s="3"/>
      <c r="J119" s="3"/>
      <c r="K119" s="3"/>
      <c r="L119" s="3"/>
      <c r="M119" s="3"/>
      <c r="N119" s="3"/>
      <c r="O119" s="50"/>
      <c r="P119" s="3"/>
      <c r="Q119" s="3"/>
      <c r="R119" s="3"/>
      <c r="S119" s="3"/>
    </row>
    <row r="120" spans="3:19" ht="13.5" customHeight="1" x14ac:dyDescent="0.2">
      <c r="C120" s="208">
        <v>45098</v>
      </c>
      <c r="D120" s="19">
        <v>0.54861111111111105</v>
      </c>
      <c r="E120" s="3">
        <v>40</v>
      </c>
      <c r="F120" s="3">
        <v>11.46</v>
      </c>
      <c r="G120" s="3">
        <v>89.5</v>
      </c>
      <c r="H120" s="3">
        <v>5.0999999999999996</v>
      </c>
      <c r="I120" s="3"/>
      <c r="J120" s="3"/>
      <c r="K120" s="3"/>
      <c r="L120" s="3"/>
      <c r="M120" s="3"/>
      <c r="N120" s="3"/>
      <c r="O120" s="50"/>
      <c r="P120" s="3"/>
      <c r="Q120" s="3"/>
      <c r="R120" s="3"/>
      <c r="S120" s="3"/>
    </row>
    <row r="121" spans="3:19" ht="13.5" customHeight="1" x14ac:dyDescent="0.2">
      <c r="C121" s="208">
        <v>45098</v>
      </c>
      <c r="D121" s="19">
        <v>0.54861111111111105</v>
      </c>
      <c r="E121" s="3">
        <v>45</v>
      </c>
      <c r="F121" s="3">
        <v>11</v>
      </c>
      <c r="G121" s="3">
        <v>85.1</v>
      </c>
      <c r="H121" s="3">
        <v>5.0999999999999996</v>
      </c>
      <c r="I121" s="3"/>
      <c r="J121" s="3"/>
      <c r="K121" s="3"/>
      <c r="L121" s="3"/>
      <c r="M121" s="3"/>
      <c r="N121" s="3"/>
      <c r="O121" s="50"/>
      <c r="P121" s="3"/>
      <c r="Q121" s="3"/>
      <c r="R121" s="3"/>
      <c r="S121" s="3"/>
    </row>
    <row r="122" spans="3:19" ht="13.5" customHeight="1" x14ac:dyDescent="0.2">
      <c r="C122" s="208"/>
      <c r="D122" s="19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50"/>
      <c r="P122" s="3"/>
      <c r="Q122" s="3"/>
      <c r="R122" s="3"/>
      <c r="S122" s="3"/>
    </row>
    <row r="123" spans="3:19" ht="13.5" customHeight="1" x14ac:dyDescent="0.2">
      <c r="C123" s="208">
        <v>45134</v>
      </c>
      <c r="D123" s="19">
        <v>0.64861111111111114</v>
      </c>
      <c r="E123" s="3"/>
      <c r="F123" s="3"/>
      <c r="G123" s="3"/>
      <c r="H123" s="3"/>
      <c r="I123" s="3"/>
      <c r="J123" s="3">
        <v>10</v>
      </c>
      <c r="K123" s="3">
        <v>12</v>
      </c>
      <c r="L123" s="3"/>
      <c r="M123" s="3"/>
      <c r="N123" s="3"/>
      <c r="O123" s="50"/>
      <c r="P123" s="3"/>
      <c r="Q123" s="3"/>
      <c r="R123" s="3"/>
      <c r="S123" s="3"/>
    </row>
    <row r="124" spans="3:19" ht="13.5" customHeight="1" x14ac:dyDescent="0.2">
      <c r="C124" s="208">
        <v>45134</v>
      </c>
      <c r="D124" s="19">
        <v>0.64861111111111114</v>
      </c>
      <c r="E124" s="3">
        <v>0.1</v>
      </c>
      <c r="F124" s="3">
        <v>8.85</v>
      </c>
      <c r="G124" s="3">
        <v>103.5</v>
      </c>
      <c r="H124" s="3">
        <v>23.2</v>
      </c>
      <c r="I124" s="3"/>
      <c r="J124" s="3"/>
      <c r="K124" s="3"/>
      <c r="L124" s="3"/>
      <c r="M124" s="3"/>
      <c r="N124" s="3"/>
      <c r="O124" s="50"/>
      <c r="P124" s="3"/>
      <c r="Q124" s="3"/>
      <c r="R124" s="3"/>
      <c r="S124" s="3"/>
    </row>
    <row r="125" spans="3:19" ht="13.5" customHeight="1" x14ac:dyDescent="0.2">
      <c r="C125" s="208">
        <v>45134</v>
      </c>
      <c r="D125" s="19">
        <v>0.64861111111111114</v>
      </c>
      <c r="E125" s="3">
        <v>1</v>
      </c>
      <c r="F125" s="3">
        <v>8.8699999999999992</v>
      </c>
      <c r="G125" s="3">
        <v>103.6</v>
      </c>
      <c r="H125" s="3">
        <v>23.2</v>
      </c>
      <c r="I125" s="3"/>
      <c r="J125" s="3"/>
      <c r="K125" s="3"/>
      <c r="L125" s="3"/>
      <c r="M125" s="3"/>
      <c r="N125" s="3"/>
      <c r="O125" s="50"/>
      <c r="P125" s="3"/>
      <c r="Q125" s="3"/>
      <c r="R125" s="3"/>
      <c r="S125" s="3"/>
    </row>
    <row r="126" spans="3:19" ht="13.5" customHeight="1" x14ac:dyDescent="0.2">
      <c r="C126" s="208">
        <v>45134</v>
      </c>
      <c r="D126" s="19">
        <v>0.64861111111111114</v>
      </c>
      <c r="E126" s="3">
        <v>2</v>
      </c>
      <c r="F126" s="3">
        <v>8.8699999999999992</v>
      </c>
      <c r="G126" s="3">
        <v>103.5</v>
      </c>
      <c r="H126" s="3">
        <v>23</v>
      </c>
      <c r="I126" s="3"/>
      <c r="J126" s="3"/>
      <c r="K126" s="3"/>
      <c r="L126" s="3"/>
      <c r="M126" s="3"/>
      <c r="N126" s="3"/>
      <c r="O126" s="50"/>
      <c r="P126" s="3"/>
      <c r="Q126" s="3"/>
      <c r="R126" s="3"/>
      <c r="S126" s="3"/>
    </row>
    <row r="127" spans="3:19" ht="13.5" customHeight="1" x14ac:dyDescent="0.2">
      <c r="C127" s="208">
        <v>45134</v>
      </c>
      <c r="D127" s="19">
        <v>0.64861111111111114</v>
      </c>
      <c r="E127" s="3">
        <v>3</v>
      </c>
      <c r="F127" s="3">
        <v>8.86</v>
      </c>
      <c r="G127" s="3">
        <v>103</v>
      </c>
      <c r="H127" s="3">
        <v>22.9</v>
      </c>
      <c r="I127" s="3"/>
      <c r="J127" s="3"/>
      <c r="K127" s="3"/>
      <c r="L127" s="3"/>
      <c r="M127" s="3"/>
      <c r="N127" s="3"/>
      <c r="O127" s="50"/>
      <c r="P127" s="3"/>
      <c r="Q127" s="3"/>
      <c r="R127" s="3"/>
      <c r="S127" s="3"/>
    </row>
    <row r="128" spans="3:19" ht="13.5" customHeight="1" x14ac:dyDescent="0.2">
      <c r="C128" s="208">
        <v>45134</v>
      </c>
      <c r="D128" s="19">
        <v>0.64861111111111114</v>
      </c>
      <c r="E128" s="3">
        <v>4</v>
      </c>
      <c r="F128" s="3">
        <v>8.85</v>
      </c>
      <c r="G128" s="3">
        <v>102.8</v>
      </c>
      <c r="H128" s="3">
        <v>22.8</v>
      </c>
      <c r="I128" s="3"/>
      <c r="J128" s="3"/>
      <c r="K128" s="3"/>
      <c r="L128" s="3"/>
      <c r="M128" s="3"/>
      <c r="N128" s="3"/>
      <c r="O128" s="50"/>
      <c r="P128" s="3"/>
      <c r="Q128" s="3"/>
      <c r="R128" s="3"/>
      <c r="S128" s="3"/>
    </row>
    <row r="129" spans="3:19" ht="13.5" customHeight="1" x14ac:dyDescent="0.2">
      <c r="C129" s="208">
        <v>45134</v>
      </c>
      <c r="D129" s="19">
        <v>0.64861111111111114</v>
      </c>
      <c r="E129" s="3">
        <v>5</v>
      </c>
      <c r="F129" s="3">
        <v>8.8699999999999992</v>
      </c>
      <c r="G129" s="3">
        <v>102.6</v>
      </c>
      <c r="H129" s="3">
        <v>22.6</v>
      </c>
      <c r="I129" s="3"/>
      <c r="J129" s="3"/>
      <c r="K129" s="3"/>
      <c r="L129" s="3"/>
      <c r="M129" s="3"/>
      <c r="N129" s="3"/>
      <c r="O129" s="50"/>
      <c r="P129" s="3"/>
      <c r="Q129" s="3"/>
      <c r="R129" s="3"/>
      <c r="S129" s="3"/>
    </row>
    <row r="130" spans="3:19" ht="13.5" customHeight="1" x14ac:dyDescent="0.2">
      <c r="C130" s="208">
        <v>45134</v>
      </c>
      <c r="D130" s="19">
        <v>0.64861111111111114</v>
      </c>
      <c r="E130" s="3">
        <v>6</v>
      </c>
      <c r="F130" s="3">
        <v>8.8699999999999992</v>
      </c>
      <c r="G130" s="3">
        <v>102.4</v>
      </c>
      <c r="H130" s="3">
        <v>22.5</v>
      </c>
      <c r="I130" s="3"/>
      <c r="J130" s="3"/>
      <c r="K130" s="3"/>
      <c r="L130" s="3"/>
      <c r="M130" s="3"/>
      <c r="N130" s="3"/>
      <c r="O130" s="50"/>
      <c r="P130" s="3"/>
      <c r="Q130" s="3"/>
      <c r="R130" s="3"/>
      <c r="S130" s="3"/>
    </row>
    <row r="131" spans="3:19" ht="13.5" customHeight="1" x14ac:dyDescent="0.2">
      <c r="C131" s="208">
        <v>45134</v>
      </c>
      <c r="D131" s="19">
        <v>0.64861111111111114</v>
      </c>
      <c r="E131" s="3">
        <v>7</v>
      </c>
      <c r="F131" s="3">
        <v>8.8800000000000008</v>
      </c>
      <c r="G131" s="3">
        <v>102.3</v>
      </c>
      <c r="H131" s="3">
        <v>22.4</v>
      </c>
      <c r="I131" s="3"/>
      <c r="J131" s="3"/>
      <c r="K131" s="3"/>
      <c r="L131" s="3"/>
      <c r="M131" s="3"/>
      <c r="N131" s="3"/>
      <c r="O131" s="50"/>
      <c r="P131" s="3"/>
      <c r="Q131" s="3"/>
      <c r="R131" s="3"/>
      <c r="S131" s="3"/>
    </row>
    <row r="132" spans="3:19" ht="13.5" customHeight="1" x14ac:dyDescent="0.2">
      <c r="C132" s="208">
        <v>45134</v>
      </c>
      <c r="D132" s="19">
        <v>0.64861111111111114</v>
      </c>
      <c r="E132" s="3">
        <v>8</v>
      </c>
      <c r="F132" s="3">
        <v>9.17</v>
      </c>
      <c r="G132" s="3">
        <v>102.9</v>
      </c>
      <c r="H132" s="3">
        <v>21</v>
      </c>
      <c r="I132" s="3"/>
      <c r="J132" s="3"/>
      <c r="K132" s="3"/>
      <c r="L132" s="3"/>
      <c r="M132" s="3"/>
      <c r="N132" s="3"/>
      <c r="O132" s="50"/>
      <c r="P132" s="3"/>
      <c r="Q132" s="3"/>
      <c r="R132" s="3"/>
      <c r="S132" s="3"/>
    </row>
    <row r="133" spans="3:19" ht="13.5" customHeight="1" x14ac:dyDescent="0.2">
      <c r="C133" s="208">
        <v>45134</v>
      </c>
      <c r="D133" s="19">
        <v>0.64861111111111114</v>
      </c>
      <c r="E133" s="3">
        <v>9</v>
      </c>
      <c r="F133" s="3">
        <v>11.6</v>
      </c>
      <c r="G133" s="3">
        <v>112.8</v>
      </c>
      <c r="H133" s="3">
        <v>14.2</v>
      </c>
      <c r="I133" s="3"/>
      <c r="J133" s="3"/>
      <c r="K133" s="3"/>
      <c r="L133" s="3"/>
      <c r="M133" s="3"/>
      <c r="N133" s="3"/>
      <c r="O133" s="50"/>
      <c r="P133" s="3"/>
      <c r="Q133" s="3"/>
      <c r="R133" s="3"/>
      <c r="S133" s="3"/>
    </row>
    <row r="134" spans="3:19" ht="13.5" customHeight="1" x14ac:dyDescent="0.2">
      <c r="C134" s="208">
        <v>45134</v>
      </c>
      <c r="D134" s="19">
        <v>0.64861111111111114</v>
      </c>
      <c r="E134" s="3">
        <v>10</v>
      </c>
      <c r="F134" s="3">
        <v>11.99</v>
      </c>
      <c r="G134" s="3">
        <v>109.5</v>
      </c>
      <c r="H134" s="3">
        <v>11.5</v>
      </c>
      <c r="I134" s="3"/>
      <c r="J134" s="3"/>
      <c r="K134" s="3"/>
      <c r="L134" s="3"/>
      <c r="M134" s="3"/>
      <c r="N134" s="3"/>
      <c r="O134" s="50"/>
      <c r="P134" s="3"/>
      <c r="Q134" s="3"/>
      <c r="R134" s="3"/>
      <c r="S134" s="3"/>
    </row>
    <row r="135" spans="3:19" ht="13.5" customHeight="1" x14ac:dyDescent="0.2">
      <c r="C135" s="208">
        <v>45134</v>
      </c>
      <c r="D135" s="19">
        <v>0.64861111111111114</v>
      </c>
      <c r="E135" s="3">
        <v>15</v>
      </c>
      <c r="F135" s="3">
        <v>11.85</v>
      </c>
      <c r="G135" s="3">
        <v>97.2</v>
      </c>
      <c r="H135" s="3">
        <v>7</v>
      </c>
      <c r="I135" s="3"/>
      <c r="J135" s="3"/>
      <c r="K135" s="3"/>
      <c r="L135" s="3"/>
      <c r="M135" s="3"/>
      <c r="N135" s="3"/>
      <c r="O135" s="50"/>
      <c r="P135" s="3"/>
      <c r="Q135" s="3"/>
      <c r="R135" s="3"/>
      <c r="S135" s="3"/>
    </row>
    <row r="136" spans="3:19" ht="13.5" customHeight="1" x14ac:dyDescent="0.2">
      <c r="C136" s="208">
        <v>45134</v>
      </c>
      <c r="D136" s="19">
        <v>0.64861111111111114</v>
      </c>
      <c r="E136" s="3">
        <v>20</v>
      </c>
      <c r="F136" s="3">
        <v>11.67</v>
      </c>
      <c r="G136" s="3">
        <v>94.1</v>
      </c>
      <c r="H136" s="3">
        <v>6.1</v>
      </c>
      <c r="I136" s="3"/>
      <c r="J136" s="3"/>
      <c r="K136" s="3"/>
      <c r="L136" s="3"/>
      <c r="M136" s="3"/>
      <c r="N136" s="3"/>
      <c r="O136" s="50"/>
      <c r="P136" s="3"/>
      <c r="Q136" s="3"/>
      <c r="R136" s="3"/>
      <c r="S136" s="3"/>
    </row>
    <row r="137" spans="3:19" ht="13.5" customHeight="1" x14ac:dyDescent="0.2">
      <c r="C137" s="208">
        <v>45134</v>
      </c>
      <c r="D137" s="19">
        <v>0.64861111111111114</v>
      </c>
      <c r="E137" s="3">
        <v>25</v>
      </c>
      <c r="F137" s="3">
        <v>11.57</v>
      </c>
      <c r="G137" s="3">
        <v>92</v>
      </c>
      <c r="H137" s="3">
        <v>5.6</v>
      </c>
      <c r="I137" s="3"/>
      <c r="J137" s="3"/>
      <c r="K137" s="3"/>
      <c r="L137" s="3"/>
      <c r="M137" s="3"/>
      <c r="N137" s="3"/>
      <c r="O137" s="50"/>
      <c r="P137" s="3"/>
      <c r="Q137" s="3"/>
      <c r="R137" s="3"/>
      <c r="S137" s="3"/>
    </row>
    <row r="138" spans="3:19" ht="13.5" customHeight="1" x14ac:dyDescent="0.2">
      <c r="C138" s="208">
        <v>45134</v>
      </c>
      <c r="D138" s="19">
        <v>0.64861111111111114</v>
      </c>
      <c r="E138" s="3">
        <v>30</v>
      </c>
      <c r="F138" s="3">
        <v>11.45</v>
      </c>
      <c r="G138" s="3">
        <v>90.6</v>
      </c>
      <c r="H138" s="3">
        <v>5.4</v>
      </c>
      <c r="I138" s="3"/>
      <c r="J138" s="3"/>
      <c r="K138" s="3"/>
      <c r="L138" s="3"/>
      <c r="M138" s="3"/>
      <c r="N138" s="3"/>
      <c r="O138" s="50"/>
      <c r="P138" s="3"/>
      <c r="Q138" s="3"/>
      <c r="R138" s="3"/>
      <c r="S138" s="3"/>
    </row>
    <row r="139" spans="3:19" ht="13.5" customHeight="1" x14ac:dyDescent="0.2">
      <c r="C139" s="208">
        <v>45134</v>
      </c>
      <c r="D139" s="19">
        <v>0.64861111111111114</v>
      </c>
      <c r="E139" s="3">
        <v>35</v>
      </c>
      <c r="F139" s="3">
        <v>11.26</v>
      </c>
      <c r="G139" s="3">
        <v>88.9</v>
      </c>
      <c r="H139" s="3">
        <v>5.3</v>
      </c>
      <c r="I139" s="3"/>
      <c r="J139" s="3"/>
      <c r="K139" s="3"/>
      <c r="L139" s="3"/>
      <c r="M139" s="3"/>
      <c r="N139" s="3"/>
      <c r="O139" s="50"/>
      <c r="P139" s="3"/>
      <c r="Q139" s="3"/>
      <c r="R139" s="3"/>
      <c r="S139" s="3"/>
    </row>
    <row r="140" spans="3:19" ht="13.5" customHeight="1" x14ac:dyDescent="0.2">
      <c r="C140" s="208">
        <v>45134</v>
      </c>
      <c r="D140" s="19">
        <v>0.64861111111111114</v>
      </c>
      <c r="E140" s="3">
        <v>40</v>
      </c>
      <c r="F140" s="3">
        <v>11.08</v>
      </c>
      <c r="G140" s="3">
        <v>87.2</v>
      </c>
      <c r="H140" s="3">
        <v>5.2</v>
      </c>
      <c r="I140" s="3"/>
      <c r="J140" s="3"/>
      <c r="K140" s="3"/>
      <c r="L140" s="3"/>
      <c r="M140" s="3"/>
      <c r="N140" s="3"/>
      <c r="O140" s="50"/>
      <c r="P140" s="3"/>
      <c r="Q140" s="3"/>
      <c r="R140" s="3"/>
      <c r="S140" s="3"/>
    </row>
    <row r="141" spans="3:19" ht="13.5" customHeight="1" x14ac:dyDescent="0.2">
      <c r="C141" s="208">
        <v>45134</v>
      </c>
      <c r="D141" s="19">
        <v>0.64861111111111114</v>
      </c>
      <c r="E141" s="3">
        <v>42</v>
      </c>
      <c r="F141" s="3">
        <v>10.43</v>
      </c>
      <c r="G141" s="3">
        <v>83.9</v>
      </c>
      <c r="H141" s="3">
        <v>5.2</v>
      </c>
      <c r="I141" s="3"/>
      <c r="J141" s="3"/>
      <c r="K141" s="3"/>
      <c r="L141" s="3"/>
      <c r="M141" s="3"/>
      <c r="N141" s="3"/>
      <c r="O141" s="50"/>
      <c r="P141" s="3"/>
      <c r="Q141" s="3"/>
      <c r="R141" s="3"/>
      <c r="S141" s="3"/>
    </row>
    <row r="142" spans="3:19" ht="13.5" customHeight="1" x14ac:dyDescent="0.2">
      <c r="C142" s="208"/>
      <c r="D142" s="19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50"/>
      <c r="P142" s="3"/>
      <c r="Q142" s="3"/>
      <c r="R142" s="3"/>
      <c r="S142" s="3"/>
    </row>
    <row r="143" spans="3:19" ht="13.5" customHeight="1" x14ac:dyDescent="0.2">
      <c r="C143" s="208">
        <v>45161</v>
      </c>
      <c r="D143" s="19">
        <v>0.64930555555555558</v>
      </c>
      <c r="E143" s="3"/>
      <c r="F143" s="3"/>
      <c r="G143" s="3"/>
      <c r="H143" s="3"/>
      <c r="I143" s="3"/>
      <c r="J143" s="3">
        <v>8.5</v>
      </c>
      <c r="K143" s="3">
        <v>11.5</v>
      </c>
      <c r="L143" s="3"/>
      <c r="M143" s="3"/>
      <c r="N143" s="3"/>
      <c r="O143" s="50"/>
      <c r="P143" s="3"/>
      <c r="Q143" s="3"/>
      <c r="R143" s="3"/>
      <c r="S143" s="3"/>
    </row>
    <row r="144" spans="3:19" ht="13.5" customHeight="1" x14ac:dyDescent="0.2">
      <c r="C144" s="208"/>
      <c r="D144" s="19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50"/>
      <c r="P144" s="3"/>
      <c r="Q144" s="3"/>
      <c r="R144" s="3"/>
      <c r="S144" s="3"/>
    </row>
    <row r="145" spans="3:19" ht="13.5" customHeight="1" x14ac:dyDescent="0.2">
      <c r="C145" s="208">
        <v>45188</v>
      </c>
      <c r="D145" s="19">
        <v>0.61111111111111105</v>
      </c>
      <c r="E145" s="3"/>
      <c r="F145" s="3"/>
      <c r="G145" s="3"/>
      <c r="H145" s="3"/>
      <c r="I145" s="3"/>
      <c r="J145" s="3">
        <v>10</v>
      </c>
      <c r="K145" s="3">
        <v>12</v>
      </c>
      <c r="L145" s="3"/>
      <c r="M145" s="3"/>
      <c r="N145" s="3"/>
      <c r="O145" s="50"/>
      <c r="P145" s="3"/>
      <c r="Q145" s="3"/>
      <c r="R145" s="3"/>
      <c r="S145" s="3"/>
    </row>
    <row r="146" spans="3:19" ht="13.5" customHeight="1" x14ac:dyDescent="0.2">
      <c r="C146" s="208">
        <v>45188</v>
      </c>
      <c r="D146" s="19">
        <v>0.6166666666666667</v>
      </c>
      <c r="E146" s="3">
        <v>0.1</v>
      </c>
      <c r="F146" s="3">
        <v>9.65</v>
      </c>
      <c r="G146" s="3">
        <v>103.6</v>
      </c>
      <c r="H146" s="3">
        <v>18.7</v>
      </c>
      <c r="I146" s="3"/>
      <c r="J146" s="3"/>
      <c r="K146" s="3"/>
      <c r="L146" s="3"/>
      <c r="M146" s="3"/>
      <c r="N146" s="3"/>
      <c r="O146" s="50"/>
      <c r="P146" s="3"/>
      <c r="Q146" s="3"/>
      <c r="R146" s="3"/>
      <c r="S146" s="3"/>
    </row>
    <row r="147" spans="3:19" ht="13.5" customHeight="1" x14ac:dyDescent="0.2">
      <c r="C147" s="208">
        <v>45188</v>
      </c>
      <c r="D147" s="19">
        <v>0.6166666666666667</v>
      </c>
      <c r="E147" s="3">
        <v>1</v>
      </c>
      <c r="F147" s="3">
        <v>9.6199999999999992</v>
      </c>
      <c r="G147" s="3">
        <v>103.3</v>
      </c>
      <c r="H147" s="3">
        <v>18.8</v>
      </c>
      <c r="I147" s="3"/>
      <c r="J147" s="3"/>
      <c r="K147" s="3"/>
      <c r="L147" s="3"/>
      <c r="M147" s="3"/>
      <c r="N147" s="3"/>
      <c r="O147" s="50"/>
      <c r="P147" s="3"/>
      <c r="Q147" s="3"/>
      <c r="R147" s="3"/>
      <c r="S147" s="3"/>
    </row>
    <row r="148" spans="3:19" ht="13.5" customHeight="1" x14ac:dyDescent="0.2">
      <c r="C148" s="208">
        <v>45188</v>
      </c>
      <c r="D148" s="19">
        <v>0.6166666666666667</v>
      </c>
      <c r="E148" s="3">
        <v>2</v>
      </c>
      <c r="F148" s="3">
        <v>9.58</v>
      </c>
      <c r="G148" s="3">
        <v>103.1</v>
      </c>
      <c r="H148" s="3">
        <v>18.899999999999999</v>
      </c>
      <c r="I148" s="3"/>
      <c r="J148" s="3"/>
      <c r="K148" s="3"/>
      <c r="L148" s="3"/>
      <c r="M148" s="3"/>
      <c r="N148" s="3"/>
      <c r="O148" s="50"/>
      <c r="P148" s="3"/>
      <c r="Q148" s="3"/>
      <c r="R148" s="3"/>
      <c r="S148" s="3"/>
    </row>
    <row r="149" spans="3:19" ht="13.5" customHeight="1" x14ac:dyDescent="0.2">
      <c r="C149" s="208">
        <v>45188</v>
      </c>
      <c r="D149" s="19">
        <v>0.6166666666666667</v>
      </c>
      <c r="E149" s="3">
        <v>3</v>
      </c>
      <c r="F149" s="3">
        <v>9.56</v>
      </c>
      <c r="G149" s="3">
        <v>102.8</v>
      </c>
      <c r="H149" s="3">
        <v>18.899999999999999</v>
      </c>
      <c r="I149" s="3"/>
      <c r="J149" s="3"/>
      <c r="K149" s="3"/>
      <c r="L149" s="3"/>
      <c r="M149" s="3"/>
      <c r="N149" s="3"/>
      <c r="O149" s="50"/>
      <c r="P149" s="3"/>
      <c r="Q149" s="3"/>
      <c r="R149" s="3"/>
      <c r="S149" s="3"/>
    </row>
    <row r="150" spans="3:19" ht="13.5" customHeight="1" x14ac:dyDescent="0.2">
      <c r="C150" s="208">
        <v>45188</v>
      </c>
      <c r="D150" s="19">
        <v>0.6166666666666667</v>
      </c>
      <c r="E150" s="3">
        <v>4</v>
      </c>
      <c r="F150" s="3">
        <v>9.5299999999999994</v>
      </c>
      <c r="G150" s="3">
        <v>102.6</v>
      </c>
      <c r="H150" s="3">
        <v>18.899999999999999</v>
      </c>
      <c r="I150" s="3"/>
      <c r="J150" s="3"/>
      <c r="K150" s="3"/>
      <c r="L150" s="3"/>
      <c r="M150" s="3"/>
      <c r="N150" s="3"/>
      <c r="O150" s="50"/>
      <c r="P150" s="3"/>
      <c r="Q150" s="3"/>
      <c r="R150" s="3"/>
      <c r="S150" s="3"/>
    </row>
    <row r="151" spans="3:19" ht="13.5" customHeight="1" x14ac:dyDescent="0.2">
      <c r="C151" s="208">
        <v>45188</v>
      </c>
      <c r="D151" s="19">
        <v>0.6166666666666667</v>
      </c>
      <c r="E151" s="3">
        <v>5</v>
      </c>
      <c r="F151" s="3">
        <v>9.52</v>
      </c>
      <c r="G151" s="3">
        <v>102.4</v>
      </c>
      <c r="H151" s="3">
        <v>18.899999999999999</v>
      </c>
      <c r="I151" s="3"/>
      <c r="J151" s="3"/>
      <c r="K151" s="3"/>
      <c r="L151" s="3"/>
      <c r="M151" s="3"/>
      <c r="N151" s="3"/>
      <c r="O151" s="50"/>
      <c r="P151" s="3"/>
      <c r="Q151" s="3"/>
      <c r="R151" s="3"/>
      <c r="S151" s="3"/>
    </row>
    <row r="152" spans="3:19" ht="13.5" customHeight="1" x14ac:dyDescent="0.2">
      <c r="C152" s="208">
        <v>45188</v>
      </c>
      <c r="D152" s="19">
        <v>0.6166666666666667</v>
      </c>
      <c r="E152" s="3">
        <v>6</v>
      </c>
      <c r="F152" s="3">
        <v>9.48</v>
      </c>
      <c r="G152" s="3">
        <v>102.1</v>
      </c>
      <c r="H152" s="3">
        <v>19</v>
      </c>
      <c r="I152" s="3"/>
      <c r="J152" s="3"/>
      <c r="K152" s="3"/>
      <c r="L152" s="3"/>
      <c r="M152" s="3"/>
      <c r="N152" s="3"/>
      <c r="O152" s="50"/>
      <c r="P152" s="3"/>
      <c r="Q152" s="3"/>
      <c r="R152" s="3"/>
      <c r="S152" s="3"/>
    </row>
    <row r="153" spans="3:19" ht="13.5" customHeight="1" x14ac:dyDescent="0.2">
      <c r="C153" s="208">
        <v>45188</v>
      </c>
      <c r="D153" s="19">
        <v>0.6166666666666667</v>
      </c>
      <c r="E153" s="3">
        <v>7</v>
      </c>
      <c r="F153" s="3">
        <v>9.4600000000000009</v>
      </c>
      <c r="G153" s="3">
        <v>102</v>
      </c>
      <c r="H153" s="3">
        <v>19</v>
      </c>
      <c r="I153" s="3"/>
      <c r="J153" s="3"/>
      <c r="K153" s="3"/>
      <c r="L153" s="3"/>
      <c r="M153" s="3"/>
      <c r="N153" s="3"/>
      <c r="O153" s="50"/>
      <c r="P153" s="3"/>
      <c r="Q153" s="3"/>
      <c r="R153" s="3"/>
      <c r="S153" s="3"/>
    </row>
    <row r="154" spans="3:19" ht="13.5" customHeight="1" x14ac:dyDescent="0.2">
      <c r="C154" s="208">
        <v>45188</v>
      </c>
      <c r="D154" s="19">
        <v>0.6166666666666667</v>
      </c>
      <c r="E154" s="3">
        <v>8</v>
      </c>
      <c r="F154" s="3">
        <v>9.44</v>
      </c>
      <c r="G154" s="3">
        <v>101.8</v>
      </c>
      <c r="H154" s="3">
        <v>19</v>
      </c>
      <c r="I154" s="3"/>
      <c r="J154" s="3"/>
      <c r="K154" s="3"/>
      <c r="L154" s="3"/>
      <c r="M154" s="3"/>
      <c r="N154" s="3"/>
      <c r="O154" s="50"/>
      <c r="P154" s="3"/>
      <c r="Q154" s="3"/>
      <c r="R154" s="3"/>
      <c r="S154" s="3"/>
    </row>
    <row r="155" spans="3:19" ht="13.5" customHeight="1" x14ac:dyDescent="0.2">
      <c r="C155" s="208">
        <v>45188</v>
      </c>
      <c r="D155" s="19">
        <v>0.6166666666666667</v>
      </c>
      <c r="E155" s="3">
        <v>9</v>
      </c>
      <c r="F155" s="3">
        <v>9.43</v>
      </c>
      <c r="G155" s="3">
        <v>101.6</v>
      </c>
      <c r="H155" s="3">
        <v>19</v>
      </c>
      <c r="I155" s="3"/>
      <c r="J155" s="3"/>
      <c r="K155" s="3"/>
      <c r="L155" s="3"/>
      <c r="M155" s="3"/>
      <c r="N155" s="3"/>
      <c r="O155" s="50"/>
      <c r="P155" s="3"/>
      <c r="Q155" s="3"/>
      <c r="R155" s="3"/>
      <c r="S155" s="3"/>
    </row>
    <row r="156" spans="3:19" ht="13.5" customHeight="1" x14ac:dyDescent="0.2">
      <c r="C156" s="208">
        <v>45188</v>
      </c>
      <c r="D156" s="19">
        <v>0.6166666666666667</v>
      </c>
      <c r="E156" s="3">
        <v>10</v>
      </c>
      <c r="F156" s="3">
        <v>10.35</v>
      </c>
      <c r="G156" s="3">
        <v>108.6</v>
      </c>
      <c r="H156" s="3">
        <v>17.600000000000001</v>
      </c>
      <c r="I156" s="3"/>
      <c r="J156" s="3"/>
      <c r="K156" s="3"/>
      <c r="L156" s="3"/>
      <c r="M156" s="3"/>
      <c r="N156" s="3"/>
      <c r="O156" s="50"/>
      <c r="P156" s="3"/>
      <c r="Q156" s="3"/>
      <c r="R156" s="3"/>
      <c r="S156" s="3"/>
    </row>
    <row r="157" spans="3:19" ht="13.5" customHeight="1" x14ac:dyDescent="0.2">
      <c r="C157" s="208">
        <v>45188</v>
      </c>
      <c r="D157" s="19">
        <v>0.6166666666666667</v>
      </c>
      <c r="E157" s="3">
        <v>11</v>
      </c>
      <c r="F157" s="3">
        <v>12.37</v>
      </c>
      <c r="G157" s="3">
        <v>116.5</v>
      </c>
      <c r="H157" s="3">
        <v>12.6</v>
      </c>
      <c r="I157" s="3"/>
      <c r="J157" s="3"/>
      <c r="K157" s="3"/>
      <c r="L157" s="3"/>
      <c r="M157" s="3"/>
      <c r="N157" s="3"/>
      <c r="O157" s="50"/>
      <c r="P157" s="3"/>
      <c r="Q157" s="3"/>
      <c r="R157" s="3"/>
      <c r="S157" s="3"/>
    </row>
    <row r="158" spans="3:19" ht="13.5" customHeight="1" x14ac:dyDescent="0.2">
      <c r="C158" s="208">
        <v>45188</v>
      </c>
      <c r="D158" s="19">
        <v>0.6166666666666667</v>
      </c>
      <c r="E158" s="3">
        <v>15</v>
      </c>
      <c r="F158" s="3">
        <v>11.7</v>
      </c>
      <c r="G158" s="3">
        <v>96.3</v>
      </c>
      <c r="H158" s="3">
        <v>7</v>
      </c>
      <c r="I158" s="3"/>
      <c r="J158" s="3"/>
      <c r="K158" s="3"/>
      <c r="L158" s="3"/>
      <c r="M158" s="3"/>
      <c r="N158" s="3"/>
      <c r="O158" s="50"/>
      <c r="P158" s="3"/>
      <c r="Q158" s="3"/>
      <c r="R158" s="3"/>
      <c r="S158" s="3"/>
    </row>
    <row r="159" spans="3:19" ht="13.5" customHeight="1" x14ac:dyDescent="0.2">
      <c r="C159" s="208">
        <v>45188</v>
      </c>
      <c r="D159" s="19">
        <v>0.6166666666666667</v>
      </c>
      <c r="E159" s="3">
        <v>20</v>
      </c>
      <c r="F159" s="3">
        <v>11.43</v>
      </c>
      <c r="G159" s="3">
        <v>92.2</v>
      </c>
      <c r="H159" s="3">
        <v>6.3</v>
      </c>
      <c r="I159" s="3"/>
      <c r="J159" s="3"/>
      <c r="K159" s="3"/>
      <c r="L159" s="3"/>
      <c r="M159" s="3"/>
      <c r="N159" s="3"/>
      <c r="O159" s="50"/>
      <c r="P159" s="3"/>
      <c r="Q159" s="3"/>
      <c r="R159" s="3"/>
      <c r="S159" s="3"/>
    </row>
    <row r="160" spans="3:19" ht="13.5" customHeight="1" x14ac:dyDescent="0.2">
      <c r="C160" s="208">
        <v>45188</v>
      </c>
      <c r="D160" s="19">
        <v>0.6166666666666667</v>
      </c>
      <c r="E160" s="3">
        <v>25</v>
      </c>
      <c r="F160" s="3">
        <v>11.21</v>
      </c>
      <c r="G160" s="3">
        <v>89.8</v>
      </c>
      <c r="H160" s="3">
        <v>6</v>
      </c>
      <c r="I160" s="3"/>
      <c r="J160" s="3"/>
      <c r="K160" s="3"/>
      <c r="L160" s="3"/>
      <c r="M160" s="3"/>
      <c r="N160" s="3"/>
      <c r="O160" s="50"/>
      <c r="P160" s="3"/>
      <c r="Q160" s="3"/>
      <c r="R160" s="3"/>
      <c r="S160" s="3"/>
    </row>
    <row r="161" spans="3:19" ht="13.5" customHeight="1" x14ac:dyDescent="0.2">
      <c r="C161" s="208">
        <v>45188</v>
      </c>
      <c r="D161" s="19">
        <v>0.6166666666666667</v>
      </c>
      <c r="E161" s="3">
        <v>30</v>
      </c>
      <c r="F161" s="3">
        <v>11.1</v>
      </c>
      <c r="G161" s="3">
        <v>88.5</v>
      </c>
      <c r="H161" s="3">
        <v>5.7</v>
      </c>
      <c r="I161" s="3"/>
      <c r="J161" s="3"/>
      <c r="K161" s="3"/>
      <c r="L161" s="3"/>
      <c r="M161" s="3"/>
      <c r="N161" s="3"/>
      <c r="O161" s="50"/>
      <c r="P161" s="3"/>
      <c r="Q161" s="3"/>
      <c r="R161" s="3"/>
      <c r="S161" s="3"/>
    </row>
    <row r="162" spans="3:19" ht="13.5" customHeight="1" x14ac:dyDescent="0.2">
      <c r="C162" s="208">
        <v>45188</v>
      </c>
      <c r="D162" s="19">
        <v>0.6166666666666667</v>
      </c>
      <c r="E162" s="3">
        <v>35</v>
      </c>
      <c r="F162" s="3">
        <v>10.98</v>
      </c>
      <c r="G162" s="3">
        <v>87.2</v>
      </c>
      <c r="H162" s="3">
        <v>5.6</v>
      </c>
      <c r="I162" s="3"/>
      <c r="J162" s="3"/>
      <c r="K162" s="3"/>
      <c r="L162" s="3"/>
      <c r="M162" s="3"/>
      <c r="N162" s="3"/>
      <c r="O162" s="50"/>
      <c r="P162" s="3"/>
      <c r="Q162" s="3"/>
      <c r="R162" s="3"/>
      <c r="S162" s="3"/>
    </row>
    <row r="163" spans="3:19" ht="13.5" customHeight="1" x14ac:dyDescent="0.2">
      <c r="C163" s="208">
        <v>45188</v>
      </c>
      <c r="D163" s="19">
        <v>0.6166666666666667</v>
      </c>
      <c r="E163" s="3">
        <v>40</v>
      </c>
      <c r="F163" s="3">
        <v>10.67</v>
      </c>
      <c r="G163" s="3">
        <v>84.5</v>
      </c>
      <c r="H163" s="3">
        <v>5.5</v>
      </c>
      <c r="I163" s="3"/>
      <c r="J163" s="3"/>
      <c r="K163" s="3"/>
      <c r="L163" s="3"/>
      <c r="M163" s="3"/>
      <c r="N163" s="3"/>
      <c r="O163" s="50"/>
      <c r="P163" s="3"/>
      <c r="Q163" s="3"/>
      <c r="R163" s="3"/>
      <c r="S163" s="3"/>
    </row>
    <row r="164" spans="3:19" ht="13.5" customHeight="1" x14ac:dyDescent="0.2">
      <c r="C164" s="208">
        <v>45188</v>
      </c>
      <c r="D164" s="19">
        <v>0.6166666666666667</v>
      </c>
      <c r="E164" s="3">
        <v>42</v>
      </c>
      <c r="F164" s="3">
        <v>10.53</v>
      </c>
      <c r="G164" s="3">
        <v>83.3</v>
      </c>
      <c r="H164" s="3">
        <v>5.4</v>
      </c>
      <c r="I164" s="3"/>
      <c r="J164" s="3"/>
      <c r="K164" s="3"/>
      <c r="L164" s="3"/>
      <c r="M164" s="3"/>
      <c r="N164" s="3"/>
      <c r="O164" s="50"/>
      <c r="P164" s="3"/>
      <c r="Q164" s="3"/>
      <c r="R164" s="3"/>
      <c r="S164" s="3"/>
    </row>
    <row r="165" spans="3:19" ht="13.5" customHeight="1" x14ac:dyDescent="0.2">
      <c r="C165" s="208"/>
      <c r="D165" s="19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50"/>
      <c r="P165" s="3"/>
      <c r="Q165" s="3"/>
      <c r="R165" s="3"/>
      <c r="S165" s="3"/>
    </row>
    <row r="166" spans="3:19" ht="13.5" customHeight="1" x14ac:dyDescent="0.2">
      <c r="C166" s="208"/>
      <c r="D166" s="19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50"/>
      <c r="P166" s="3"/>
      <c r="Q166" s="3"/>
      <c r="R166" s="3"/>
      <c r="S166" s="3"/>
    </row>
    <row r="167" spans="3:19" ht="13.5" customHeight="1" x14ac:dyDescent="0.2">
      <c r="C167" s="208"/>
      <c r="D167" s="19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50"/>
      <c r="P167" s="3"/>
      <c r="Q167" s="3"/>
      <c r="R167" s="3"/>
      <c r="S167" s="3"/>
    </row>
    <row r="168" spans="3:19" ht="13.5" customHeight="1" x14ac:dyDescent="0.2">
      <c r="C168" s="208">
        <v>44738</v>
      </c>
      <c r="D168" s="19">
        <v>0.55555555555555558</v>
      </c>
      <c r="E168" s="3"/>
      <c r="F168" s="3"/>
      <c r="G168" s="3"/>
      <c r="H168" s="3"/>
      <c r="I168" s="3"/>
      <c r="J168" s="3">
        <v>5.5</v>
      </c>
      <c r="K168" s="3">
        <v>6</v>
      </c>
      <c r="L168" s="3"/>
      <c r="M168" s="3"/>
      <c r="N168" s="3"/>
      <c r="O168" s="50"/>
      <c r="P168" s="3"/>
      <c r="Q168" s="3"/>
      <c r="R168" s="3"/>
      <c r="S168" s="3"/>
    </row>
    <row r="169" spans="3:19" ht="13.5" customHeight="1" x14ac:dyDescent="0.2">
      <c r="C169" s="208">
        <v>44738</v>
      </c>
      <c r="D169" s="19">
        <v>0.56597222222222221</v>
      </c>
      <c r="E169" s="3">
        <v>0.1</v>
      </c>
      <c r="F169" s="3">
        <v>8.58</v>
      </c>
      <c r="G169" s="3">
        <v>88.7</v>
      </c>
      <c r="H169" s="3">
        <v>16.899999999999999</v>
      </c>
      <c r="I169" s="3"/>
      <c r="J169" s="3"/>
      <c r="K169" s="3"/>
      <c r="L169" s="3"/>
      <c r="M169" s="3"/>
      <c r="N169" s="3"/>
      <c r="O169" s="50"/>
      <c r="P169" s="3"/>
      <c r="Q169" s="3"/>
      <c r="R169" s="3"/>
      <c r="S169" s="3"/>
    </row>
    <row r="170" spans="3:19" ht="13.5" customHeight="1" x14ac:dyDescent="0.2">
      <c r="C170" s="208">
        <v>44738</v>
      </c>
      <c r="D170" s="19">
        <v>0.56597222222222221</v>
      </c>
      <c r="E170" s="3">
        <v>1</v>
      </c>
      <c r="F170" s="3">
        <v>8.67</v>
      </c>
      <c r="G170" s="3">
        <v>89.5</v>
      </c>
      <c r="H170" s="3">
        <v>16.899999999999999</v>
      </c>
      <c r="I170" s="3"/>
      <c r="J170" s="3"/>
      <c r="K170" s="3"/>
      <c r="L170" s="3"/>
      <c r="M170" s="3"/>
      <c r="N170" s="3"/>
      <c r="O170" s="50"/>
      <c r="P170" s="3"/>
      <c r="Q170" s="3"/>
      <c r="R170" s="3"/>
      <c r="S170" s="3"/>
    </row>
    <row r="171" spans="3:19" ht="13.5" customHeight="1" x14ac:dyDescent="0.2">
      <c r="C171" s="208">
        <v>44738</v>
      </c>
      <c r="D171" s="19">
        <v>0.56597222222222221</v>
      </c>
      <c r="E171" s="3">
        <v>2</v>
      </c>
      <c r="F171" s="3">
        <v>8.66</v>
      </c>
      <c r="G171" s="3">
        <v>89.4</v>
      </c>
      <c r="H171" s="3">
        <v>16.899999999999999</v>
      </c>
      <c r="I171" s="3"/>
      <c r="J171" s="3"/>
      <c r="K171" s="3"/>
      <c r="L171" s="3"/>
      <c r="M171" s="3"/>
      <c r="N171" s="3"/>
      <c r="O171" s="50"/>
      <c r="P171" s="3"/>
      <c r="Q171" s="3"/>
      <c r="R171" s="3"/>
      <c r="S171" s="3"/>
    </row>
    <row r="172" spans="3:19" ht="13.5" customHeight="1" x14ac:dyDescent="0.2">
      <c r="C172" s="208">
        <v>44738</v>
      </c>
      <c r="D172" s="19">
        <v>0.56597222222222221</v>
      </c>
      <c r="E172" s="3">
        <v>3</v>
      </c>
      <c r="F172" s="3">
        <v>8.73</v>
      </c>
      <c r="G172" s="3">
        <v>88.8</v>
      </c>
      <c r="H172" s="3">
        <v>16.2</v>
      </c>
      <c r="I172" s="3"/>
      <c r="J172" s="3"/>
      <c r="K172" s="3"/>
      <c r="L172" s="3"/>
      <c r="M172" s="3"/>
      <c r="N172" s="3"/>
      <c r="O172" s="50"/>
      <c r="P172" s="3"/>
      <c r="Q172" s="3"/>
      <c r="R172" s="3"/>
      <c r="S172" s="3"/>
    </row>
    <row r="173" spans="3:19" ht="13.5" customHeight="1" x14ac:dyDescent="0.2">
      <c r="C173" s="208">
        <v>44738</v>
      </c>
      <c r="D173" s="19">
        <v>0.56597222222222221</v>
      </c>
      <c r="E173" s="3">
        <v>4</v>
      </c>
      <c r="F173" s="3">
        <v>8.7799999999999994</v>
      </c>
      <c r="G173" s="3">
        <v>88.6</v>
      </c>
      <c r="H173" s="3">
        <v>15.8</v>
      </c>
      <c r="I173" s="3"/>
      <c r="J173" s="3"/>
      <c r="K173" s="3"/>
      <c r="L173" s="3"/>
      <c r="M173" s="3"/>
      <c r="N173" s="3"/>
      <c r="O173" s="50"/>
      <c r="P173" s="3"/>
      <c r="Q173" s="3"/>
      <c r="R173" s="3"/>
      <c r="S173" s="3"/>
    </row>
    <row r="174" spans="3:19" ht="13.5" customHeight="1" x14ac:dyDescent="0.2">
      <c r="C174" s="208">
        <v>44738</v>
      </c>
      <c r="D174" s="19">
        <v>0.56597222222222221</v>
      </c>
      <c r="E174" s="3">
        <v>5</v>
      </c>
      <c r="F174" s="3">
        <v>8.76</v>
      </c>
      <c r="G174" s="3">
        <v>88</v>
      </c>
      <c r="H174" s="3">
        <v>16.600000000000001</v>
      </c>
      <c r="I174" s="3"/>
      <c r="J174" s="3"/>
      <c r="K174" s="3"/>
      <c r="L174" s="3"/>
      <c r="M174" s="3"/>
      <c r="N174" s="3"/>
      <c r="O174" s="50"/>
      <c r="P174" s="3"/>
      <c r="Q174" s="3"/>
      <c r="R174" s="3"/>
      <c r="S174" s="3"/>
    </row>
    <row r="175" spans="3:19" ht="13.5" customHeight="1" x14ac:dyDescent="0.2">
      <c r="C175" s="208">
        <v>44738</v>
      </c>
      <c r="D175" s="19">
        <v>0.56597222222222221</v>
      </c>
      <c r="E175" s="3">
        <v>6</v>
      </c>
      <c r="F175" s="3">
        <v>8.8000000000000007</v>
      </c>
      <c r="G175" s="3">
        <v>87.9</v>
      </c>
      <c r="H175" s="3">
        <v>15.3</v>
      </c>
      <c r="I175" s="3"/>
      <c r="J175" s="3"/>
      <c r="K175" s="3"/>
      <c r="L175" s="3"/>
      <c r="M175" s="3"/>
      <c r="N175" s="3"/>
      <c r="O175" s="50"/>
      <c r="P175" s="3"/>
      <c r="Q175" s="3"/>
      <c r="R175" s="3"/>
      <c r="S175" s="3"/>
    </row>
    <row r="176" spans="3:19" ht="13.5" customHeight="1" x14ac:dyDescent="0.2">
      <c r="C176" s="208">
        <v>44738</v>
      </c>
      <c r="D176" s="19">
        <v>0.56597222222222221</v>
      </c>
      <c r="E176" s="3">
        <v>7</v>
      </c>
      <c r="F176" s="3">
        <v>8.81</v>
      </c>
      <c r="G176" s="3">
        <v>87.7</v>
      </c>
      <c r="H176" s="3">
        <v>15.2</v>
      </c>
      <c r="I176" s="3"/>
      <c r="J176" s="3"/>
      <c r="K176" s="3"/>
      <c r="L176" s="3"/>
      <c r="M176" s="3"/>
      <c r="N176" s="3"/>
      <c r="O176" s="50"/>
      <c r="P176" s="3"/>
      <c r="Q176" s="3"/>
      <c r="R176" s="3"/>
      <c r="S176" s="3"/>
    </row>
    <row r="177" spans="3:19" ht="13.5" customHeight="1" x14ac:dyDescent="0.2">
      <c r="C177" s="208">
        <v>44738</v>
      </c>
      <c r="D177" s="19">
        <v>0.56597222222222221</v>
      </c>
      <c r="E177" s="3">
        <v>8</v>
      </c>
      <c r="F177" s="3">
        <v>8.8000000000000007</v>
      </c>
      <c r="G177" s="3">
        <v>87.4</v>
      </c>
      <c r="H177" s="3">
        <v>15.1</v>
      </c>
      <c r="I177" s="3"/>
      <c r="J177" s="3"/>
      <c r="K177" s="3"/>
      <c r="L177" s="3"/>
      <c r="M177" s="3"/>
      <c r="N177" s="3"/>
      <c r="O177" s="50"/>
      <c r="P177" s="3"/>
      <c r="Q177" s="3"/>
      <c r="R177" s="3"/>
      <c r="S177" s="3"/>
    </row>
    <row r="178" spans="3:19" ht="13.5" customHeight="1" x14ac:dyDescent="0.2">
      <c r="C178" s="208">
        <v>44738</v>
      </c>
      <c r="D178" s="19">
        <v>0.56597222222222221</v>
      </c>
      <c r="E178" s="3">
        <v>9</v>
      </c>
      <c r="F178" s="3">
        <v>8.77</v>
      </c>
      <c r="G178" s="3">
        <v>87.2</v>
      </c>
      <c r="H178" s="3">
        <v>15.1</v>
      </c>
      <c r="I178" s="3"/>
      <c r="J178" s="3"/>
      <c r="K178" s="3"/>
      <c r="L178" s="3"/>
      <c r="M178" s="3"/>
      <c r="N178" s="3"/>
      <c r="O178" s="50"/>
      <c r="P178" s="3"/>
      <c r="Q178" s="3"/>
      <c r="R178" s="3"/>
      <c r="S178" s="3"/>
    </row>
    <row r="179" spans="3:19" ht="13.5" customHeight="1" x14ac:dyDescent="0.2">
      <c r="C179" s="208">
        <v>44738</v>
      </c>
      <c r="D179" s="19">
        <v>0.56597222222222221</v>
      </c>
      <c r="E179" s="3">
        <v>10</v>
      </c>
      <c r="F179" s="3">
        <v>8.77</v>
      </c>
      <c r="G179" s="3">
        <v>87</v>
      </c>
      <c r="H179" s="3">
        <v>15</v>
      </c>
      <c r="I179" s="3"/>
      <c r="J179" s="3"/>
      <c r="K179" s="3"/>
      <c r="L179" s="3"/>
      <c r="M179" s="3"/>
      <c r="N179" s="3"/>
      <c r="O179" s="50"/>
      <c r="P179" s="3"/>
      <c r="Q179" s="3"/>
      <c r="R179" s="3"/>
      <c r="S179" s="3"/>
    </row>
    <row r="180" spans="3:19" ht="13.5" customHeight="1" x14ac:dyDescent="0.2">
      <c r="C180" s="208">
        <v>44738</v>
      </c>
      <c r="D180" s="19">
        <v>0.56597222222222221</v>
      </c>
      <c r="E180" s="3">
        <v>11</v>
      </c>
      <c r="F180" s="3">
        <v>8.77</v>
      </c>
      <c r="G180" s="3">
        <v>86.8</v>
      </c>
      <c r="H180" s="3">
        <v>14.9</v>
      </c>
      <c r="I180" s="3"/>
      <c r="J180" s="3"/>
      <c r="K180" s="3"/>
      <c r="L180" s="3"/>
      <c r="M180" s="3"/>
      <c r="N180" s="3"/>
      <c r="O180" s="50"/>
      <c r="P180" s="3"/>
      <c r="Q180" s="3"/>
      <c r="R180" s="3"/>
      <c r="S180" s="3"/>
    </row>
    <row r="181" spans="3:19" ht="13.5" customHeight="1" x14ac:dyDescent="0.2">
      <c r="C181" s="208">
        <v>44738</v>
      </c>
      <c r="D181" s="19">
        <v>0.56597222222222221</v>
      </c>
      <c r="E181" s="3">
        <v>12</v>
      </c>
      <c r="F181" s="3">
        <v>8.76</v>
      </c>
      <c r="G181" s="3">
        <v>86.5</v>
      </c>
      <c r="H181" s="3">
        <v>14.8</v>
      </c>
      <c r="I181" s="3"/>
      <c r="J181" s="3"/>
      <c r="K181" s="3"/>
      <c r="L181" s="3"/>
      <c r="M181" s="3"/>
      <c r="N181" s="3"/>
      <c r="O181" s="50"/>
      <c r="P181" s="3"/>
      <c r="Q181" s="3"/>
      <c r="R181" s="3"/>
      <c r="S181" s="3"/>
    </row>
    <row r="182" spans="3:19" ht="13.5" customHeight="1" x14ac:dyDescent="0.2">
      <c r="C182" s="208">
        <v>44738</v>
      </c>
      <c r="D182" s="19">
        <v>0.56597222222222221</v>
      </c>
      <c r="E182" s="3">
        <v>13</v>
      </c>
      <c r="F182" s="3">
        <v>8.76</v>
      </c>
      <c r="G182" s="3">
        <v>86.3</v>
      </c>
      <c r="H182" s="3">
        <v>14.7</v>
      </c>
      <c r="I182" s="3"/>
      <c r="J182" s="3"/>
      <c r="K182" s="3"/>
      <c r="L182" s="3"/>
      <c r="M182" s="3"/>
      <c r="N182" s="3"/>
      <c r="O182" s="50"/>
      <c r="P182" s="3"/>
      <c r="Q182" s="3"/>
      <c r="R182" s="3"/>
      <c r="S182" s="3"/>
    </row>
    <row r="183" spans="3:19" ht="13.5" customHeight="1" x14ac:dyDescent="0.2">
      <c r="C183" s="208">
        <v>44738</v>
      </c>
      <c r="D183" s="19">
        <v>0.56597222222222221</v>
      </c>
      <c r="E183" s="3">
        <v>14</v>
      </c>
      <c r="F183" s="3">
        <v>8.76</v>
      </c>
      <c r="G183" s="3">
        <v>86.3</v>
      </c>
      <c r="H183" s="3">
        <v>14.7</v>
      </c>
      <c r="I183" s="3"/>
      <c r="J183" s="3"/>
      <c r="K183" s="3"/>
      <c r="L183" s="3"/>
      <c r="M183" s="3"/>
      <c r="N183" s="3"/>
      <c r="O183" s="50"/>
      <c r="P183" s="3"/>
      <c r="Q183" s="3"/>
      <c r="R183" s="3"/>
      <c r="S183" s="3"/>
    </row>
    <row r="184" spans="3:19" ht="13.5" customHeight="1" x14ac:dyDescent="0.2">
      <c r="C184" s="208">
        <v>44738</v>
      </c>
      <c r="D184" s="19">
        <v>0.56597222222222221</v>
      </c>
      <c r="E184" s="3">
        <v>15</v>
      </c>
      <c r="F184" s="3">
        <v>8.77</v>
      </c>
      <c r="G184" s="3">
        <v>86.3</v>
      </c>
      <c r="H184" s="3">
        <v>14.6</v>
      </c>
      <c r="I184" s="3"/>
      <c r="J184" s="3"/>
      <c r="K184" s="3"/>
      <c r="L184" s="3"/>
      <c r="M184" s="3"/>
      <c r="N184" s="3"/>
      <c r="O184" s="50"/>
      <c r="P184" s="3"/>
      <c r="Q184" s="3"/>
      <c r="R184" s="3"/>
      <c r="S184" s="3"/>
    </row>
    <row r="185" spans="3:19" ht="13.5" customHeight="1" x14ac:dyDescent="0.2">
      <c r="C185" s="208">
        <v>44738</v>
      </c>
      <c r="D185" s="19">
        <v>0.56597222222222221</v>
      </c>
      <c r="E185" s="3">
        <v>16</v>
      </c>
      <c r="F185" s="3">
        <v>8.7799999999999994</v>
      </c>
      <c r="G185" s="3">
        <v>86.2</v>
      </c>
      <c r="H185" s="3">
        <v>14.5</v>
      </c>
      <c r="I185" s="3"/>
      <c r="J185" s="3"/>
      <c r="K185" s="3"/>
      <c r="L185" s="3"/>
      <c r="M185" s="3"/>
      <c r="N185" s="3"/>
      <c r="O185" s="50"/>
      <c r="P185" s="3"/>
      <c r="Q185" s="3"/>
      <c r="R185" s="3"/>
      <c r="S185" s="3"/>
    </row>
    <row r="186" spans="3:19" ht="13.5" customHeight="1" x14ac:dyDescent="0.2">
      <c r="C186" s="208">
        <v>44738</v>
      </c>
      <c r="D186" s="19">
        <v>0.56597222222222221</v>
      </c>
      <c r="E186" s="3">
        <v>17</v>
      </c>
      <c r="F186" s="3">
        <v>8.77</v>
      </c>
      <c r="G186" s="3">
        <v>84.9</v>
      </c>
      <c r="H186" s="3">
        <v>13.9</v>
      </c>
      <c r="I186" s="3"/>
      <c r="J186" s="3"/>
      <c r="K186" s="3"/>
      <c r="L186" s="3"/>
      <c r="M186" s="3"/>
      <c r="N186" s="3"/>
      <c r="O186" s="50"/>
      <c r="P186" s="3"/>
      <c r="Q186" s="3"/>
      <c r="R186" s="3"/>
      <c r="S186" s="3"/>
    </row>
    <row r="187" spans="3:19" ht="13.5" customHeight="1" x14ac:dyDescent="0.2">
      <c r="C187" s="208">
        <v>44738</v>
      </c>
      <c r="D187" s="19">
        <v>0.56597222222222221</v>
      </c>
      <c r="E187" s="3">
        <v>18</v>
      </c>
      <c r="F187" s="3">
        <v>8.98</v>
      </c>
      <c r="G187" s="3">
        <v>77.900000000000006</v>
      </c>
      <c r="H187" s="3">
        <v>9.1</v>
      </c>
      <c r="I187" s="3"/>
      <c r="J187" s="3"/>
      <c r="K187" s="3"/>
      <c r="L187" s="3"/>
      <c r="M187" s="3"/>
      <c r="N187" s="3"/>
      <c r="O187" s="50"/>
      <c r="P187" s="3"/>
      <c r="Q187" s="3"/>
      <c r="R187" s="3"/>
      <c r="S187" s="3"/>
    </row>
    <row r="188" spans="3:19" ht="13.5" customHeight="1" x14ac:dyDescent="0.2">
      <c r="C188" s="208">
        <v>44738</v>
      </c>
      <c r="D188" s="19">
        <v>0.56597222222222221</v>
      </c>
      <c r="E188" s="3">
        <v>19</v>
      </c>
      <c r="F188" s="3">
        <v>8.98</v>
      </c>
      <c r="G188" s="3">
        <v>77.099999999999994</v>
      </c>
      <c r="H188" s="3">
        <v>8.6999999999999993</v>
      </c>
      <c r="I188" s="3"/>
      <c r="J188" s="3"/>
      <c r="K188" s="3"/>
      <c r="L188" s="3"/>
      <c r="M188" s="3"/>
      <c r="N188" s="3"/>
      <c r="O188" s="50"/>
      <c r="P188" s="3"/>
      <c r="Q188" s="3"/>
      <c r="R188" s="3"/>
      <c r="S188" s="3"/>
    </row>
    <row r="189" spans="3:19" ht="13.5" customHeight="1" x14ac:dyDescent="0.2">
      <c r="C189" s="208">
        <v>44738</v>
      </c>
      <c r="D189" s="19">
        <v>0.56597222222222221</v>
      </c>
      <c r="E189" s="3">
        <v>20</v>
      </c>
      <c r="F189" s="3">
        <v>8.9600000000000009</v>
      </c>
      <c r="G189" s="3">
        <v>75.7</v>
      </c>
      <c r="H189" s="3">
        <v>8</v>
      </c>
      <c r="I189" s="3"/>
      <c r="J189" s="3"/>
      <c r="K189" s="3"/>
      <c r="L189" s="3"/>
      <c r="M189" s="3"/>
      <c r="N189" s="3"/>
      <c r="O189" s="50"/>
      <c r="P189" s="3"/>
      <c r="Q189" s="3"/>
      <c r="R189" s="3"/>
      <c r="S189" s="3"/>
    </row>
    <row r="190" spans="3:19" ht="13.5" customHeight="1" x14ac:dyDescent="0.2">
      <c r="C190" s="208">
        <v>44738</v>
      </c>
      <c r="D190" s="19">
        <v>0.56597222222222221</v>
      </c>
      <c r="E190" s="3">
        <v>22</v>
      </c>
      <c r="F190" s="3">
        <v>9.0399999999999991</v>
      </c>
      <c r="G190" s="3">
        <v>75.5</v>
      </c>
      <c r="H190" s="3">
        <v>7.6</v>
      </c>
      <c r="I190" s="3"/>
      <c r="J190" s="3"/>
      <c r="K190" s="3"/>
      <c r="L190" s="3"/>
      <c r="M190" s="3"/>
      <c r="N190" s="3"/>
      <c r="O190" s="50"/>
      <c r="P190" s="3"/>
      <c r="Q190" s="3"/>
      <c r="R190" s="3"/>
      <c r="S190" s="3"/>
    </row>
    <row r="191" spans="3:19" ht="13.5" customHeight="1" x14ac:dyDescent="0.2">
      <c r="C191" s="208">
        <v>44738</v>
      </c>
      <c r="D191" s="19">
        <v>0.56597222222222221</v>
      </c>
      <c r="E191" s="3">
        <v>24</v>
      </c>
      <c r="F191" s="3">
        <v>9.01</v>
      </c>
      <c r="G191" s="3">
        <v>74.2</v>
      </c>
      <c r="H191" s="3">
        <v>7</v>
      </c>
      <c r="I191" s="3"/>
      <c r="J191" s="3"/>
      <c r="K191" s="3"/>
      <c r="L191" s="3"/>
      <c r="M191" s="3"/>
      <c r="N191" s="3"/>
      <c r="O191" s="50"/>
      <c r="P191" s="3"/>
      <c r="Q191" s="3"/>
      <c r="R191" s="3"/>
      <c r="S191" s="3"/>
    </row>
    <row r="192" spans="3:19" ht="13.5" customHeight="1" x14ac:dyDescent="0.2">
      <c r="C192" s="208">
        <v>44738</v>
      </c>
      <c r="D192" s="19">
        <v>0.56597222222222221</v>
      </c>
      <c r="E192" s="3">
        <v>26</v>
      </c>
      <c r="F192" s="3">
        <v>9</v>
      </c>
      <c r="G192" s="3">
        <v>73.599999999999994</v>
      </c>
      <c r="H192" s="3">
        <v>6.7</v>
      </c>
      <c r="I192" s="3"/>
      <c r="J192" s="3"/>
      <c r="K192" s="3"/>
      <c r="L192" s="3"/>
      <c r="M192" s="3"/>
      <c r="N192" s="3"/>
      <c r="O192" s="50"/>
      <c r="P192" s="3"/>
      <c r="Q192" s="3"/>
      <c r="R192" s="3"/>
      <c r="S192" s="3"/>
    </row>
    <row r="193" spans="3:19" ht="13.5" customHeight="1" x14ac:dyDescent="0.2">
      <c r="C193" s="208">
        <v>44738</v>
      </c>
      <c r="D193" s="19">
        <v>0.56597222222222221</v>
      </c>
      <c r="E193" s="3">
        <v>28</v>
      </c>
      <c r="F193" s="3">
        <v>9</v>
      </c>
      <c r="G193" s="3">
        <v>73.2</v>
      </c>
      <c r="H193" s="3">
        <v>6.5</v>
      </c>
      <c r="I193" s="3"/>
      <c r="J193" s="3"/>
      <c r="K193" s="3"/>
      <c r="L193" s="3"/>
      <c r="M193" s="3"/>
      <c r="N193" s="3"/>
      <c r="O193" s="50"/>
      <c r="P193" s="3"/>
      <c r="Q193" s="3"/>
      <c r="R193" s="3"/>
      <c r="S193" s="3"/>
    </row>
    <row r="194" spans="3:19" ht="13.5" customHeight="1" x14ac:dyDescent="0.2">
      <c r="C194" s="208">
        <v>44738</v>
      </c>
      <c r="D194" s="19">
        <v>0.56597222222222221</v>
      </c>
      <c r="E194" s="3">
        <v>30</v>
      </c>
      <c r="F194" s="3">
        <v>9.02</v>
      </c>
      <c r="G194" s="3">
        <v>72.900000000000006</v>
      </c>
      <c r="H194" s="3">
        <v>6.2</v>
      </c>
      <c r="I194" s="3"/>
      <c r="J194" s="3"/>
      <c r="K194" s="3"/>
      <c r="L194" s="3"/>
      <c r="M194" s="3"/>
      <c r="N194" s="3"/>
      <c r="O194" s="50"/>
      <c r="P194" s="3"/>
      <c r="Q194" s="3"/>
      <c r="R194" s="3"/>
      <c r="S194" s="3"/>
    </row>
    <row r="195" spans="3:19" ht="13.5" customHeight="1" x14ac:dyDescent="0.2">
      <c r="C195" s="208">
        <v>44738</v>
      </c>
      <c r="D195" s="19">
        <v>0.56597222222222221</v>
      </c>
      <c r="E195" s="3">
        <v>35</v>
      </c>
      <c r="F195" s="3">
        <v>9.01</v>
      </c>
      <c r="G195" s="3">
        <v>72</v>
      </c>
      <c r="H195" s="3">
        <v>6</v>
      </c>
      <c r="I195" s="3"/>
      <c r="J195" s="3"/>
      <c r="K195" s="3"/>
      <c r="L195" s="3"/>
      <c r="M195" s="3"/>
      <c r="N195" s="3"/>
      <c r="O195" s="50"/>
      <c r="P195" s="3"/>
      <c r="Q195" s="3"/>
      <c r="R195" s="3"/>
      <c r="S195" s="3"/>
    </row>
    <row r="196" spans="3:19" ht="13.5" customHeight="1" x14ac:dyDescent="0.2">
      <c r="C196" s="208">
        <v>44738</v>
      </c>
      <c r="D196" s="19">
        <v>0.56597222222222221</v>
      </c>
      <c r="E196" s="3">
        <v>40</v>
      </c>
      <c r="F196" s="3">
        <v>6.9</v>
      </c>
      <c r="G196" s="3">
        <v>72</v>
      </c>
      <c r="H196" s="3">
        <v>6</v>
      </c>
      <c r="I196" s="3"/>
      <c r="J196" s="3"/>
      <c r="K196" s="3"/>
      <c r="L196" s="3"/>
      <c r="M196" s="3"/>
      <c r="N196" s="3"/>
      <c r="O196" s="50"/>
      <c r="P196" s="3"/>
      <c r="Q196" s="3"/>
      <c r="R196" s="3"/>
      <c r="S196" s="3"/>
    </row>
    <row r="197" spans="3:19" ht="13.5" customHeight="1" x14ac:dyDescent="0.2">
      <c r="C197" s="208">
        <v>44738</v>
      </c>
      <c r="D197" s="19">
        <v>0.56597222222222221</v>
      </c>
      <c r="E197" s="3">
        <v>45</v>
      </c>
      <c r="F197" s="3">
        <v>8.9</v>
      </c>
      <c r="G197" s="3">
        <v>70.7</v>
      </c>
      <c r="H197" s="3">
        <v>5.6</v>
      </c>
      <c r="I197" s="3"/>
      <c r="J197" s="3"/>
      <c r="K197" s="3"/>
      <c r="L197" s="3"/>
      <c r="M197" s="3"/>
      <c r="N197" s="3"/>
      <c r="O197" s="50"/>
      <c r="P197" s="3"/>
      <c r="Q197" s="3"/>
      <c r="R197" s="3"/>
      <c r="S197" s="3"/>
    </row>
    <row r="198" spans="3:19" ht="13.5" customHeight="1" x14ac:dyDescent="0.2">
      <c r="C198" s="208"/>
      <c r="D198" s="19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50"/>
      <c r="P198" s="3"/>
      <c r="Q198" s="3"/>
      <c r="R198" s="3"/>
      <c r="S198" s="3"/>
    </row>
    <row r="199" spans="3:19" ht="13.5" customHeight="1" x14ac:dyDescent="0.2">
      <c r="C199" s="208">
        <v>44769</v>
      </c>
      <c r="D199" s="19"/>
      <c r="E199" s="3"/>
      <c r="F199" s="3"/>
      <c r="G199" s="3"/>
      <c r="H199" s="3"/>
      <c r="I199" s="3"/>
      <c r="J199" s="3">
        <v>8.25</v>
      </c>
      <c r="K199" s="3">
        <v>9.25</v>
      </c>
      <c r="L199" s="3"/>
      <c r="M199" s="3"/>
      <c r="N199" s="3"/>
      <c r="O199" s="50"/>
      <c r="P199" s="3"/>
      <c r="Q199" s="3"/>
      <c r="R199" s="3"/>
      <c r="S199" s="3"/>
    </row>
    <row r="200" spans="3:19" ht="13.5" customHeight="1" x14ac:dyDescent="0.2">
      <c r="C200" s="208">
        <v>44769</v>
      </c>
      <c r="D200" s="19"/>
      <c r="E200" s="3">
        <v>0.1</v>
      </c>
      <c r="F200" s="3">
        <v>7.11</v>
      </c>
      <c r="G200" s="3">
        <v>86.2</v>
      </c>
      <c r="H200" s="3">
        <v>25.2</v>
      </c>
      <c r="I200" s="3"/>
      <c r="J200" s="3"/>
      <c r="K200" s="3"/>
      <c r="L200" s="3"/>
      <c r="M200" s="3"/>
      <c r="N200" s="3"/>
      <c r="O200" s="50"/>
      <c r="P200" s="3"/>
      <c r="Q200" s="3"/>
      <c r="R200" s="3"/>
      <c r="S200" s="3"/>
    </row>
    <row r="201" spans="3:19" ht="13.5" customHeight="1" x14ac:dyDescent="0.2">
      <c r="C201" s="208">
        <v>44769</v>
      </c>
      <c r="D201" s="19"/>
      <c r="E201" s="3">
        <v>1</v>
      </c>
      <c r="F201" s="3">
        <v>7.17</v>
      </c>
      <c r="G201" s="3">
        <v>86.5</v>
      </c>
      <c r="H201" s="3">
        <v>24.8</v>
      </c>
      <c r="I201" s="3"/>
      <c r="J201" s="3"/>
      <c r="K201" s="3"/>
      <c r="L201" s="3"/>
      <c r="M201" s="3"/>
      <c r="N201" s="3"/>
      <c r="O201" s="50"/>
      <c r="P201" s="3"/>
      <c r="Q201" s="3"/>
      <c r="R201" s="3"/>
      <c r="S201" s="3"/>
    </row>
    <row r="202" spans="3:19" ht="13.5" customHeight="1" x14ac:dyDescent="0.2">
      <c r="C202" s="208">
        <v>44769</v>
      </c>
      <c r="D202" s="19"/>
      <c r="E202" s="3">
        <v>2</v>
      </c>
      <c r="F202" s="3">
        <v>7.16</v>
      </c>
      <c r="G202" s="3">
        <v>86</v>
      </c>
      <c r="H202" s="3">
        <v>24.7</v>
      </c>
      <c r="I202" s="3"/>
      <c r="J202" s="3"/>
      <c r="K202" s="3"/>
      <c r="L202" s="3"/>
      <c r="M202" s="3"/>
      <c r="N202" s="3"/>
      <c r="O202" s="50"/>
      <c r="P202" s="3"/>
      <c r="Q202" s="3"/>
      <c r="R202" s="3"/>
      <c r="S202" s="3"/>
    </row>
    <row r="203" spans="3:19" ht="13.5" customHeight="1" x14ac:dyDescent="0.2">
      <c r="C203" s="208">
        <v>44769</v>
      </c>
      <c r="D203" s="19"/>
      <c r="E203" s="3">
        <v>3</v>
      </c>
      <c r="F203" s="3">
        <v>7.19</v>
      </c>
      <c r="G203" s="3">
        <v>85.5</v>
      </c>
      <c r="H203" s="3">
        <v>24.1</v>
      </c>
      <c r="I203" s="3"/>
      <c r="J203" s="3"/>
      <c r="K203" s="3"/>
      <c r="L203" s="3"/>
      <c r="M203" s="3"/>
      <c r="N203" s="3"/>
      <c r="O203" s="50"/>
      <c r="P203" s="3"/>
      <c r="Q203" s="3"/>
      <c r="R203" s="3"/>
      <c r="S203" s="3"/>
    </row>
    <row r="204" spans="3:19" ht="13.5" customHeight="1" x14ac:dyDescent="0.2">
      <c r="C204" s="208">
        <v>44769</v>
      </c>
      <c r="D204" s="19"/>
      <c r="E204" s="3">
        <v>4</v>
      </c>
      <c r="F204" s="3">
        <v>7.2</v>
      </c>
      <c r="G204" s="3">
        <v>85.1</v>
      </c>
      <c r="H204" s="3">
        <v>23.8</v>
      </c>
      <c r="I204" s="3"/>
      <c r="J204" s="3"/>
      <c r="K204" s="3"/>
      <c r="L204" s="3"/>
      <c r="M204" s="3"/>
      <c r="N204" s="3"/>
      <c r="O204" s="50"/>
      <c r="P204" s="3"/>
      <c r="Q204" s="3"/>
      <c r="R204" s="3"/>
      <c r="S204" s="3"/>
    </row>
    <row r="205" spans="3:19" ht="13.5" customHeight="1" x14ac:dyDescent="0.2">
      <c r="C205" s="208">
        <v>44769</v>
      </c>
      <c r="D205" s="19"/>
      <c r="E205" s="3">
        <v>5</v>
      </c>
      <c r="F205" s="3">
        <v>7.2</v>
      </c>
      <c r="G205" s="3">
        <v>84.8</v>
      </c>
      <c r="H205" s="3">
        <v>22.6</v>
      </c>
      <c r="I205" s="3"/>
      <c r="J205" s="3"/>
      <c r="K205" s="3"/>
      <c r="L205" s="3"/>
      <c r="M205" s="3"/>
      <c r="N205" s="3"/>
      <c r="O205" s="50"/>
      <c r="P205" s="3"/>
      <c r="Q205" s="3"/>
      <c r="R205" s="3"/>
      <c r="S205" s="3"/>
    </row>
    <row r="206" spans="3:19" ht="13.5" customHeight="1" x14ac:dyDescent="0.2">
      <c r="C206" s="208">
        <v>44769</v>
      </c>
      <c r="D206" s="19"/>
      <c r="E206" s="3">
        <v>6</v>
      </c>
      <c r="F206" s="3">
        <v>7.28</v>
      </c>
      <c r="G206" s="3">
        <v>84.2</v>
      </c>
      <c r="H206" s="3">
        <v>22.5</v>
      </c>
      <c r="I206" s="3"/>
      <c r="J206" s="3"/>
      <c r="K206" s="3"/>
      <c r="L206" s="3"/>
      <c r="M206" s="3"/>
      <c r="N206" s="3"/>
      <c r="O206" s="50"/>
      <c r="P206" s="3"/>
      <c r="Q206" s="3"/>
      <c r="R206" s="3"/>
      <c r="S206" s="3"/>
    </row>
    <row r="207" spans="3:19" ht="13.5" customHeight="1" x14ac:dyDescent="0.2">
      <c r="C207" s="208">
        <v>44769</v>
      </c>
      <c r="D207" s="19"/>
      <c r="E207" s="3">
        <v>7</v>
      </c>
      <c r="F207" s="3">
        <v>7.89</v>
      </c>
      <c r="G207" s="3">
        <v>85.2</v>
      </c>
      <c r="H207" s="3">
        <v>19.5</v>
      </c>
      <c r="I207" s="3"/>
      <c r="J207" s="3"/>
      <c r="K207" s="3"/>
      <c r="L207" s="3"/>
      <c r="M207" s="3"/>
      <c r="N207" s="3"/>
      <c r="O207" s="50"/>
      <c r="P207" s="3"/>
      <c r="Q207" s="3"/>
      <c r="R207" s="3"/>
      <c r="S207" s="3"/>
    </row>
    <row r="208" spans="3:19" ht="13.5" customHeight="1" x14ac:dyDescent="0.2">
      <c r="C208" s="208">
        <v>44769</v>
      </c>
      <c r="D208" s="19"/>
      <c r="E208" s="3">
        <v>8</v>
      </c>
      <c r="F208" s="3">
        <v>8.33</v>
      </c>
      <c r="G208" s="3">
        <v>86.4</v>
      </c>
      <c r="H208" s="3">
        <v>17.2</v>
      </c>
      <c r="I208" s="3"/>
      <c r="J208" s="3"/>
      <c r="K208" s="3"/>
      <c r="L208" s="3"/>
      <c r="M208" s="3"/>
      <c r="N208" s="3"/>
      <c r="O208" s="50"/>
      <c r="P208" s="3"/>
      <c r="Q208" s="3"/>
      <c r="R208" s="3"/>
      <c r="S208" s="3"/>
    </row>
    <row r="209" spans="3:19" ht="13.5" customHeight="1" x14ac:dyDescent="0.2">
      <c r="C209" s="208">
        <v>44769</v>
      </c>
      <c r="D209" s="19"/>
      <c r="E209" s="3">
        <v>9</v>
      </c>
      <c r="F209" s="3">
        <v>8.75</v>
      </c>
      <c r="G209" s="3">
        <v>87.9</v>
      </c>
      <c r="H209" s="3">
        <v>15.5</v>
      </c>
      <c r="I209" s="3"/>
      <c r="J209" s="3"/>
      <c r="K209" s="3"/>
      <c r="L209" s="3"/>
      <c r="M209" s="3"/>
      <c r="N209" s="3"/>
      <c r="O209" s="50"/>
      <c r="P209" s="3"/>
      <c r="Q209" s="3"/>
      <c r="R209" s="3"/>
      <c r="S209" s="3"/>
    </row>
    <row r="210" spans="3:19" ht="13.5" customHeight="1" x14ac:dyDescent="0.2">
      <c r="C210" s="208">
        <v>44769</v>
      </c>
      <c r="D210" s="19"/>
      <c r="E210" s="3">
        <v>10</v>
      </c>
      <c r="F210" s="3">
        <v>8.9</v>
      </c>
      <c r="G210" s="3">
        <v>86.7</v>
      </c>
      <c r="H210" s="3">
        <v>14.1</v>
      </c>
      <c r="I210" s="3"/>
      <c r="J210" s="3"/>
      <c r="K210" s="3"/>
      <c r="L210" s="3"/>
      <c r="M210" s="3"/>
      <c r="N210" s="3"/>
      <c r="O210" s="50"/>
      <c r="P210" s="3"/>
      <c r="Q210" s="3"/>
      <c r="R210" s="3"/>
      <c r="S210" s="3"/>
    </row>
    <row r="211" spans="3:19" ht="13.5" customHeight="1" x14ac:dyDescent="0.2">
      <c r="C211" s="208">
        <v>44769</v>
      </c>
      <c r="D211" s="19"/>
      <c r="E211" s="3">
        <v>15</v>
      </c>
      <c r="F211" s="3">
        <v>8.9600000000000009</v>
      </c>
      <c r="G211" s="3">
        <v>89.9</v>
      </c>
      <c r="H211" s="3">
        <v>9.9</v>
      </c>
      <c r="I211" s="3"/>
      <c r="J211" s="3"/>
      <c r="K211" s="3"/>
      <c r="L211" s="3"/>
      <c r="M211" s="3"/>
      <c r="N211" s="3"/>
      <c r="O211" s="50"/>
      <c r="P211" s="3"/>
      <c r="Q211" s="3"/>
      <c r="R211" s="3"/>
      <c r="S211" s="3"/>
    </row>
    <row r="212" spans="3:19" ht="13.5" customHeight="1" x14ac:dyDescent="0.2">
      <c r="C212" s="208">
        <v>44769</v>
      </c>
      <c r="D212" s="19"/>
      <c r="E212" s="3">
        <v>20</v>
      </c>
      <c r="F212" s="3">
        <v>8.8000000000000007</v>
      </c>
      <c r="G212" s="3">
        <v>73.099999999999994</v>
      </c>
      <c r="H212" s="3">
        <v>7.5</v>
      </c>
      <c r="I212" s="3"/>
      <c r="J212" s="3"/>
      <c r="K212" s="3"/>
      <c r="L212" s="3"/>
      <c r="M212" s="3"/>
      <c r="N212" s="3"/>
      <c r="O212" s="50"/>
      <c r="P212" s="3"/>
      <c r="Q212" s="3"/>
      <c r="R212" s="3"/>
      <c r="S212" s="3"/>
    </row>
    <row r="213" spans="3:19" ht="13.5" customHeight="1" x14ac:dyDescent="0.2">
      <c r="C213" s="208">
        <v>44769</v>
      </c>
      <c r="D213" s="19"/>
      <c r="E213" s="3">
        <v>25</v>
      </c>
      <c r="F213" s="3">
        <v>8.7899999999999991</v>
      </c>
      <c r="G213" s="3">
        <v>71.900000000000006</v>
      </c>
      <c r="H213" s="3">
        <v>6.7</v>
      </c>
      <c r="I213" s="3"/>
      <c r="J213" s="3"/>
      <c r="K213" s="3"/>
      <c r="L213" s="3"/>
      <c r="M213" s="3"/>
      <c r="N213" s="3"/>
      <c r="O213" s="50"/>
      <c r="P213" s="3"/>
      <c r="Q213" s="3"/>
      <c r="R213" s="3"/>
      <c r="S213" s="3"/>
    </row>
    <row r="214" spans="3:19" ht="13.5" customHeight="1" x14ac:dyDescent="0.2">
      <c r="C214" s="208">
        <v>44769</v>
      </c>
      <c r="D214" s="19"/>
      <c r="E214" s="3">
        <v>30</v>
      </c>
      <c r="F214" s="3">
        <v>8.8800000000000008</v>
      </c>
      <c r="G214" s="3">
        <v>71.7</v>
      </c>
      <c r="H214" s="3">
        <v>6.2</v>
      </c>
      <c r="I214" s="3"/>
      <c r="J214" s="3"/>
      <c r="K214" s="3"/>
      <c r="L214" s="3"/>
      <c r="M214" s="3"/>
      <c r="N214" s="3"/>
      <c r="O214" s="50"/>
      <c r="P214" s="3"/>
      <c r="Q214" s="3"/>
      <c r="R214" s="3"/>
      <c r="S214" s="3"/>
    </row>
    <row r="215" spans="3:19" ht="13.5" customHeight="1" x14ac:dyDescent="0.2">
      <c r="C215" s="208">
        <v>44769</v>
      </c>
      <c r="D215" s="19"/>
      <c r="E215" s="3">
        <v>35</v>
      </c>
      <c r="F215" s="3">
        <v>8.84</v>
      </c>
      <c r="G215" s="3">
        <v>71</v>
      </c>
      <c r="H215" s="3">
        <v>6</v>
      </c>
      <c r="I215" s="3"/>
      <c r="J215" s="3"/>
      <c r="K215" s="3"/>
      <c r="L215" s="3"/>
      <c r="M215" s="3"/>
      <c r="N215" s="3"/>
      <c r="O215" s="50"/>
      <c r="P215" s="3"/>
      <c r="Q215" s="3"/>
      <c r="R215" s="3"/>
      <c r="S215" s="3"/>
    </row>
    <row r="216" spans="3:19" ht="13.5" customHeight="1" x14ac:dyDescent="0.2">
      <c r="C216" s="208">
        <v>44769</v>
      </c>
      <c r="D216" s="19"/>
      <c r="E216" s="3">
        <v>40</v>
      </c>
      <c r="F216" s="3">
        <v>8.6199999999999992</v>
      </c>
      <c r="G216" s="3">
        <v>68.900000000000006</v>
      </c>
      <c r="H216" s="3">
        <v>5.8</v>
      </c>
      <c r="I216" s="3"/>
      <c r="J216" s="3"/>
      <c r="K216" s="3"/>
      <c r="L216" s="3"/>
      <c r="M216" s="3"/>
      <c r="N216" s="3"/>
      <c r="O216" s="50"/>
      <c r="P216" s="3"/>
      <c r="Q216" s="3"/>
      <c r="R216" s="3"/>
      <c r="S216" s="3"/>
    </row>
    <row r="217" spans="3:19" ht="13.5" customHeight="1" x14ac:dyDescent="0.2">
      <c r="C217" s="208"/>
      <c r="D217" s="19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50"/>
      <c r="P217" s="3"/>
      <c r="Q217" s="3"/>
      <c r="R217" s="3"/>
      <c r="S217" s="3"/>
    </row>
    <row r="218" spans="3:19" ht="13.5" customHeight="1" x14ac:dyDescent="0.2">
      <c r="C218" s="208">
        <v>44796</v>
      </c>
      <c r="D218" s="19">
        <v>0.53611111111111109</v>
      </c>
      <c r="E218" s="3"/>
      <c r="F218" s="3"/>
      <c r="G218" s="3"/>
      <c r="H218" s="3"/>
      <c r="I218" s="3"/>
      <c r="J218" s="3">
        <v>9</v>
      </c>
      <c r="K218" s="3">
        <v>11.5</v>
      </c>
      <c r="L218" s="3"/>
      <c r="M218" s="3"/>
      <c r="N218" s="3"/>
      <c r="O218" s="50"/>
      <c r="P218" s="3"/>
      <c r="Q218" s="3"/>
      <c r="R218" s="3"/>
      <c r="S218" s="3"/>
    </row>
    <row r="219" spans="3:19" ht="13.5" customHeight="1" x14ac:dyDescent="0.2">
      <c r="C219" s="208">
        <v>44796</v>
      </c>
      <c r="D219" s="19">
        <v>0.54097222222222219</v>
      </c>
      <c r="E219" s="3">
        <v>0.1</v>
      </c>
      <c r="F219" s="3">
        <v>7.11</v>
      </c>
      <c r="G219" s="3">
        <v>84.5</v>
      </c>
      <c r="H219" s="3">
        <v>24</v>
      </c>
      <c r="I219" s="3"/>
      <c r="J219" s="3"/>
      <c r="K219" s="3"/>
      <c r="L219" s="3"/>
      <c r="M219" s="3"/>
      <c r="N219" s="3"/>
      <c r="O219" s="50"/>
      <c r="P219" s="3"/>
      <c r="Q219" s="3"/>
      <c r="R219" s="3"/>
      <c r="S219" s="3"/>
    </row>
    <row r="220" spans="3:19" ht="13.5" customHeight="1" x14ac:dyDescent="0.2">
      <c r="C220" s="208">
        <v>44796</v>
      </c>
      <c r="D220" s="19">
        <v>0.54097222222222219</v>
      </c>
      <c r="E220" s="3">
        <v>1</v>
      </c>
      <c r="F220" s="3">
        <v>7.13</v>
      </c>
      <c r="G220" s="3">
        <v>84.6</v>
      </c>
      <c r="H220" s="3">
        <v>23.9</v>
      </c>
      <c r="I220" s="3"/>
      <c r="J220" s="3"/>
      <c r="K220" s="3"/>
      <c r="L220" s="3"/>
      <c r="M220" s="3"/>
      <c r="N220" s="3"/>
      <c r="O220" s="50"/>
      <c r="P220" s="3"/>
      <c r="Q220" s="3"/>
      <c r="R220" s="3"/>
      <c r="S220" s="3"/>
    </row>
    <row r="221" spans="3:19" ht="13.5" customHeight="1" x14ac:dyDescent="0.2">
      <c r="C221" s="208">
        <v>44796</v>
      </c>
      <c r="D221" s="19">
        <v>0.54097222222222219</v>
      </c>
      <c r="E221" s="3">
        <v>2</v>
      </c>
      <c r="F221" s="3">
        <v>7.14</v>
      </c>
      <c r="G221" s="3">
        <v>84.5</v>
      </c>
      <c r="H221" s="3">
        <v>23.8</v>
      </c>
      <c r="I221" s="3"/>
      <c r="J221" s="3"/>
      <c r="K221" s="3"/>
      <c r="L221" s="3"/>
      <c r="M221" s="3"/>
      <c r="N221" s="3"/>
      <c r="O221" s="50"/>
      <c r="P221" s="3"/>
      <c r="Q221" s="3"/>
      <c r="R221" s="3"/>
      <c r="S221" s="3"/>
    </row>
    <row r="222" spans="3:19" ht="13.5" customHeight="1" x14ac:dyDescent="0.2">
      <c r="C222" s="208">
        <v>44796</v>
      </c>
      <c r="D222" s="19">
        <v>0.54097222222222219</v>
      </c>
      <c r="E222" s="3">
        <v>3</v>
      </c>
      <c r="F222" s="3">
        <v>7.13</v>
      </c>
      <c r="G222" s="3">
        <v>84.3</v>
      </c>
      <c r="H222" s="3">
        <v>23.7</v>
      </c>
      <c r="I222" s="3"/>
      <c r="J222" s="3"/>
      <c r="K222" s="3"/>
      <c r="L222" s="3"/>
      <c r="M222" s="3"/>
      <c r="N222" s="3"/>
      <c r="O222" s="50"/>
      <c r="P222" s="3"/>
      <c r="Q222" s="3"/>
      <c r="R222" s="3"/>
      <c r="S222" s="3"/>
    </row>
    <row r="223" spans="3:19" ht="13.5" customHeight="1" x14ac:dyDescent="0.2">
      <c r="C223" s="208">
        <v>44796</v>
      </c>
      <c r="D223" s="19">
        <v>0.54097222222222219</v>
      </c>
      <c r="E223" s="3">
        <v>4</v>
      </c>
      <c r="F223" s="3">
        <v>7.13</v>
      </c>
      <c r="G223" s="3">
        <v>84.1</v>
      </c>
      <c r="H223" s="3">
        <v>23.6</v>
      </c>
      <c r="I223" s="3"/>
      <c r="J223" s="3"/>
      <c r="K223" s="3"/>
      <c r="L223" s="3"/>
      <c r="M223" s="3"/>
      <c r="N223" s="3"/>
      <c r="O223" s="50"/>
      <c r="P223" s="3"/>
      <c r="Q223" s="3"/>
      <c r="R223" s="3"/>
      <c r="S223" s="3"/>
    </row>
    <row r="224" spans="3:19" ht="13.5" customHeight="1" x14ac:dyDescent="0.2">
      <c r="C224" s="208">
        <v>44796</v>
      </c>
      <c r="D224" s="19">
        <v>0.54097222222222219</v>
      </c>
      <c r="E224" s="3">
        <v>5</v>
      </c>
      <c r="F224" s="3">
        <v>7.14</v>
      </c>
      <c r="G224" s="3">
        <v>84.1</v>
      </c>
      <c r="H224" s="3">
        <v>23.5</v>
      </c>
      <c r="I224" s="3"/>
      <c r="J224" s="3"/>
      <c r="K224" s="3"/>
      <c r="L224" s="3"/>
      <c r="M224" s="3"/>
      <c r="N224" s="3"/>
      <c r="O224" s="50"/>
      <c r="P224" s="3"/>
      <c r="Q224" s="3"/>
      <c r="R224" s="3"/>
      <c r="S224" s="3"/>
    </row>
    <row r="225" spans="3:19" ht="13.5" customHeight="1" x14ac:dyDescent="0.2">
      <c r="C225" s="208">
        <v>44796</v>
      </c>
      <c r="D225" s="19">
        <v>0.54097222222222219</v>
      </c>
      <c r="E225" s="3">
        <v>6</v>
      </c>
      <c r="F225" s="3">
        <v>7.15</v>
      </c>
      <c r="G225" s="3">
        <v>83.9</v>
      </c>
      <c r="H225" s="3">
        <v>23.4</v>
      </c>
      <c r="I225" s="3"/>
      <c r="J225" s="3"/>
      <c r="K225" s="3"/>
      <c r="L225" s="3"/>
      <c r="M225" s="3"/>
      <c r="N225" s="3"/>
      <c r="O225" s="50"/>
      <c r="P225" s="3"/>
      <c r="Q225" s="3"/>
      <c r="R225" s="3"/>
      <c r="S225" s="3"/>
    </row>
    <row r="226" spans="3:19" ht="13.5" customHeight="1" x14ac:dyDescent="0.2">
      <c r="C226" s="208">
        <v>44796</v>
      </c>
      <c r="D226" s="19">
        <v>0.54097222222222219</v>
      </c>
      <c r="E226" s="3">
        <v>7</v>
      </c>
      <c r="F226" s="3">
        <v>7.34</v>
      </c>
      <c r="G226" s="3">
        <v>85.3</v>
      </c>
      <c r="H226" s="3">
        <v>22.8</v>
      </c>
      <c r="I226" s="3"/>
      <c r="J226" s="3"/>
      <c r="K226" s="3"/>
      <c r="L226" s="3"/>
      <c r="M226" s="3"/>
      <c r="N226" s="3"/>
      <c r="O226" s="50"/>
      <c r="P226" s="3"/>
      <c r="Q226" s="3"/>
      <c r="R226" s="3"/>
      <c r="S226" s="3"/>
    </row>
    <row r="227" spans="3:19" ht="13.5" customHeight="1" x14ac:dyDescent="0.2">
      <c r="C227" s="208">
        <v>44796</v>
      </c>
      <c r="D227" s="19">
        <v>0.54097222222222219</v>
      </c>
      <c r="E227" s="3">
        <v>8</v>
      </c>
      <c r="F227" s="3">
        <v>7.99</v>
      </c>
      <c r="G227" s="3">
        <v>88.8</v>
      </c>
      <c r="H227" s="3">
        <v>20.2</v>
      </c>
      <c r="I227" s="3"/>
      <c r="J227" s="3"/>
      <c r="K227" s="3"/>
      <c r="L227" s="3"/>
      <c r="M227" s="3"/>
      <c r="N227" s="3"/>
      <c r="O227" s="50"/>
      <c r="P227" s="3"/>
      <c r="Q227" s="3"/>
      <c r="R227" s="3"/>
      <c r="S227" s="3"/>
    </row>
    <row r="228" spans="3:19" ht="13.5" customHeight="1" x14ac:dyDescent="0.2">
      <c r="C228" s="208">
        <v>44796</v>
      </c>
      <c r="D228" s="19">
        <v>0.54097222222222219</v>
      </c>
      <c r="E228" s="3">
        <v>9</v>
      </c>
      <c r="F228" s="3">
        <v>8.59</v>
      </c>
      <c r="G228" s="3">
        <v>89.6</v>
      </c>
      <c r="H228" s="3">
        <v>17.3</v>
      </c>
      <c r="I228" s="3"/>
      <c r="J228" s="3"/>
      <c r="K228" s="3"/>
      <c r="L228" s="3"/>
      <c r="M228" s="3"/>
      <c r="N228" s="3"/>
      <c r="O228" s="50"/>
      <c r="P228" s="3"/>
      <c r="Q228" s="3"/>
      <c r="R228" s="3"/>
      <c r="S228" s="3"/>
    </row>
    <row r="229" spans="3:19" ht="13.5" customHeight="1" x14ac:dyDescent="0.2">
      <c r="C229" s="208">
        <v>44796</v>
      </c>
      <c r="D229" s="19">
        <v>0.54097222222222219</v>
      </c>
      <c r="E229" s="3">
        <v>10</v>
      </c>
      <c r="F229" s="3">
        <v>8.93</v>
      </c>
      <c r="G229" s="3">
        <v>86.9</v>
      </c>
      <c r="H229" s="3">
        <v>14.1</v>
      </c>
      <c r="I229" s="3"/>
      <c r="J229" s="3"/>
      <c r="K229" s="3"/>
      <c r="L229" s="3"/>
      <c r="M229" s="3"/>
      <c r="N229" s="3"/>
      <c r="O229" s="50"/>
      <c r="P229" s="3"/>
      <c r="Q229" s="3"/>
      <c r="R229" s="3"/>
      <c r="S229" s="3"/>
    </row>
    <row r="230" spans="3:19" ht="13.5" customHeight="1" x14ac:dyDescent="0.2">
      <c r="C230" s="208">
        <v>44796</v>
      </c>
      <c r="D230" s="19">
        <v>0.54097222222222219</v>
      </c>
      <c r="E230" s="3">
        <v>15</v>
      </c>
      <c r="F230" s="3">
        <v>8.9600000000000009</v>
      </c>
      <c r="G230" s="3">
        <v>78.099999999999994</v>
      </c>
      <c r="H230" s="3">
        <v>9.5</v>
      </c>
      <c r="I230" s="3"/>
      <c r="J230" s="3"/>
      <c r="K230" s="3"/>
      <c r="L230" s="3"/>
      <c r="M230" s="3"/>
      <c r="N230" s="3"/>
      <c r="O230" s="50"/>
      <c r="P230" s="3"/>
      <c r="Q230" s="3"/>
      <c r="R230" s="3"/>
      <c r="S230" s="3"/>
    </row>
    <row r="231" spans="3:19" ht="13.5" customHeight="1" x14ac:dyDescent="0.2">
      <c r="C231" s="208">
        <v>44796</v>
      </c>
      <c r="D231" s="19">
        <v>0.54097222222222219</v>
      </c>
      <c r="E231" s="3">
        <v>20</v>
      </c>
      <c r="F231" s="3">
        <v>8.8000000000000007</v>
      </c>
      <c r="G231" s="3">
        <v>73.599999999999994</v>
      </c>
      <c r="H231" s="3">
        <v>7.7</v>
      </c>
      <c r="I231" s="3"/>
      <c r="J231" s="3"/>
      <c r="K231" s="3"/>
      <c r="L231" s="3"/>
      <c r="M231" s="3"/>
      <c r="N231" s="3"/>
      <c r="O231" s="50"/>
      <c r="P231" s="3"/>
      <c r="Q231" s="3"/>
      <c r="R231" s="3"/>
      <c r="S231" s="3"/>
    </row>
    <row r="232" spans="3:19" ht="13.5" customHeight="1" x14ac:dyDescent="0.2">
      <c r="C232" s="208">
        <v>44796</v>
      </c>
      <c r="D232" s="19">
        <v>0.54097222222222219</v>
      </c>
      <c r="E232" s="3">
        <v>25</v>
      </c>
      <c r="F232" s="3">
        <v>8.66</v>
      </c>
      <c r="G232" s="3"/>
      <c r="H232" s="3">
        <v>6.9</v>
      </c>
      <c r="I232" s="3"/>
      <c r="J232" s="3"/>
      <c r="K232" s="3"/>
      <c r="L232" s="3"/>
      <c r="M232" s="3"/>
      <c r="N232" s="3"/>
      <c r="O232" s="50"/>
      <c r="P232" s="3"/>
      <c r="Q232" s="3"/>
      <c r="R232" s="3"/>
      <c r="S232" s="3"/>
    </row>
    <row r="233" spans="3:19" ht="13.5" customHeight="1" x14ac:dyDescent="0.2">
      <c r="C233" s="208">
        <v>44796</v>
      </c>
      <c r="D233" s="19">
        <v>0.54097222222222219</v>
      </c>
      <c r="E233" s="3">
        <v>30</v>
      </c>
      <c r="F233" s="3">
        <v>8.64</v>
      </c>
      <c r="G233" s="3">
        <v>70.099999999999994</v>
      </c>
      <c r="H233" s="3">
        <v>6.4</v>
      </c>
      <c r="I233" s="3"/>
      <c r="J233" s="3"/>
      <c r="K233" s="3"/>
      <c r="L233" s="3"/>
      <c r="M233" s="3"/>
      <c r="N233" s="3"/>
      <c r="O233" s="50"/>
      <c r="P233" s="3"/>
      <c r="Q233" s="3"/>
      <c r="R233" s="3"/>
      <c r="S233" s="3"/>
    </row>
    <row r="234" spans="3:19" ht="13.5" customHeight="1" x14ac:dyDescent="0.2">
      <c r="C234" s="208">
        <v>44796</v>
      </c>
      <c r="D234" s="19">
        <v>0.54097222222222219</v>
      </c>
      <c r="E234" s="3">
        <v>35</v>
      </c>
      <c r="F234" s="3">
        <v>8.6</v>
      </c>
      <c r="G234" s="3">
        <v>69.400000000000006</v>
      </c>
      <c r="H234" s="3">
        <v>6.2</v>
      </c>
      <c r="I234" s="3"/>
      <c r="J234" s="3"/>
      <c r="K234" s="3"/>
      <c r="L234" s="3"/>
      <c r="M234" s="3"/>
      <c r="N234" s="3"/>
      <c r="O234" s="50"/>
      <c r="P234" s="3"/>
      <c r="Q234" s="3"/>
      <c r="R234" s="3"/>
      <c r="S234" s="3"/>
    </row>
    <row r="235" spans="3:19" ht="13.5" customHeight="1" x14ac:dyDescent="0.2">
      <c r="C235" s="208">
        <v>44796</v>
      </c>
      <c r="D235" s="19">
        <v>0.54097222222222219</v>
      </c>
      <c r="E235" s="3">
        <v>40</v>
      </c>
      <c r="F235" s="3">
        <v>8.43</v>
      </c>
      <c r="G235" s="3">
        <v>67.5</v>
      </c>
      <c r="H235" s="3">
        <v>5.9</v>
      </c>
      <c r="I235" s="3"/>
      <c r="J235" s="3"/>
      <c r="K235" s="3"/>
      <c r="L235" s="3"/>
      <c r="M235" s="3"/>
      <c r="N235" s="3"/>
      <c r="O235" s="50"/>
      <c r="P235" s="3"/>
      <c r="Q235" s="3"/>
      <c r="R235" s="3"/>
      <c r="S235" s="3"/>
    </row>
    <row r="236" spans="3:19" ht="13.5" customHeight="1" x14ac:dyDescent="0.2">
      <c r="C236" s="208">
        <v>44796</v>
      </c>
      <c r="D236" s="19">
        <v>0.54097222222222219</v>
      </c>
      <c r="E236" s="3">
        <v>45</v>
      </c>
      <c r="F236" s="3">
        <v>8.1</v>
      </c>
      <c r="G236" s="3">
        <v>64.2</v>
      </c>
      <c r="H236" s="3">
        <v>5.8</v>
      </c>
      <c r="I236" s="3"/>
      <c r="J236" s="3"/>
      <c r="K236" s="3"/>
      <c r="L236" s="3"/>
      <c r="M236" s="3"/>
      <c r="N236" s="3"/>
      <c r="O236" s="50"/>
      <c r="P236" s="3"/>
      <c r="Q236" s="3"/>
      <c r="R236" s="3"/>
      <c r="S236" s="3"/>
    </row>
    <row r="237" spans="3:19" ht="13.5" customHeight="1" x14ac:dyDescent="0.2">
      <c r="C237" s="208"/>
      <c r="D237" s="19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50"/>
      <c r="P237" s="3"/>
      <c r="Q237" s="3"/>
      <c r="R237" s="3"/>
      <c r="S237" s="3"/>
    </row>
    <row r="238" spans="3:19" ht="13.5" customHeight="1" x14ac:dyDescent="0.2">
      <c r="C238" s="208">
        <v>44823</v>
      </c>
      <c r="D238" s="19">
        <v>0.4597222222222222</v>
      </c>
      <c r="E238" s="3"/>
      <c r="F238" s="3"/>
      <c r="G238" s="3"/>
      <c r="H238" s="3"/>
      <c r="I238" s="3"/>
      <c r="J238" s="3">
        <v>9.5</v>
      </c>
      <c r="K238" s="3">
        <v>10.5</v>
      </c>
      <c r="L238" s="3"/>
      <c r="M238" s="3"/>
      <c r="N238" s="3"/>
      <c r="O238" s="50"/>
      <c r="P238" s="3"/>
      <c r="Q238" s="3"/>
      <c r="R238" s="3"/>
      <c r="S238" s="3"/>
    </row>
    <row r="239" spans="3:19" ht="13.5" customHeight="1" x14ac:dyDescent="0.2">
      <c r="C239" s="208">
        <v>44823</v>
      </c>
      <c r="D239" s="19">
        <v>0.46875</v>
      </c>
      <c r="E239" s="3">
        <v>0.1</v>
      </c>
      <c r="F239" s="3">
        <v>7.75</v>
      </c>
      <c r="G239" s="3">
        <v>83.3</v>
      </c>
      <c r="H239" s="3">
        <v>18.8</v>
      </c>
      <c r="I239" s="3"/>
      <c r="J239" s="3"/>
      <c r="K239" s="3"/>
      <c r="L239" s="3"/>
      <c r="M239" s="3"/>
      <c r="N239" s="3"/>
      <c r="O239" s="50"/>
      <c r="P239" s="3"/>
      <c r="Q239" s="3"/>
      <c r="R239" s="3"/>
      <c r="S239" s="3"/>
    </row>
    <row r="240" spans="3:19" ht="13.5" customHeight="1" x14ac:dyDescent="0.2">
      <c r="C240" s="208">
        <v>44823</v>
      </c>
      <c r="D240" s="19">
        <v>0.46875</v>
      </c>
      <c r="E240" s="3">
        <v>1</v>
      </c>
      <c r="F240" s="3">
        <v>7.72</v>
      </c>
      <c r="G240" s="3">
        <v>83</v>
      </c>
      <c r="H240" s="3">
        <v>18.899999999999999</v>
      </c>
      <c r="I240" s="3"/>
      <c r="J240" s="3"/>
      <c r="K240" s="3"/>
      <c r="L240" s="3"/>
      <c r="M240" s="3"/>
      <c r="N240" s="3"/>
      <c r="O240" s="50"/>
      <c r="P240" s="3"/>
      <c r="Q240" s="3"/>
      <c r="R240" s="3"/>
      <c r="S240" s="3"/>
    </row>
    <row r="241" spans="3:19" ht="13.5" customHeight="1" x14ac:dyDescent="0.2">
      <c r="C241" s="208">
        <v>44823</v>
      </c>
      <c r="D241" s="19">
        <v>0.46875</v>
      </c>
      <c r="E241" s="3">
        <v>2</v>
      </c>
      <c r="F241" s="3">
        <v>7.7</v>
      </c>
      <c r="G241" s="3">
        <v>82.9</v>
      </c>
      <c r="H241" s="3">
        <v>18.899999999999999</v>
      </c>
      <c r="I241" s="3"/>
      <c r="J241" s="3"/>
      <c r="K241" s="3"/>
      <c r="L241" s="3"/>
      <c r="M241" s="3"/>
      <c r="N241" s="3"/>
      <c r="O241" s="50"/>
      <c r="P241" s="3"/>
      <c r="Q241" s="3"/>
      <c r="R241" s="3"/>
      <c r="S241" s="3"/>
    </row>
    <row r="242" spans="3:19" ht="13.5" customHeight="1" x14ac:dyDescent="0.2">
      <c r="C242" s="208">
        <v>44823</v>
      </c>
      <c r="D242" s="19">
        <v>0.46875</v>
      </c>
      <c r="E242" s="3">
        <v>3</v>
      </c>
      <c r="F242" s="3">
        <v>7.69</v>
      </c>
      <c r="G242" s="3">
        <v>82.8</v>
      </c>
      <c r="H242" s="3">
        <v>18.899999999999999</v>
      </c>
      <c r="I242" s="3"/>
      <c r="J242" s="3"/>
      <c r="K242" s="3"/>
      <c r="L242" s="3"/>
      <c r="M242" s="3"/>
      <c r="N242" s="3"/>
      <c r="O242" s="50"/>
      <c r="P242" s="3"/>
      <c r="Q242" s="3"/>
      <c r="R242" s="3"/>
      <c r="S242" s="3"/>
    </row>
    <row r="243" spans="3:19" ht="13.5" customHeight="1" x14ac:dyDescent="0.2">
      <c r="C243" s="208">
        <v>44823</v>
      </c>
      <c r="D243" s="19">
        <v>0.46875</v>
      </c>
      <c r="E243" s="3">
        <v>4</v>
      </c>
      <c r="F243" s="3">
        <v>7.68</v>
      </c>
      <c r="G243" s="3">
        <v>82.6</v>
      </c>
      <c r="H243" s="3">
        <v>18.899999999999999</v>
      </c>
      <c r="I243" s="3"/>
      <c r="J243" s="3"/>
      <c r="K243" s="3"/>
      <c r="L243" s="3"/>
      <c r="M243" s="3"/>
      <c r="N243" s="3"/>
      <c r="O243" s="50"/>
      <c r="P243" s="3"/>
      <c r="Q243" s="3"/>
      <c r="R243" s="3"/>
      <c r="S243" s="3"/>
    </row>
    <row r="244" spans="3:19" ht="13.5" customHeight="1" x14ac:dyDescent="0.2">
      <c r="C244" s="208">
        <v>44823</v>
      </c>
      <c r="D244" s="19">
        <v>0.46875</v>
      </c>
      <c r="E244" s="3">
        <v>5</v>
      </c>
      <c r="F244" s="3">
        <v>7.68</v>
      </c>
      <c r="G244" s="3">
        <v>82.4</v>
      </c>
      <c r="H244" s="3">
        <v>18.8</v>
      </c>
      <c r="I244" s="3"/>
      <c r="J244" s="3"/>
      <c r="K244" s="3"/>
      <c r="L244" s="3"/>
      <c r="M244" s="3"/>
      <c r="N244" s="3"/>
      <c r="O244" s="50"/>
      <c r="P244" s="3"/>
      <c r="Q244" s="3"/>
      <c r="R244" s="3"/>
      <c r="S244" s="3"/>
    </row>
    <row r="245" spans="3:19" ht="13.5" customHeight="1" x14ac:dyDescent="0.2">
      <c r="C245" s="208">
        <v>44823</v>
      </c>
      <c r="D245" s="19">
        <v>0.46875</v>
      </c>
      <c r="E245" s="3">
        <v>6</v>
      </c>
      <c r="F245" s="3">
        <v>7.66</v>
      </c>
      <c r="G245" s="3">
        <v>82.3</v>
      </c>
      <c r="H245" s="3">
        <v>18.8</v>
      </c>
      <c r="I245" s="3"/>
      <c r="J245" s="3"/>
      <c r="K245" s="3"/>
      <c r="L245" s="3"/>
      <c r="M245" s="3"/>
      <c r="N245" s="3"/>
      <c r="O245" s="50"/>
      <c r="P245" s="3"/>
      <c r="Q245" s="3"/>
      <c r="R245" s="3"/>
      <c r="S245" s="3"/>
    </row>
    <row r="246" spans="3:19" ht="13.5" customHeight="1" x14ac:dyDescent="0.2">
      <c r="C246" s="208">
        <v>44823</v>
      </c>
      <c r="D246" s="19">
        <v>0.46875</v>
      </c>
      <c r="E246" s="3">
        <v>7</v>
      </c>
      <c r="F246" s="3">
        <v>7.66</v>
      </c>
      <c r="G246" s="3">
        <v>82.2</v>
      </c>
      <c r="H246" s="3">
        <v>18.8</v>
      </c>
      <c r="I246" s="3"/>
      <c r="J246" s="3"/>
      <c r="K246" s="3"/>
      <c r="L246" s="3"/>
      <c r="M246" s="3"/>
      <c r="N246" s="3"/>
      <c r="O246" s="50"/>
      <c r="P246" s="3"/>
      <c r="Q246" s="3"/>
      <c r="R246" s="3"/>
      <c r="S246" s="3"/>
    </row>
    <row r="247" spans="3:19" ht="13.5" customHeight="1" x14ac:dyDescent="0.2">
      <c r="C247" s="208">
        <v>44823</v>
      </c>
      <c r="D247" s="19">
        <v>0.46875</v>
      </c>
      <c r="E247" s="3">
        <v>8</v>
      </c>
      <c r="F247" s="3">
        <v>7.65</v>
      </c>
      <c r="G247" s="3">
        <v>82.2</v>
      </c>
      <c r="H247" s="3">
        <v>18.8</v>
      </c>
      <c r="I247" s="3"/>
      <c r="J247" s="3"/>
      <c r="K247" s="3"/>
      <c r="L247" s="3"/>
      <c r="M247" s="3"/>
      <c r="N247" s="3"/>
      <c r="O247" s="50"/>
      <c r="P247" s="3"/>
      <c r="Q247" s="3"/>
      <c r="R247" s="3"/>
      <c r="S247" s="3"/>
    </row>
    <row r="248" spans="3:19" ht="13.5" customHeight="1" x14ac:dyDescent="0.2">
      <c r="C248" s="208">
        <v>44823</v>
      </c>
      <c r="D248" s="19">
        <v>0.46875</v>
      </c>
      <c r="E248" s="3">
        <v>9</v>
      </c>
      <c r="F248" s="3">
        <v>7.65</v>
      </c>
      <c r="G248" s="3">
        <v>82.1</v>
      </c>
      <c r="H248" s="3">
        <v>18.8</v>
      </c>
      <c r="I248" s="3"/>
      <c r="J248" s="3"/>
      <c r="K248" s="3"/>
      <c r="L248" s="3"/>
      <c r="M248" s="3"/>
      <c r="N248" s="3"/>
      <c r="O248" s="50"/>
      <c r="P248" s="3"/>
      <c r="Q248" s="3"/>
      <c r="R248" s="3"/>
      <c r="S248" s="3"/>
    </row>
    <row r="249" spans="3:19" ht="13.5" customHeight="1" x14ac:dyDescent="0.2">
      <c r="C249" s="208">
        <v>44823</v>
      </c>
      <c r="D249" s="19">
        <v>0.46875</v>
      </c>
      <c r="E249" s="3">
        <v>10</v>
      </c>
      <c r="F249" s="3">
        <v>7.65</v>
      </c>
      <c r="G249" s="3">
        <v>82</v>
      </c>
      <c r="H249" s="3">
        <v>18.7</v>
      </c>
      <c r="I249" s="3"/>
      <c r="J249" s="3"/>
      <c r="K249" s="3"/>
      <c r="L249" s="3"/>
      <c r="M249" s="3"/>
      <c r="N249" s="3"/>
      <c r="O249" s="50"/>
      <c r="P249" s="3"/>
      <c r="Q249" s="3"/>
      <c r="R249" s="3"/>
      <c r="S249" s="3"/>
    </row>
    <row r="250" spans="3:19" ht="13.5" customHeight="1" x14ac:dyDescent="0.2">
      <c r="C250" s="208">
        <v>44823</v>
      </c>
      <c r="D250" s="19">
        <v>0.46875</v>
      </c>
      <c r="E250" s="3">
        <v>11</v>
      </c>
      <c r="F250" s="3">
        <v>7.77</v>
      </c>
      <c r="G250" s="3">
        <v>82</v>
      </c>
      <c r="H250" s="3">
        <v>18</v>
      </c>
      <c r="I250" s="3"/>
      <c r="J250" s="3"/>
      <c r="K250" s="3"/>
      <c r="L250" s="3"/>
      <c r="M250" s="3"/>
      <c r="N250" s="3"/>
      <c r="O250" s="50"/>
      <c r="P250" s="3"/>
      <c r="Q250" s="3"/>
      <c r="R250" s="3"/>
      <c r="S250" s="3"/>
    </row>
    <row r="251" spans="3:19" ht="13.5" customHeight="1" x14ac:dyDescent="0.2">
      <c r="C251" s="208">
        <v>44823</v>
      </c>
      <c r="D251" s="19">
        <v>0.46875</v>
      </c>
      <c r="E251" s="3">
        <v>12</v>
      </c>
      <c r="F251" s="3">
        <v>8.75</v>
      </c>
      <c r="G251" s="3">
        <v>86.2</v>
      </c>
      <c r="H251" s="3">
        <v>14.6</v>
      </c>
      <c r="I251" s="3"/>
      <c r="J251" s="3"/>
      <c r="K251" s="3"/>
      <c r="L251" s="3"/>
      <c r="M251" s="3"/>
      <c r="N251" s="3"/>
      <c r="O251" s="50"/>
      <c r="P251" s="3"/>
      <c r="Q251" s="3"/>
      <c r="R251" s="3"/>
      <c r="S251" s="3"/>
    </row>
    <row r="252" spans="3:19" ht="13.5" customHeight="1" x14ac:dyDescent="0.2">
      <c r="C252" s="208">
        <v>44823</v>
      </c>
      <c r="D252" s="19">
        <v>0.46875</v>
      </c>
      <c r="E252" s="3">
        <v>15</v>
      </c>
      <c r="F252" s="3">
        <v>8.98</v>
      </c>
      <c r="G252" s="3">
        <v>78.2</v>
      </c>
      <c r="H252" s="3">
        <v>9.3000000000000007</v>
      </c>
      <c r="I252" s="3"/>
      <c r="J252" s="3"/>
      <c r="K252" s="3"/>
      <c r="L252" s="3"/>
      <c r="M252" s="3"/>
      <c r="N252" s="3"/>
      <c r="O252" s="50"/>
      <c r="P252" s="3"/>
      <c r="Q252" s="3"/>
      <c r="R252" s="3"/>
      <c r="S252" s="3"/>
    </row>
    <row r="253" spans="3:19" ht="13.5" customHeight="1" x14ac:dyDescent="0.2">
      <c r="C253" s="208">
        <v>44823</v>
      </c>
      <c r="D253" s="19">
        <v>0.46875</v>
      </c>
      <c r="E253" s="3">
        <v>20</v>
      </c>
      <c r="F253" s="3">
        <v>8.5299999999999994</v>
      </c>
      <c r="G253" s="3">
        <v>70.7</v>
      </c>
      <c r="H253" s="3">
        <v>7.3</v>
      </c>
      <c r="I253" s="3"/>
      <c r="J253" s="3"/>
      <c r="K253" s="3"/>
      <c r="L253" s="3"/>
      <c r="M253" s="3"/>
      <c r="N253" s="3"/>
      <c r="O253" s="50"/>
      <c r="P253" s="3"/>
      <c r="Q253" s="3"/>
      <c r="R253" s="3"/>
      <c r="S253" s="3"/>
    </row>
    <row r="254" spans="3:19" ht="13.5" customHeight="1" x14ac:dyDescent="0.2">
      <c r="C254" s="208">
        <v>44823</v>
      </c>
      <c r="D254" s="19">
        <v>0.46875</v>
      </c>
      <c r="E254" s="3">
        <v>25</v>
      </c>
      <c r="F254" s="3">
        <v>8.42</v>
      </c>
      <c r="G254" s="3">
        <v>68.900000000000006</v>
      </c>
      <c r="H254" s="3">
        <v>6.8</v>
      </c>
      <c r="I254" s="3"/>
      <c r="J254" s="3"/>
      <c r="K254" s="3"/>
      <c r="L254" s="3"/>
      <c r="M254" s="3"/>
      <c r="N254" s="3"/>
      <c r="O254" s="50"/>
      <c r="P254" s="3"/>
      <c r="Q254" s="3"/>
      <c r="R254" s="3"/>
      <c r="S254" s="3"/>
    </row>
    <row r="255" spans="3:19" ht="13.5" customHeight="1" x14ac:dyDescent="0.2">
      <c r="C255" s="208">
        <v>44823</v>
      </c>
      <c r="D255" s="19">
        <v>0.46875</v>
      </c>
      <c r="E255" s="3">
        <v>30</v>
      </c>
      <c r="F255" s="3">
        <v>8.4600000000000009</v>
      </c>
      <c r="G255" s="3">
        <v>68.599999999999994</v>
      </c>
      <c r="H255" s="3">
        <v>6.4</v>
      </c>
      <c r="I255" s="3"/>
      <c r="J255" s="3"/>
      <c r="K255" s="3"/>
      <c r="L255" s="3"/>
      <c r="M255" s="3"/>
      <c r="N255" s="3"/>
      <c r="O255" s="50"/>
      <c r="P255" s="3"/>
      <c r="Q255" s="3"/>
      <c r="R255" s="3"/>
      <c r="S255" s="3"/>
    </row>
    <row r="256" spans="3:19" ht="13.5" customHeight="1" x14ac:dyDescent="0.2">
      <c r="C256" s="208">
        <v>44823</v>
      </c>
      <c r="D256" s="19">
        <v>0.46875</v>
      </c>
      <c r="E256" s="3">
        <v>35</v>
      </c>
      <c r="F256" s="3">
        <v>8.39</v>
      </c>
      <c r="G256" s="3">
        <v>67.7</v>
      </c>
      <c r="H256" s="3">
        <v>6.2</v>
      </c>
      <c r="I256" s="3"/>
      <c r="J256" s="3"/>
      <c r="K256" s="3"/>
      <c r="L256" s="3"/>
      <c r="M256" s="3"/>
      <c r="N256" s="3"/>
      <c r="O256" s="50"/>
      <c r="P256" s="3"/>
      <c r="Q256" s="3"/>
      <c r="R256" s="3"/>
      <c r="S256" s="3"/>
    </row>
    <row r="257" spans="3:19" ht="13.5" customHeight="1" x14ac:dyDescent="0.2">
      <c r="C257" s="208"/>
      <c r="D257" s="19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50"/>
      <c r="P257" s="3"/>
      <c r="Q257" s="3"/>
      <c r="R257" s="3"/>
      <c r="S257" s="3"/>
    </row>
    <row r="258" spans="3:19" ht="13.5" customHeight="1" x14ac:dyDescent="0.2">
      <c r="C258" s="208"/>
      <c r="D258" s="19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50"/>
      <c r="P258" s="3"/>
      <c r="Q258" s="3"/>
      <c r="R258" s="3"/>
      <c r="S258" s="3"/>
    </row>
    <row r="259" spans="3:19" ht="13.5" customHeight="1" x14ac:dyDescent="0.2">
      <c r="C259" s="208"/>
      <c r="D259" s="19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50"/>
      <c r="P259" s="3"/>
      <c r="Q259" s="3"/>
      <c r="R259" s="3"/>
      <c r="S259" s="3"/>
    </row>
    <row r="260" spans="3:19" ht="13.5" customHeight="1" x14ac:dyDescent="0.2">
      <c r="C260" s="208"/>
      <c r="D260" s="19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50"/>
      <c r="P260" s="3"/>
      <c r="Q260" s="3"/>
      <c r="R260" s="3"/>
      <c r="S260" s="3"/>
    </row>
    <row r="261" spans="3:19" ht="13.5" customHeight="1" x14ac:dyDescent="0.2">
      <c r="C261" s="208"/>
      <c r="D261" s="19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50"/>
      <c r="P261" s="3"/>
      <c r="Q261" s="3"/>
      <c r="R261" s="3"/>
      <c r="S261" s="3"/>
    </row>
    <row r="262" spans="3:19" ht="13.5" customHeight="1" x14ac:dyDescent="0.2">
      <c r="C262" s="208"/>
      <c r="D262" s="19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50"/>
      <c r="P262" s="3"/>
      <c r="Q262" s="3"/>
      <c r="R262" s="3"/>
      <c r="S262" s="3"/>
    </row>
    <row r="263" spans="3:19" ht="13.5" customHeight="1" x14ac:dyDescent="0.2">
      <c r="C263" s="208"/>
      <c r="D263" s="19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50"/>
      <c r="P263" s="3"/>
      <c r="Q263" s="3"/>
      <c r="R263" s="3"/>
      <c r="S263" s="3"/>
    </row>
    <row r="264" spans="3:19" ht="13.5" customHeight="1" x14ac:dyDescent="0.2">
      <c r="C264" s="208"/>
      <c r="D264" s="1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50"/>
      <c r="P264" s="3"/>
      <c r="Q264" s="3"/>
      <c r="R264" s="3"/>
      <c r="S264" s="3"/>
    </row>
    <row r="265" spans="3:19" ht="13.5" customHeight="1" x14ac:dyDescent="0.2">
      <c r="C265" s="208"/>
      <c r="D265" s="1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50"/>
      <c r="P265" s="3"/>
      <c r="Q265" s="3"/>
      <c r="R265" s="3"/>
      <c r="S265" s="3"/>
    </row>
    <row r="266" spans="3:19" ht="13.5" customHeight="1" x14ac:dyDescent="0.2">
      <c r="C266" s="213">
        <v>44369</v>
      </c>
      <c r="D266" s="19">
        <v>0.38541666666666669</v>
      </c>
      <c r="E266" s="3"/>
      <c r="F266" s="3"/>
      <c r="G266" s="3"/>
      <c r="H266" s="3"/>
      <c r="I266" s="3"/>
      <c r="J266" s="3">
        <v>7.5</v>
      </c>
      <c r="K266" s="3">
        <v>8.5</v>
      </c>
      <c r="L266" s="3"/>
      <c r="M266" s="7"/>
      <c r="N266" s="3"/>
      <c r="O266" s="3"/>
      <c r="P266" s="3"/>
      <c r="Q266" s="3"/>
      <c r="R266" s="3"/>
      <c r="S266" s="3"/>
    </row>
    <row r="267" spans="3:19" ht="13.5" customHeight="1" x14ac:dyDescent="0.2">
      <c r="C267" s="213">
        <v>44369</v>
      </c>
      <c r="D267" s="19">
        <v>0.39583333333333331</v>
      </c>
      <c r="E267" s="3">
        <v>0.1</v>
      </c>
      <c r="F267" s="3">
        <v>8.1199999999999992</v>
      </c>
      <c r="G267" s="3">
        <v>87.01</v>
      </c>
      <c r="H267" s="3">
        <v>18.7</v>
      </c>
      <c r="I267" s="3">
        <v>18.7</v>
      </c>
      <c r="K267" s="3"/>
      <c r="L267" s="3"/>
      <c r="M267" s="7"/>
      <c r="N267" s="3"/>
      <c r="O267" s="3"/>
      <c r="P267" s="3"/>
      <c r="Q267" s="3"/>
      <c r="R267" s="3"/>
      <c r="S267" s="3"/>
    </row>
    <row r="268" spans="3:19" ht="13.5" customHeight="1" x14ac:dyDescent="0.2">
      <c r="C268" s="213">
        <v>44369</v>
      </c>
      <c r="D268" s="19">
        <v>0.39583333333333331</v>
      </c>
      <c r="E268" s="3">
        <v>1</v>
      </c>
      <c r="F268" s="3">
        <v>8.14</v>
      </c>
      <c r="G268" s="3">
        <v>87</v>
      </c>
      <c r="H268" s="3">
        <v>18.600000000000001</v>
      </c>
      <c r="I268" s="3">
        <v>18.600000000000001</v>
      </c>
      <c r="K268" s="3"/>
      <c r="L268" s="3"/>
      <c r="M268" s="7"/>
      <c r="N268" s="3"/>
      <c r="O268" s="3"/>
      <c r="P268" s="3"/>
      <c r="Q268" s="3"/>
      <c r="R268" s="3"/>
      <c r="S268" s="3"/>
    </row>
    <row r="269" spans="3:19" ht="13.5" customHeight="1" x14ac:dyDescent="0.2">
      <c r="C269" s="213">
        <v>44369</v>
      </c>
      <c r="D269" s="19">
        <v>0.39583333333333331</v>
      </c>
      <c r="E269" s="3">
        <v>2</v>
      </c>
      <c r="F269" s="3">
        <v>8.2200000000000006</v>
      </c>
      <c r="G269" s="3">
        <v>87.5</v>
      </c>
      <c r="H269" s="3">
        <v>18.3</v>
      </c>
      <c r="I269" s="3">
        <v>18.3</v>
      </c>
      <c r="K269" s="3"/>
      <c r="L269" s="3"/>
      <c r="M269" s="7"/>
      <c r="N269" s="3"/>
      <c r="O269" s="3"/>
      <c r="P269" s="3"/>
      <c r="Q269" s="3"/>
      <c r="R269" s="3"/>
      <c r="S269" s="3"/>
    </row>
    <row r="270" spans="3:19" ht="13.5" customHeight="1" x14ac:dyDescent="0.2">
      <c r="C270" s="213">
        <v>44369</v>
      </c>
      <c r="D270" s="19">
        <v>0.39583333333333331</v>
      </c>
      <c r="E270" s="3">
        <v>3</v>
      </c>
      <c r="F270" s="3">
        <v>8.27</v>
      </c>
      <c r="G270" s="3">
        <v>87.5</v>
      </c>
      <c r="H270" s="3">
        <v>18.100000000000001</v>
      </c>
      <c r="I270" s="3">
        <v>18.100000000000001</v>
      </c>
      <c r="K270" s="3"/>
      <c r="L270" s="3"/>
      <c r="M270" s="7"/>
      <c r="N270" s="3"/>
      <c r="O270" s="3"/>
      <c r="P270" s="3"/>
      <c r="Q270" s="3"/>
      <c r="R270" s="3"/>
      <c r="S270" s="3"/>
    </row>
    <row r="271" spans="3:19" ht="13.5" customHeight="1" x14ac:dyDescent="0.2">
      <c r="C271" s="213">
        <v>44369</v>
      </c>
      <c r="D271" s="19">
        <v>0.39583333333333331</v>
      </c>
      <c r="E271" s="3">
        <v>4</v>
      </c>
      <c r="F271" s="3">
        <v>8.27</v>
      </c>
      <c r="G271" s="3">
        <v>87.1</v>
      </c>
      <c r="H271" s="3">
        <v>17.899999999999999</v>
      </c>
      <c r="I271" s="3">
        <v>17.899999999999999</v>
      </c>
      <c r="K271" s="3"/>
      <c r="L271" s="3"/>
      <c r="M271" s="7"/>
      <c r="N271" s="3"/>
      <c r="O271" s="3"/>
      <c r="P271" s="3"/>
      <c r="Q271" s="3"/>
      <c r="R271" s="3"/>
      <c r="S271" s="3"/>
    </row>
    <row r="272" spans="3:19" ht="13.5" customHeight="1" x14ac:dyDescent="0.2">
      <c r="C272" s="213">
        <v>44369</v>
      </c>
      <c r="D272" s="19">
        <v>0.39583333333333331</v>
      </c>
      <c r="E272" s="3">
        <v>5</v>
      </c>
      <c r="F272" s="3">
        <v>8.32</v>
      </c>
      <c r="G272" s="3">
        <v>87.1</v>
      </c>
      <c r="H272" s="3">
        <v>17.5</v>
      </c>
      <c r="I272" s="3">
        <v>17.5</v>
      </c>
      <c r="K272" s="3"/>
      <c r="L272" s="3"/>
      <c r="M272" s="7"/>
      <c r="N272" s="3"/>
      <c r="O272" s="3"/>
      <c r="P272" s="3"/>
      <c r="Q272" s="3"/>
      <c r="R272" s="3"/>
      <c r="S272" s="3"/>
    </row>
    <row r="273" spans="3:19" ht="13.5" customHeight="1" x14ac:dyDescent="0.2">
      <c r="C273" s="213">
        <v>44369</v>
      </c>
      <c r="D273" s="19">
        <v>0.39583333333333331</v>
      </c>
      <c r="E273" s="3">
        <v>7</v>
      </c>
      <c r="F273" s="3">
        <v>8.42</v>
      </c>
      <c r="G273" s="3">
        <v>86.3</v>
      </c>
      <c r="H273" s="3">
        <v>16.5</v>
      </c>
      <c r="I273" s="3">
        <v>16.5</v>
      </c>
      <c r="J273" s="47"/>
      <c r="K273" s="3"/>
      <c r="L273" s="3"/>
      <c r="M273" s="7"/>
      <c r="N273" s="3"/>
      <c r="O273" s="3"/>
      <c r="P273" s="3"/>
      <c r="Q273" s="3"/>
      <c r="R273" s="3"/>
      <c r="S273" s="3"/>
    </row>
    <row r="274" spans="3:19" ht="13.5" customHeight="1" x14ac:dyDescent="0.2">
      <c r="C274" s="213">
        <v>44369</v>
      </c>
      <c r="D274" s="19">
        <v>0.39583333333333331</v>
      </c>
      <c r="E274" s="3">
        <v>9</v>
      </c>
      <c r="F274" s="3">
        <v>8.6</v>
      </c>
      <c r="G274" s="3">
        <v>85.5</v>
      </c>
      <c r="H274" s="3">
        <v>15.3</v>
      </c>
      <c r="I274" s="51">
        <f>AVERAGE(I267:I273)</f>
        <v>17.942857142857143</v>
      </c>
      <c r="J274" s="53"/>
      <c r="K274" s="3"/>
      <c r="L274" s="3"/>
      <c r="M274" s="7"/>
      <c r="N274" s="3"/>
      <c r="O274" s="3"/>
      <c r="P274" s="3"/>
      <c r="Q274" s="3"/>
      <c r="R274" s="3"/>
      <c r="S274" s="3"/>
    </row>
    <row r="275" spans="3:19" ht="13.5" customHeight="1" x14ac:dyDescent="0.2">
      <c r="C275" s="213">
        <v>44369</v>
      </c>
      <c r="D275" s="19">
        <v>0.39583333333333331</v>
      </c>
      <c r="E275" s="3">
        <v>11</v>
      </c>
      <c r="F275" s="3">
        <v>8.82</v>
      </c>
      <c r="G275" s="3">
        <v>85.1</v>
      </c>
      <c r="H275" s="3">
        <v>13.7</v>
      </c>
      <c r="I275" s="3"/>
      <c r="K275" s="3"/>
      <c r="L275" s="3"/>
      <c r="M275" s="7"/>
      <c r="N275" s="3"/>
      <c r="O275" s="3"/>
      <c r="P275" s="3"/>
      <c r="Q275" s="3"/>
      <c r="R275" s="3"/>
      <c r="S275" s="3"/>
    </row>
    <row r="276" spans="3:19" ht="13.5" customHeight="1" x14ac:dyDescent="0.2">
      <c r="C276" s="213">
        <v>44369</v>
      </c>
      <c r="D276" s="19">
        <v>0.39583333333333331</v>
      </c>
      <c r="E276" s="3">
        <v>13</v>
      </c>
      <c r="F276" s="3">
        <v>9.08</v>
      </c>
      <c r="G276" s="3">
        <v>82.2</v>
      </c>
      <c r="H276" s="3">
        <v>11</v>
      </c>
      <c r="I276" s="3"/>
      <c r="K276" s="3"/>
      <c r="L276" s="3"/>
      <c r="M276" s="7"/>
      <c r="N276" s="3"/>
      <c r="O276" s="3"/>
      <c r="P276" s="3"/>
      <c r="Q276" s="3"/>
      <c r="R276" s="3"/>
      <c r="S276" s="3"/>
    </row>
    <row r="277" spans="3:19" ht="13.5" customHeight="1" x14ac:dyDescent="0.2">
      <c r="C277" s="213">
        <v>44369</v>
      </c>
      <c r="D277" s="19">
        <v>0.39583333333333331</v>
      </c>
      <c r="E277" s="3">
        <v>15</v>
      </c>
      <c r="F277" s="3">
        <v>9.09</v>
      </c>
      <c r="G277" s="3">
        <v>80.5</v>
      </c>
      <c r="H277" s="3">
        <v>10</v>
      </c>
      <c r="I277" s="3"/>
      <c r="K277" s="3"/>
      <c r="L277" s="3"/>
      <c r="M277" s="7"/>
      <c r="N277" s="3"/>
      <c r="O277" s="3"/>
      <c r="P277" s="3"/>
      <c r="Q277" s="3"/>
      <c r="R277" s="3"/>
      <c r="S277" s="3"/>
    </row>
    <row r="278" spans="3:19" ht="13.5" customHeight="1" x14ac:dyDescent="0.2">
      <c r="C278" s="213">
        <v>44369</v>
      </c>
      <c r="D278" s="19">
        <v>0.39583333333333331</v>
      </c>
      <c r="E278" s="3">
        <v>17</v>
      </c>
      <c r="F278" s="3">
        <v>9.1199999999999992</v>
      </c>
      <c r="G278" s="3">
        <v>79.099999999999994</v>
      </c>
      <c r="H278" s="3">
        <v>9.1</v>
      </c>
      <c r="I278" s="3"/>
      <c r="K278" s="3"/>
      <c r="L278" s="3"/>
      <c r="M278" s="7"/>
      <c r="N278" s="3"/>
      <c r="O278" s="3"/>
      <c r="P278" s="3"/>
      <c r="Q278" s="3"/>
      <c r="R278" s="3"/>
      <c r="S278" s="3"/>
    </row>
    <row r="279" spans="3:19" ht="13.5" customHeight="1" x14ac:dyDescent="0.2">
      <c r="C279" s="213">
        <v>44369</v>
      </c>
      <c r="D279" s="19">
        <v>0.39583333333333331</v>
      </c>
      <c r="E279" s="3">
        <v>19</v>
      </c>
      <c r="F279" s="3">
        <v>9.14</v>
      </c>
      <c r="G279" s="3">
        <v>77.3</v>
      </c>
      <c r="H279" s="3">
        <v>8.1999999999999993</v>
      </c>
      <c r="I279" s="3"/>
      <c r="K279" s="3"/>
      <c r="L279" s="3"/>
      <c r="M279" s="7"/>
      <c r="N279" s="3"/>
      <c r="O279" s="3"/>
      <c r="P279" s="3"/>
      <c r="Q279" s="3"/>
      <c r="R279" s="3"/>
      <c r="S279" s="3"/>
    </row>
    <row r="280" spans="3:19" ht="13.5" customHeight="1" x14ac:dyDescent="0.2">
      <c r="C280" s="213">
        <v>44369</v>
      </c>
      <c r="D280" s="19">
        <v>0.39583333333333331</v>
      </c>
      <c r="E280" s="3">
        <v>21</v>
      </c>
      <c r="F280" s="3">
        <v>9.1</v>
      </c>
      <c r="G280" s="3">
        <v>76.099999999999994</v>
      </c>
      <c r="H280" s="3">
        <v>7.6</v>
      </c>
      <c r="I280" s="3"/>
      <c r="J280" s="3"/>
      <c r="K280" s="3"/>
      <c r="L280" s="3"/>
      <c r="M280" s="7"/>
      <c r="N280" s="3"/>
      <c r="O280" s="3"/>
      <c r="P280" s="3"/>
      <c r="Q280" s="3"/>
      <c r="R280" s="3"/>
      <c r="S280" s="3"/>
    </row>
    <row r="281" spans="3:19" ht="13.5" customHeight="1" x14ac:dyDescent="0.2">
      <c r="C281" s="213">
        <v>44369</v>
      </c>
      <c r="D281" s="19">
        <v>0.39583333333333331</v>
      </c>
      <c r="E281" s="3">
        <v>23</v>
      </c>
      <c r="F281" s="3">
        <v>9.1300000000000008</v>
      </c>
      <c r="G281" s="3">
        <v>75.400000000000006</v>
      </c>
      <c r="H281" s="3">
        <v>7.1</v>
      </c>
      <c r="I281" s="3"/>
      <c r="J281" s="3"/>
      <c r="K281" s="3"/>
      <c r="L281" s="3"/>
      <c r="M281" s="7"/>
      <c r="N281" s="3"/>
      <c r="O281" s="3"/>
      <c r="P281" s="3"/>
      <c r="Q281" s="3"/>
      <c r="R281" s="3"/>
      <c r="S281" s="3"/>
    </row>
    <row r="282" spans="3:19" ht="13.5" customHeight="1" x14ac:dyDescent="0.2">
      <c r="C282" s="213">
        <v>44369</v>
      </c>
      <c r="D282" s="19">
        <v>0.39583333333333331</v>
      </c>
      <c r="E282" s="3">
        <v>25</v>
      </c>
      <c r="F282" s="3">
        <v>9.1199999999999992</v>
      </c>
      <c r="G282" s="3">
        <v>74.5</v>
      </c>
      <c r="H282" s="3">
        <v>6.7</v>
      </c>
      <c r="I282" s="3"/>
      <c r="J282" s="3"/>
      <c r="K282" s="3"/>
      <c r="L282" s="3"/>
      <c r="M282" s="7"/>
      <c r="N282" s="3"/>
      <c r="O282" s="3"/>
      <c r="P282" s="3"/>
      <c r="Q282" s="3"/>
      <c r="R282" s="3"/>
      <c r="S282" s="3"/>
    </row>
    <row r="283" spans="3:19" ht="13.5" customHeight="1" x14ac:dyDescent="0.2">
      <c r="C283" s="213">
        <v>44369</v>
      </c>
      <c r="D283" s="19">
        <v>0.39583333333333331</v>
      </c>
      <c r="E283" s="3">
        <v>27</v>
      </c>
      <c r="F283" s="3">
        <v>9.1</v>
      </c>
      <c r="G283" s="3">
        <v>74</v>
      </c>
      <c r="H283" s="3">
        <v>6.6</v>
      </c>
      <c r="I283" s="3"/>
      <c r="J283" s="3"/>
      <c r="K283" s="3"/>
      <c r="L283" s="3"/>
      <c r="M283" s="7"/>
      <c r="N283" s="3"/>
      <c r="O283" s="3"/>
      <c r="P283" s="3"/>
      <c r="Q283" s="3"/>
      <c r="R283" s="3"/>
      <c r="S283" s="3"/>
    </row>
    <row r="284" spans="3:19" ht="13.5" customHeight="1" x14ac:dyDescent="0.2">
      <c r="C284" s="213">
        <v>44369</v>
      </c>
      <c r="D284" s="19">
        <v>0.39583333333333331</v>
      </c>
      <c r="E284" s="3">
        <v>29</v>
      </c>
      <c r="F284" s="3">
        <v>9.06</v>
      </c>
      <c r="G284" s="3">
        <v>73.5</v>
      </c>
      <c r="H284" s="3">
        <v>6.4</v>
      </c>
      <c r="I284" s="3"/>
      <c r="J284" s="3"/>
      <c r="K284" s="3"/>
      <c r="L284" s="3"/>
      <c r="M284" s="7"/>
      <c r="N284" s="3"/>
      <c r="O284" s="3"/>
      <c r="P284" s="3"/>
      <c r="Q284" s="3"/>
      <c r="R284" s="3"/>
      <c r="S284" s="3"/>
    </row>
    <row r="285" spans="3:19" ht="13.5" customHeight="1" x14ac:dyDescent="0.2">
      <c r="C285" s="213">
        <v>44369</v>
      </c>
      <c r="D285" s="19">
        <v>0.39583333333333331</v>
      </c>
      <c r="E285" s="3">
        <v>31</v>
      </c>
      <c r="F285" s="3">
        <v>9.07</v>
      </c>
      <c r="G285" s="3">
        <v>73.400000000000006</v>
      </c>
      <c r="H285" s="3">
        <v>6.3</v>
      </c>
      <c r="I285" s="3"/>
      <c r="J285" s="3"/>
      <c r="K285" s="3"/>
      <c r="L285" s="3"/>
      <c r="M285" s="7"/>
      <c r="N285" s="3"/>
      <c r="O285" s="3"/>
      <c r="P285" s="3"/>
      <c r="Q285" s="3"/>
      <c r="R285" s="3"/>
      <c r="S285" s="3"/>
    </row>
    <row r="286" spans="3:19" ht="13.5" customHeight="1" x14ac:dyDescent="0.2">
      <c r="C286" s="213">
        <v>44369</v>
      </c>
      <c r="D286" s="19">
        <v>0.39583333333333331</v>
      </c>
      <c r="E286" s="3">
        <v>33</v>
      </c>
      <c r="F286" s="3">
        <v>9.0500000000000007</v>
      </c>
      <c r="G286" s="3">
        <v>73.099999999999994</v>
      </c>
      <c r="H286" s="3">
        <v>6.2</v>
      </c>
      <c r="I286" s="3"/>
      <c r="J286" s="3"/>
      <c r="K286" s="3"/>
      <c r="L286" s="3"/>
      <c r="M286" s="7"/>
      <c r="N286" s="3"/>
      <c r="O286" s="3"/>
      <c r="P286" s="3"/>
      <c r="Q286" s="3"/>
      <c r="R286" s="3"/>
      <c r="S286" s="3"/>
    </row>
    <row r="287" spans="3:19" ht="13.5" customHeight="1" x14ac:dyDescent="0.2">
      <c r="C287" s="213">
        <v>44369</v>
      </c>
      <c r="D287" s="19">
        <v>0.39583333333333331</v>
      </c>
      <c r="E287" s="3">
        <v>35</v>
      </c>
      <c r="F287" s="3">
        <v>9.0399999999999991</v>
      </c>
      <c r="G287" s="3">
        <v>72.8</v>
      </c>
      <c r="H287" s="3">
        <v>6.1</v>
      </c>
      <c r="I287" s="3"/>
      <c r="J287" s="3"/>
      <c r="K287" s="3"/>
      <c r="L287" s="3"/>
      <c r="M287" s="7"/>
      <c r="N287" s="3"/>
      <c r="O287" s="3"/>
      <c r="P287" s="3"/>
      <c r="Q287" s="3"/>
      <c r="R287" s="3"/>
      <c r="S287" s="3"/>
    </row>
    <row r="288" spans="3:19" ht="13.5" customHeight="1" x14ac:dyDescent="0.2">
      <c r="C288" s="213">
        <v>44369</v>
      </c>
      <c r="D288" s="19">
        <v>0.39583333333333331</v>
      </c>
      <c r="E288" s="3">
        <v>37</v>
      </c>
      <c r="F288" s="3">
        <v>9.0299999999999994</v>
      </c>
      <c r="G288" s="3">
        <v>72.5</v>
      </c>
      <c r="H288" s="3">
        <v>6</v>
      </c>
      <c r="I288" s="3"/>
      <c r="J288" s="3"/>
      <c r="K288" s="3"/>
      <c r="L288" s="3"/>
      <c r="M288" s="7"/>
      <c r="N288" s="3"/>
      <c r="O288" s="3"/>
      <c r="P288" s="3"/>
      <c r="Q288" s="3"/>
      <c r="R288" s="3"/>
      <c r="S288" s="3"/>
    </row>
    <row r="289" spans="3:19" ht="13.5" customHeight="1" x14ac:dyDescent="0.2">
      <c r="C289" s="213">
        <v>44369</v>
      </c>
      <c r="D289" s="19">
        <v>0.39583333333333331</v>
      </c>
      <c r="E289" s="3">
        <v>39</v>
      </c>
      <c r="F289" s="3">
        <v>9</v>
      </c>
      <c r="G289" s="3">
        <v>72.3</v>
      </c>
      <c r="H289" s="3">
        <v>6</v>
      </c>
      <c r="I289" s="3"/>
      <c r="J289" s="3"/>
      <c r="K289" s="3"/>
      <c r="L289" s="3"/>
      <c r="M289" s="7"/>
      <c r="N289" s="3"/>
      <c r="O289" s="3"/>
      <c r="P289" s="3"/>
      <c r="Q289" s="3"/>
      <c r="R289" s="3"/>
      <c r="S289" s="3"/>
    </row>
    <row r="290" spans="3:19" ht="13.5" customHeight="1" x14ac:dyDescent="0.2">
      <c r="C290" s="213">
        <v>44369</v>
      </c>
      <c r="D290" s="19">
        <v>0.39583333333333331</v>
      </c>
      <c r="E290" s="3">
        <v>41</v>
      </c>
      <c r="F290" s="3">
        <v>8.9700000000000006</v>
      </c>
      <c r="G290" s="3">
        <v>71.900000000000006</v>
      </c>
      <c r="H290" s="3">
        <v>5.9</v>
      </c>
      <c r="I290" s="3"/>
      <c r="J290" s="3"/>
      <c r="K290" s="3"/>
      <c r="L290" s="3"/>
      <c r="M290" s="7"/>
      <c r="N290" s="3"/>
      <c r="O290" s="3"/>
      <c r="P290" s="3"/>
      <c r="Q290" s="3"/>
      <c r="R290" s="3"/>
      <c r="S290" s="3"/>
    </row>
    <row r="291" spans="3:19" ht="13.5" customHeight="1" x14ac:dyDescent="0.2">
      <c r="C291" s="213">
        <v>44369</v>
      </c>
      <c r="D291" s="19">
        <v>0.39583333333333331</v>
      </c>
      <c r="E291" s="3">
        <v>43</v>
      </c>
      <c r="F291" s="3"/>
      <c r="G291" s="3"/>
      <c r="H291" s="3">
        <v>5.9</v>
      </c>
      <c r="I291" s="3"/>
      <c r="J291" s="3"/>
      <c r="K291" s="3"/>
      <c r="L291" s="3"/>
      <c r="M291" s="7"/>
      <c r="N291" s="3"/>
      <c r="O291" s="3"/>
      <c r="P291" s="3"/>
      <c r="Q291" s="3"/>
      <c r="R291" s="3"/>
      <c r="S291" s="3"/>
    </row>
    <row r="292" spans="3:19" ht="13.5" customHeight="1" x14ac:dyDescent="0.2">
      <c r="C292" s="213"/>
      <c r="D292" s="19"/>
      <c r="E292" s="3"/>
      <c r="F292" s="3"/>
      <c r="G292" s="3"/>
      <c r="H292" s="3"/>
      <c r="I292" s="3"/>
      <c r="J292" s="3"/>
      <c r="K292" s="3"/>
      <c r="L292" s="3"/>
      <c r="M292" s="7"/>
      <c r="N292" s="3"/>
      <c r="O292" s="3"/>
      <c r="P292" s="3"/>
      <c r="Q292" s="3"/>
      <c r="R292" s="3"/>
      <c r="S292" s="3"/>
    </row>
    <row r="293" spans="3:19" ht="13.5" customHeight="1" x14ac:dyDescent="0.2">
      <c r="C293" s="213"/>
      <c r="D293" s="19"/>
      <c r="E293" s="3"/>
      <c r="F293" s="3"/>
      <c r="G293" s="3"/>
      <c r="H293" s="3"/>
      <c r="I293" s="3"/>
      <c r="J293" s="3"/>
      <c r="K293" s="3"/>
      <c r="L293" s="3"/>
      <c r="M293" s="7"/>
      <c r="N293" s="3"/>
      <c r="O293" s="3"/>
      <c r="P293" s="3"/>
      <c r="Q293" s="3"/>
      <c r="R293" s="3"/>
      <c r="S293" s="3"/>
    </row>
    <row r="294" spans="3:19" ht="13.5" customHeight="1" x14ac:dyDescent="0.2">
      <c r="C294" s="213"/>
      <c r="D294" s="19"/>
      <c r="E294" s="3"/>
      <c r="F294" s="3"/>
      <c r="G294" s="3"/>
      <c r="H294" s="3"/>
      <c r="I294" s="3"/>
      <c r="J294" s="3"/>
      <c r="K294" s="3"/>
      <c r="L294" s="3"/>
      <c r="M294" s="7"/>
      <c r="N294" s="3"/>
      <c r="O294" s="3"/>
      <c r="P294" s="3"/>
      <c r="Q294" s="3"/>
      <c r="R294" s="3"/>
      <c r="S294" s="3"/>
    </row>
    <row r="295" spans="3:19" ht="13.5" customHeight="1" x14ac:dyDescent="0.2">
      <c r="C295" s="213"/>
      <c r="D295" s="19"/>
      <c r="E295" s="3"/>
      <c r="F295" s="3"/>
      <c r="G295" s="3"/>
      <c r="H295" s="3"/>
      <c r="I295" s="3"/>
      <c r="J295" s="3"/>
      <c r="K295" s="3"/>
      <c r="L295" s="3"/>
      <c r="M295" s="7"/>
      <c r="N295" s="3"/>
      <c r="O295" s="3"/>
      <c r="P295" s="3"/>
      <c r="Q295" s="3"/>
      <c r="R295" s="3"/>
      <c r="S295" s="3"/>
    </row>
    <row r="296" spans="3:19" ht="13.5" customHeight="1" x14ac:dyDescent="0.2">
      <c r="C296" s="213"/>
      <c r="D296" s="3"/>
      <c r="E296" s="3"/>
      <c r="F296" s="3"/>
      <c r="G296" s="3"/>
      <c r="H296" s="3"/>
      <c r="I296" s="3"/>
      <c r="J296" s="3"/>
      <c r="K296" s="3"/>
      <c r="L296" s="3"/>
      <c r="M296" s="7"/>
      <c r="N296" s="3"/>
      <c r="O296" s="3"/>
      <c r="P296" s="3"/>
      <c r="Q296" s="3"/>
      <c r="R296" s="3"/>
      <c r="S296" s="3"/>
    </row>
    <row r="297" spans="3:19" ht="13.5" customHeight="1" x14ac:dyDescent="0.2">
      <c r="C297" s="213">
        <v>44403</v>
      </c>
      <c r="D297" s="19">
        <v>0.44097222222222227</v>
      </c>
      <c r="E297" s="3"/>
      <c r="F297" s="3"/>
      <c r="G297" s="3"/>
      <c r="H297" s="3"/>
      <c r="I297" s="3"/>
      <c r="J297" s="3">
        <v>13</v>
      </c>
      <c r="K297" s="3">
        <v>13.2</v>
      </c>
      <c r="L297" s="3"/>
      <c r="M297" s="7"/>
      <c r="N297" s="3"/>
      <c r="O297" s="3"/>
      <c r="P297" s="3"/>
      <c r="Q297" s="3"/>
      <c r="R297" s="3"/>
      <c r="S297" s="3"/>
    </row>
    <row r="298" spans="3:19" ht="13.5" customHeight="1" x14ac:dyDescent="0.2">
      <c r="C298" s="213">
        <v>44403</v>
      </c>
      <c r="D298" s="19">
        <v>0.44097222222222227</v>
      </c>
      <c r="E298" s="3">
        <v>0.1</v>
      </c>
      <c r="F298" s="3">
        <v>6.9</v>
      </c>
      <c r="G298" s="3">
        <v>81.7</v>
      </c>
      <c r="H298" s="3">
        <v>23.9</v>
      </c>
      <c r="I298" s="3">
        <v>23.9</v>
      </c>
      <c r="J298" s="3"/>
      <c r="K298" s="3"/>
      <c r="L298" s="3"/>
      <c r="M298" s="7"/>
      <c r="N298" s="3"/>
      <c r="O298" s="3"/>
      <c r="P298" s="3"/>
      <c r="Q298" s="3"/>
      <c r="R298" s="3"/>
      <c r="S298" s="3"/>
    </row>
    <row r="299" spans="3:19" ht="13.5" customHeight="1" x14ac:dyDescent="0.2">
      <c r="C299" s="213">
        <v>44403</v>
      </c>
      <c r="D299" s="19">
        <v>0.44097222222222227</v>
      </c>
      <c r="E299" s="3">
        <v>1</v>
      </c>
      <c r="F299" s="3">
        <v>6.92</v>
      </c>
      <c r="G299" s="3">
        <v>81.5</v>
      </c>
      <c r="H299" s="3">
        <v>23.5</v>
      </c>
      <c r="I299" s="3">
        <v>23.5</v>
      </c>
      <c r="J299" s="3"/>
      <c r="K299" s="3"/>
      <c r="L299" s="3"/>
      <c r="M299" s="7"/>
      <c r="N299" s="3"/>
      <c r="O299" s="3"/>
      <c r="P299" s="3"/>
      <c r="Q299" s="3"/>
      <c r="R299" s="3"/>
      <c r="S299" s="3"/>
    </row>
    <row r="300" spans="3:19" ht="13.5" customHeight="1" x14ac:dyDescent="0.2">
      <c r="C300" s="213">
        <v>44403</v>
      </c>
      <c r="D300" s="19">
        <v>0.44097222222222227</v>
      </c>
      <c r="E300" s="3">
        <v>2</v>
      </c>
      <c r="F300" s="3">
        <v>6.92</v>
      </c>
      <c r="G300" s="3">
        <v>81.2</v>
      </c>
      <c r="H300" s="3">
        <v>23.4</v>
      </c>
      <c r="I300" s="3">
        <v>23.4</v>
      </c>
      <c r="J300" s="3"/>
      <c r="K300" s="3"/>
      <c r="L300" s="3"/>
      <c r="M300" s="7"/>
      <c r="N300" s="3"/>
      <c r="O300" s="3"/>
      <c r="P300" s="3"/>
      <c r="Q300" s="3"/>
      <c r="R300" s="3"/>
      <c r="S300" s="3"/>
    </row>
    <row r="301" spans="3:19" ht="13.5" customHeight="1" x14ac:dyDescent="0.2">
      <c r="C301" s="213">
        <v>44403</v>
      </c>
      <c r="D301" s="19">
        <v>0.44097222222222227</v>
      </c>
      <c r="E301" s="3">
        <v>3</v>
      </c>
      <c r="F301" s="3">
        <v>6.92</v>
      </c>
      <c r="G301" s="3">
        <v>81.099999999999994</v>
      </c>
      <c r="H301" s="3">
        <v>23.3</v>
      </c>
      <c r="I301" s="3">
        <v>23.3</v>
      </c>
      <c r="J301" s="3"/>
      <c r="K301" s="3"/>
      <c r="L301" s="3"/>
      <c r="M301" s="7"/>
      <c r="N301" s="3"/>
      <c r="O301" s="3"/>
      <c r="P301" s="3"/>
      <c r="Q301" s="3"/>
      <c r="R301" s="3"/>
      <c r="S301" s="3"/>
    </row>
    <row r="302" spans="3:19" ht="13.5" customHeight="1" x14ac:dyDescent="0.2">
      <c r="C302" s="213">
        <v>44403</v>
      </c>
      <c r="D302" s="19">
        <v>0.44097222222222227</v>
      </c>
      <c r="E302" s="3">
        <v>4</v>
      </c>
      <c r="F302" s="3">
        <v>6.9</v>
      </c>
      <c r="G302" s="3">
        <v>80.900000000000006</v>
      </c>
      <c r="H302" s="3">
        <v>23.3</v>
      </c>
      <c r="I302" s="3">
        <v>23.3</v>
      </c>
      <c r="J302" s="3"/>
      <c r="K302" s="3"/>
      <c r="L302" s="3"/>
      <c r="M302" s="7"/>
      <c r="N302" s="3"/>
      <c r="O302" s="3"/>
      <c r="P302" s="3"/>
      <c r="Q302" s="3"/>
      <c r="R302" s="3"/>
      <c r="S302" s="3"/>
    </row>
    <row r="303" spans="3:19" ht="13.5" customHeight="1" x14ac:dyDescent="0.2">
      <c r="C303" s="213">
        <v>44403</v>
      </c>
      <c r="D303" s="19">
        <v>0.44097222222222227</v>
      </c>
      <c r="E303" s="3">
        <v>5</v>
      </c>
      <c r="F303" s="3">
        <v>6.9</v>
      </c>
      <c r="G303" s="3">
        <v>80.8</v>
      </c>
      <c r="H303" s="3">
        <v>23.2</v>
      </c>
      <c r="I303" s="3">
        <v>23.2</v>
      </c>
      <c r="J303" s="3"/>
      <c r="K303" s="3"/>
      <c r="L303" s="3"/>
      <c r="M303" s="7"/>
      <c r="N303" s="3"/>
      <c r="O303" s="3"/>
      <c r="P303" s="3"/>
      <c r="Q303" s="3"/>
      <c r="R303" s="3"/>
      <c r="S303" s="3"/>
    </row>
    <row r="304" spans="3:19" ht="13.5" customHeight="1" x14ac:dyDescent="0.2">
      <c r="C304" s="213">
        <v>44403</v>
      </c>
      <c r="D304" s="19">
        <v>0.44097222222222227</v>
      </c>
      <c r="E304" s="3">
        <v>6</v>
      </c>
      <c r="F304" s="3">
        <v>6.89</v>
      </c>
      <c r="G304" s="3">
        <v>80.599999999999994</v>
      </c>
      <c r="H304" s="3">
        <v>23.2</v>
      </c>
      <c r="I304" s="3">
        <v>23.2</v>
      </c>
      <c r="J304" s="3"/>
      <c r="K304" s="3"/>
      <c r="L304" s="3"/>
      <c r="M304" s="7"/>
      <c r="N304" s="3"/>
      <c r="O304" s="3"/>
      <c r="P304" s="3"/>
      <c r="Q304" s="3"/>
      <c r="R304" s="3"/>
      <c r="S304" s="3"/>
    </row>
    <row r="305" spans="3:19" ht="13.5" customHeight="1" x14ac:dyDescent="0.2">
      <c r="C305" s="213">
        <v>44403</v>
      </c>
      <c r="D305" s="19">
        <v>0.44097222222222227</v>
      </c>
      <c r="E305" s="3">
        <v>7</v>
      </c>
      <c r="F305" s="3">
        <v>6.87</v>
      </c>
      <c r="G305" s="3">
        <v>80.400000000000006</v>
      </c>
      <c r="H305" s="3">
        <v>23.2</v>
      </c>
      <c r="I305" s="3">
        <v>23.2</v>
      </c>
      <c r="J305" s="3"/>
      <c r="K305" s="3"/>
      <c r="L305" s="3"/>
      <c r="M305" s="7"/>
      <c r="N305" s="3"/>
      <c r="O305" s="3"/>
      <c r="P305" s="3"/>
      <c r="Q305" s="3"/>
      <c r="R305" s="3"/>
      <c r="S305" s="3"/>
    </row>
    <row r="306" spans="3:19" ht="13.5" customHeight="1" x14ac:dyDescent="0.2">
      <c r="C306" s="213">
        <v>44403</v>
      </c>
      <c r="D306" s="19">
        <v>0.44097222222222227</v>
      </c>
      <c r="E306" s="3">
        <v>8</v>
      </c>
      <c r="F306" s="3">
        <v>7.03</v>
      </c>
      <c r="G306" s="3">
        <v>81.5</v>
      </c>
      <c r="H306" s="3">
        <v>22.6</v>
      </c>
      <c r="I306" s="3">
        <v>22.6</v>
      </c>
      <c r="J306" s="3"/>
      <c r="K306" s="3"/>
      <c r="L306" s="3"/>
      <c r="M306" s="7"/>
      <c r="N306" s="3"/>
      <c r="O306" s="3"/>
      <c r="P306" s="3"/>
      <c r="Q306" s="3"/>
      <c r="R306" s="3"/>
      <c r="S306" s="3"/>
    </row>
    <row r="307" spans="3:19" ht="13.5" customHeight="1" x14ac:dyDescent="0.2">
      <c r="C307" s="213">
        <v>44403</v>
      </c>
      <c r="D307" s="19">
        <v>0.44097222222222227</v>
      </c>
      <c r="E307" s="3">
        <v>9</v>
      </c>
      <c r="F307" s="3">
        <v>8.76</v>
      </c>
      <c r="G307" s="3">
        <v>92</v>
      </c>
      <c r="H307" s="3">
        <v>17</v>
      </c>
      <c r="I307" s="51">
        <f>AVERAGE(I298:I306)</f>
        <v>23.288888888888884</v>
      </c>
      <c r="J307" s="51"/>
      <c r="K307" s="3"/>
      <c r="L307" s="3"/>
      <c r="M307" s="7"/>
      <c r="N307" s="3"/>
      <c r="O307" s="3"/>
      <c r="P307" s="3"/>
      <c r="Q307" s="3"/>
      <c r="R307" s="3"/>
      <c r="S307" s="3"/>
    </row>
    <row r="308" spans="3:19" ht="13.5" customHeight="1" x14ac:dyDescent="0.2">
      <c r="C308" s="213">
        <v>44403</v>
      </c>
      <c r="D308" s="19">
        <v>0.44097222222222227</v>
      </c>
      <c r="E308" s="3">
        <v>11</v>
      </c>
      <c r="F308" s="3">
        <v>9.41</v>
      </c>
      <c r="G308" s="3">
        <v>88.5</v>
      </c>
      <c r="H308" s="3">
        <v>13.9</v>
      </c>
      <c r="I308" s="3"/>
      <c r="J308" s="3"/>
      <c r="K308" s="3"/>
      <c r="L308" s="3"/>
      <c r="M308" s="7"/>
      <c r="N308" s="3"/>
      <c r="O308" s="3"/>
      <c r="P308" s="3"/>
      <c r="Q308" s="3"/>
      <c r="R308" s="3"/>
      <c r="S308" s="3"/>
    </row>
    <row r="309" spans="3:19" ht="13.5" customHeight="1" x14ac:dyDescent="0.2">
      <c r="C309" s="213">
        <v>44403</v>
      </c>
      <c r="D309" s="19">
        <v>0.44097222222222227</v>
      </c>
      <c r="E309" s="3">
        <v>13</v>
      </c>
      <c r="F309" s="3">
        <v>9.2100000000000009</v>
      </c>
      <c r="G309" s="3">
        <v>87.4</v>
      </c>
      <c r="H309" s="3">
        <v>13</v>
      </c>
      <c r="I309" s="3"/>
      <c r="J309" s="3"/>
      <c r="K309" s="3"/>
      <c r="L309" s="3"/>
      <c r="M309" s="7"/>
      <c r="N309" s="3"/>
      <c r="O309" s="3"/>
      <c r="P309" s="3"/>
      <c r="Q309" s="3"/>
      <c r="R309" s="3"/>
      <c r="S309" s="3"/>
    </row>
    <row r="310" spans="3:19" ht="13.5" customHeight="1" x14ac:dyDescent="0.2">
      <c r="C310" s="213">
        <v>44403</v>
      </c>
      <c r="D310" s="19">
        <v>0.44097222222222227</v>
      </c>
      <c r="E310" s="3">
        <v>15</v>
      </c>
      <c r="F310" s="3">
        <v>9.27</v>
      </c>
      <c r="G310" s="3">
        <v>85.4</v>
      </c>
      <c r="H310" s="3">
        <v>11.7</v>
      </c>
      <c r="I310" s="3"/>
      <c r="J310" s="3"/>
      <c r="K310" s="3"/>
      <c r="L310" s="3"/>
      <c r="M310" s="7"/>
      <c r="N310" s="3"/>
      <c r="O310" s="3"/>
      <c r="P310" s="3"/>
      <c r="Q310" s="3"/>
      <c r="R310" s="3"/>
      <c r="S310" s="3"/>
    </row>
    <row r="311" spans="3:19" ht="13.5" customHeight="1" x14ac:dyDescent="0.2">
      <c r="C311" s="213">
        <v>44403</v>
      </c>
      <c r="D311" s="19">
        <v>0.44097222222222227</v>
      </c>
      <c r="E311" s="3">
        <v>17</v>
      </c>
      <c r="F311" s="3">
        <v>9.2899999999999991</v>
      </c>
      <c r="G311" s="3">
        <v>82.3</v>
      </c>
      <c r="H311" s="3">
        <v>10</v>
      </c>
      <c r="I311" s="3"/>
      <c r="J311" s="3"/>
      <c r="K311" s="3"/>
      <c r="L311" s="3"/>
      <c r="M311" s="7"/>
      <c r="N311" s="3"/>
      <c r="O311" s="3"/>
      <c r="P311" s="3"/>
      <c r="Q311" s="3"/>
      <c r="R311" s="3"/>
      <c r="S311" s="3"/>
    </row>
    <row r="312" spans="3:19" ht="13.5" customHeight="1" x14ac:dyDescent="0.2">
      <c r="C312" s="213">
        <v>44403</v>
      </c>
      <c r="D312" s="19">
        <v>0.44097222222222227</v>
      </c>
      <c r="E312" s="3">
        <v>19</v>
      </c>
      <c r="F312" s="3">
        <v>9.18</v>
      </c>
      <c r="G312" s="3">
        <v>79.099999999999994</v>
      </c>
      <c r="H312" s="3">
        <v>8.9</v>
      </c>
      <c r="I312" s="3"/>
      <c r="J312" s="3"/>
      <c r="K312" s="3"/>
      <c r="L312" s="3"/>
      <c r="M312" s="7"/>
      <c r="N312" s="3"/>
      <c r="O312" s="3"/>
      <c r="P312" s="3"/>
      <c r="Q312" s="3"/>
      <c r="R312" s="3"/>
      <c r="S312" s="3"/>
    </row>
    <row r="313" spans="3:19" ht="13.5" customHeight="1" x14ac:dyDescent="0.2">
      <c r="C313" s="213">
        <v>44403</v>
      </c>
      <c r="D313" s="19">
        <v>0.44097222222222227</v>
      </c>
      <c r="E313" s="3">
        <v>21</v>
      </c>
      <c r="F313" s="3">
        <v>9.02</v>
      </c>
      <c r="G313" s="3">
        <v>75.7</v>
      </c>
      <c r="H313" s="3">
        <v>7.9</v>
      </c>
      <c r="I313" s="3"/>
      <c r="J313" s="3"/>
      <c r="K313" s="3"/>
      <c r="L313" s="3"/>
      <c r="M313" s="7"/>
      <c r="N313" s="3"/>
      <c r="O313" s="3"/>
      <c r="P313" s="3"/>
      <c r="Q313" s="3"/>
      <c r="R313" s="3"/>
      <c r="S313" s="3"/>
    </row>
    <row r="314" spans="3:19" ht="13.5" customHeight="1" x14ac:dyDescent="0.2">
      <c r="C314" s="213">
        <v>44403</v>
      </c>
      <c r="D314" s="19">
        <v>0.44097222222222227</v>
      </c>
      <c r="E314" s="3">
        <v>23</v>
      </c>
      <c r="F314" s="3">
        <v>8.91</v>
      </c>
      <c r="G314" s="3">
        <v>73.900000000000006</v>
      </c>
      <c r="H314" s="3">
        <v>7.3</v>
      </c>
      <c r="I314" s="3"/>
      <c r="J314" s="3"/>
      <c r="K314" s="3"/>
      <c r="L314" s="3"/>
      <c r="M314" s="7"/>
      <c r="N314" s="3"/>
      <c r="O314" s="3"/>
      <c r="P314" s="3"/>
      <c r="Q314" s="3"/>
      <c r="R314" s="3"/>
      <c r="S314" s="3"/>
    </row>
    <row r="315" spans="3:19" ht="13.5" customHeight="1" x14ac:dyDescent="0.2">
      <c r="C315" s="213">
        <v>44403</v>
      </c>
      <c r="D315" s="19">
        <v>0.44097222222222227</v>
      </c>
      <c r="E315" s="3">
        <v>25</v>
      </c>
      <c r="F315" s="3">
        <v>8.82</v>
      </c>
      <c r="G315" s="3">
        <v>72.599999999999994</v>
      </c>
      <c r="H315" s="3">
        <v>7</v>
      </c>
      <c r="I315" s="3"/>
      <c r="J315" s="3"/>
      <c r="K315" s="3"/>
      <c r="L315" s="3"/>
      <c r="M315" s="7"/>
      <c r="N315" s="3"/>
      <c r="O315" s="3"/>
      <c r="P315" s="3"/>
      <c r="Q315" s="3"/>
      <c r="R315" s="3"/>
      <c r="S315" s="3"/>
    </row>
    <row r="316" spans="3:19" ht="13.5" customHeight="1" x14ac:dyDescent="0.2">
      <c r="C316" s="213">
        <v>44403</v>
      </c>
      <c r="D316" s="19">
        <v>0.44097222222222227</v>
      </c>
      <c r="E316" s="3">
        <v>27</v>
      </c>
      <c r="F316" s="3">
        <v>8.81</v>
      </c>
      <c r="G316" s="3">
        <v>72</v>
      </c>
      <c r="H316" s="3">
        <v>6.7</v>
      </c>
      <c r="I316" s="3"/>
      <c r="J316" s="3"/>
      <c r="K316" s="3"/>
      <c r="L316" s="3"/>
      <c r="M316" s="7"/>
      <c r="N316" s="3"/>
      <c r="O316" s="3"/>
      <c r="P316" s="3"/>
      <c r="Q316" s="3"/>
      <c r="R316" s="3"/>
      <c r="S316" s="3"/>
    </row>
    <row r="317" spans="3:19" ht="13.5" customHeight="1" x14ac:dyDescent="0.2">
      <c r="C317" s="213">
        <v>44403</v>
      </c>
      <c r="D317" s="19">
        <v>0.44097222222222227</v>
      </c>
      <c r="E317" s="3">
        <v>29</v>
      </c>
      <c r="F317" s="3">
        <v>8.8000000000000007</v>
      </c>
      <c r="G317" s="3">
        <v>71.599999999999994</v>
      </c>
      <c r="H317" s="3">
        <v>6.5</v>
      </c>
      <c r="I317" s="3"/>
      <c r="J317" s="3"/>
      <c r="K317" s="3"/>
      <c r="L317" s="3"/>
      <c r="M317" s="7"/>
      <c r="N317" s="3"/>
      <c r="O317" s="3"/>
      <c r="P317" s="3"/>
      <c r="Q317" s="3"/>
      <c r="R317" s="3"/>
      <c r="S317" s="3"/>
    </row>
    <row r="318" spans="3:19" ht="13.5" customHeight="1" x14ac:dyDescent="0.2">
      <c r="C318" s="213">
        <v>44403</v>
      </c>
      <c r="D318" s="19">
        <v>0.44097222222222227</v>
      </c>
      <c r="E318" s="3">
        <v>31</v>
      </c>
      <c r="F318" s="3">
        <v>8.76</v>
      </c>
      <c r="G318" s="3">
        <v>71</v>
      </c>
      <c r="H318" s="3">
        <v>6.4</v>
      </c>
      <c r="I318" s="3"/>
      <c r="J318" s="3"/>
      <c r="K318" s="3"/>
      <c r="L318" s="3"/>
      <c r="M318" s="7"/>
      <c r="N318" s="3"/>
      <c r="O318" s="3"/>
      <c r="P318" s="3"/>
      <c r="Q318" s="3"/>
      <c r="R318" s="3"/>
      <c r="S318" s="3"/>
    </row>
    <row r="319" spans="3:19" ht="13.5" customHeight="1" x14ac:dyDescent="0.2">
      <c r="C319" s="213">
        <v>44403</v>
      </c>
      <c r="D319" s="19">
        <v>0.44097222222222227</v>
      </c>
      <c r="E319" s="3">
        <v>33</v>
      </c>
      <c r="F319" s="3">
        <v>8.7200000000000006</v>
      </c>
      <c r="G319" s="3">
        <v>70.400000000000006</v>
      </c>
      <c r="H319" s="3">
        <v>6.2</v>
      </c>
      <c r="I319" s="3"/>
      <c r="J319" s="3"/>
      <c r="K319" s="3"/>
      <c r="L319" s="3"/>
      <c r="M319" s="7"/>
      <c r="N319" s="3"/>
      <c r="O319" s="3"/>
      <c r="P319" s="3"/>
      <c r="Q319" s="3"/>
      <c r="R319" s="3"/>
      <c r="S319" s="3"/>
    </row>
    <row r="320" spans="3:19" ht="13.5" customHeight="1" x14ac:dyDescent="0.2">
      <c r="C320" s="213">
        <v>44403</v>
      </c>
      <c r="D320" s="19">
        <v>0.44097222222222227</v>
      </c>
      <c r="E320" s="3">
        <v>35</v>
      </c>
      <c r="F320" s="3">
        <v>8.6</v>
      </c>
      <c r="G320" s="3">
        <v>70.2</v>
      </c>
      <c r="H320" s="3">
        <v>6.1</v>
      </c>
      <c r="I320" s="3"/>
      <c r="J320" s="3"/>
      <c r="K320" s="3"/>
      <c r="L320" s="3"/>
      <c r="M320" s="7"/>
      <c r="N320" s="3"/>
      <c r="O320" s="3"/>
      <c r="P320" s="3"/>
      <c r="Q320" s="3"/>
      <c r="R320" s="3"/>
      <c r="S320" s="3"/>
    </row>
    <row r="321" spans="3:19" ht="13.5" customHeight="1" x14ac:dyDescent="0.2">
      <c r="C321" s="213">
        <v>44403</v>
      </c>
      <c r="D321" s="19">
        <v>0.44097222222222227</v>
      </c>
      <c r="E321" s="3">
        <v>37</v>
      </c>
      <c r="F321" s="3">
        <v>8.6</v>
      </c>
      <c r="G321" s="3">
        <v>69.099999999999994</v>
      </c>
      <c r="H321" s="3">
        <v>6.1</v>
      </c>
      <c r="I321" s="3"/>
      <c r="J321" s="3"/>
      <c r="K321" s="3"/>
      <c r="L321" s="3"/>
      <c r="M321" s="7"/>
      <c r="N321" s="3"/>
      <c r="O321" s="3"/>
      <c r="P321" s="3"/>
      <c r="Q321" s="3"/>
      <c r="R321" s="3"/>
      <c r="S321" s="3"/>
    </row>
    <row r="322" spans="3:19" ht="13.5" customHeight="1" x14ac:dyDescent="0.2">
      <c r="C322" s="213">
        <v>44403</v>
      </c>
      <c r="D322" s="19">
        <v>0.44097222222222227</v>
      </c>
      <c r="E322" s="3">
        <v>39</v>
      </c>
      <c r="F322" s="3">
        <v>8.4600000000000009</v>
      </c>
      <c r="G322" s="3">
        <v>68.099999999999994</v>
      </c>
      <c r="H322" s="3">
        <v>6.1</v>
      </c>
      <c r="I322" s="3"/>
      <c r="J322" s="3"/>
      <c r="K322" s="3"/>
      <c r="L322" s="3"/>
      <c r="M322" s="7"/>
      <c r="N322" s="3"/>
      <c r="O322" s="3"/>
      <c r="P322" s="3"/>
      <c r="Q322" s="3"/>
      <c r="R322" s="3"/>
      <c r="S322" s="3"/>
    </row>
    <row r="323" spans="3:19" ht="13.5" customHeight="1" x14ac:dyDescent="0.2">
      <c r="C323" s="213">
        <v>44403</v>
      </c>
      <c r="D323" s="19">
        <v>0.44097222222222227</v>
      </c>
      <c r="E323" s="3">
        <v>41</v>
      </c>
      <c r="F323" s="3">
        <v>8.39</v>
      </c>
      <c r="G323" s="3">
        <v>67.400000000000006</v>
      </c>
      <c r="H323" s="3">
        <v>6</v>
      </c>
      <c r="I323" s="3"/>
      <c r="J323" s="3"/>
      <c r="K323" s="3"/>
      <c r="L323" s="3"/>
      <c r="M323" s="7"/>
      <c r="N323" s="3"/>
      <c r="O323" s="3"/>
      <c r="P323" s="3"/>
      <c r="Q323" s="3"/>
      <c r="R323" s="3"/>
      <c r="S323" s="3"/>
    </row>
    <row r="324" spans="3:19" ht="13.5" customHeight="1" x14ac:dyDescent="0.2">
      <c r="C324" s="213">
        <v>44403</v>
      </c>
      <c r="D324" s="19">
        <v>0.44097222222222227</v>
      </c>
      <c r="E324" s="3">
        <v>43</v>
      </c>
      <c r="F324" s="3">
        <v>8.39</v>
      </c>
      <c r="G324" s="3">
        <v>67.3</v>
      </c>
      <c r="H324" s="3">
        <v>5.9</v>
      </c>
      <c r="I324" s="3"/>
      <c r="J324" s="3"/>
      <c r="K324" s="3"/>
      <c r="L324" s="3"/>
      <c r="M324" s="7"/>
      <c r="N324" s="3"/>
      <c r="O324" s="3"/>
      <c r="P324" s="3"/>
      <c r="Q324" s="3"/>
      <c r="R324" s="3"/>
      <c r="S324" s="3"/>
    </row>
    <row r="325" spans="3:19" ht="13.5" customHeight="1" x14ac:dyDescent="0.2">
      <c r="C325" s="213">
        <v>44403</v>
      </c>
      <c r="D325" s="19">
        <v>0.44097222222222227</v>
      </c>
      <c r="E325" s="3">
        <v>45</v>
      </c>
      <c r="F325" s="3">
        <v>7.8</v>
      </c>
      <c r="G325" s="3">
        <v>61.9</v>
      </c>
      <c r="H325" s="3">
        <v>5.9</v>
      </c>
      <c r="I325" s="3"/>
      <c r="J325" s="3"/>
      <c r="K325" s="3"/>
      <c r="L325" s="3"/>
      <c r="M325" s="7"/>
      <c r="N325" s="3"/>
      <c r="O325" s="3"/>
      <c r="P325" s="3"/>
      <c r="Q325" s="3"/>
      <c r="R325" s="3"/>
      <c r="S325" s="3"/>
    </row>
    <row r="326" spans="3:19" ht="13.5" customHeight="1" x14ac:dyDescent="0.2">
      <c r="C326" s="213"/>
      <c r="D326" s="3"/>
      <c r="E326" s="3"/>
      <c r="F326" s="3"/>
      <c r="G326" s="3"/>
      <c r="H326" s="3"/>
      <c r="I326" s="3"/>
      <c r="J326" s="3"/>
      <c r="K326" s="3"/>
      <c r="L326" s="3"/>
      <c r="M326" s="7"/>
      <c r="N326" s="3"/>
      <c r="O326" s="3"/>
      <c r="P326" s="3"/>
      <c r="Q326" s="3"/>
      <c r="R326" s="3"/>
      <c r="S326" s="3"/>
    </row>
    <row r="327" spans="3:19" ht="13.5" customHeight="1" x14ac:dyDescent="0.2">
      <c r="C327" s="213"/>
      <c r="D327" s="3"/>
      <c r="E327" s="3"/>
      <c r="F327" s="3"/>
      <c r="G327" s="3"/>
      <c r="H327" s="3"/>
      <c r="I327" s="3"/>
      <c r="J327" s="3"/>
      <c r="K327" s="3"/>
      <c r="L327" s="3"/>
      <c r="M327" s="7"/>
      <c r="N327" s="3"/>
      <c r="O327" s="3"/>
      <c r="P327" s="3"/>
      <c r="Q327" s="3"/>
      <c r="R327" s="3"/>
      <c r="S327" s="3"/>
    </row>
    <row r="328" spans="3:19" ht="13.5" customHeight="1" x14ac:dyDescent="0.2">
      <c r="C328" s="213"/>
      <c r="D328" s="3"/>
      <c r="E328" s="3"/>
      <c r="F328" s="3"/>
      <c r="G328" s="3"/>
      <c r="H328" s="3"/>
      <c r="I328" s="3"/>
      <c r="J328" s="3"/>
      <c r="K328" s="3"/>
      <c r="L328" s="3"/>
      <c r="M328" s="7"/>
      <c r="N328" s="3"/>
      <c r="O328" s="3"/>
      <c r="P328" s="3"/>
      <c r="Q328" s="3"/>
      <c r="R328" s="3"/>
      <c r="S328" s="3"/>
    </row>
    <row r="329" spans="3:19" ht="13.5" customHeight="1" x14ac:dyDescent="0.2">
      <c r="C329" s="213">
        <v>44438</v>
      </c>
      <c r="D329" s="19">
        <v>0.4284722222222222</v>
      </c>
      <c r="E329" s="3"/>
      <c r="F329" s="3"/>
      <c r="G329" s="3"/>
      <c r="H329" s="3"/>
      <c r="I329" s="3"/>
      <c r="J329" s="3">
        <v>9.5</v>
      </c>
      <c r="K329" s="3">
        <v>10.5</v>
      </c>
      <c r="L329" s="3"/>
      <c r="M329" s="7"/>
      <c r="N329" s="3"/>
      <c r="O329" s="3"/>
      <c r="P329" s="3"/>
      <c r="Q329" s="3"/>
      <c r="R329" s="3"/>
      <c r="S329" s="3"/>
    </row>
    <row r="330" spans="3:19" ht="13.5" customHeight="1" x14ac:dyDescent="0.2">
      <c r="C330" s="213">
        <v>44438</v>
      </c>
      <c r="D330" s="19">
        <v>0.44097222222222227</v>
      </c>
      <c r="E330" s="3">
        <v>0.1</v>
      </c>
      <c r="F330" s="24">
        <v>7.57</v>
      </c>
      <c r="G330" s="3">
        <v>83.6</v>
      </c>
      <c r="H330" s="7">
        <v>20.2</v>
      </c>
      <c r="I330" s="7">
        <v>20.2</v>
      </c>
      <c r="L330" s="3"/>
      <c r="M330" s="3"/>
      <c r="N330" s="3"/>
      <c r="O330" s="3"/>
      <c r="P330" s="3"/>
      <c r="Q330" s="3"/>
      <c r="R330" s="3"/>
      <c r="S330" s="3"/>
    </row>
    <row r="331" spans="3:19" ht="15.75" customHeight="1" x14ac:dyDescent="0.2">
      <c r="C331" s="208">
        <v>44438</v>
      </c>
      <c r="D331" s="19">
        <v>0.44097222222222227</v>
      </c>
      <c r="E331" s="3">
        <v>1</v>
      </c>
      <c r="F331" s="24">
        <v>7.59</v>
      </c>
      <c r="G331" s="3">
        <v>83.7</v>
      </c>
      <c r="H331" s="7">
        <v>20.100000000000001</v>
      </c>
      <c r="I331" s="7">
        <v>20.100000000000001</v>
      </c>
      <c r="L331" s="3"/>
      <c r="M331" s="3"/>
      <c r="N331" s="3"/>
      <c r="O331" s="3"/>
      <c r="P331" s="3"/>
      <c r="Q331" s="3"/>
      <c r="R331" s="3"/>
      <c r="S331" s="3"/>
    </row>
    <row r="332" spans="3:19" ht="15.75" customHeight="1" x14ac:dyDescent="0.2">
      <c r="C332" s="208">
        <v>44438</v>
      </c>
      <c r="D332" s="19">
        <v>0.44097222222222227</v>
      </c>
      <c r="E332" s="3">
        <v>2</v>
      </c>
      <c r="F332" s="24">
        <v>7.62</v>
      </c>
      <c r="G332" s="3">
        <v>83.8</v>
      </c>
      <c r="H332" s="7">
        <v>20</v>
      </c>
      <c r="I332" s="7">
        <v>20</v>
      </c>
      <c r="L332" s="3"/>
      <c r="M332" s="3"/>
      <c r="N332" s="3"/>
      <c r="O332" s="3"/>
      <c r="P332" s="3"/>
      <c r="Q332" s="3"/>
      <c r="R332" s="3"/>
      <c r="S332" s="3"/>
    </row>
    <row r="333" spans="3:19" ht="15.75" customHeight="1" x14ac:dyDescent="0.2">
      <c r="C333" s="208">
        <v>44438</v>
      </c>
      <c r="D333" s="19">
        <v>0.44097222222222227</v>
      </c>
      <c r="E333" s="3">
        <v>3</v>
      </c>
      <c r="F333" s="24">
        <v>7.61</v>
      </c>
      <c r="G333" s="3">
        <v>83.5</v>
      </c>
      <c r="H333" s="7">
        <v>19.899999999999999</v>
      </c>
      <c r="I333" s="7">
        <v>19.899999999999999</v>
      </c>
      <c r="L333" s="3"/>
      <c r="M333" s="3"/>
      <c r="N333" s="3"/>
      <c r="O333" s="3"/>
      <c r="P333" s="3"/>
      <c r="Q333" s="3"/>
      <c r="R333" s="3"/>
      <c r="S333" s="3"/>
    </row>
    <row r="334" spans="3:19" ht="15.75" customHeight="1" x14ac:dyDescent="0.2">
      <c r="C334" s="208">
        <v>44438</v>
      </c>
      <c r="D334" s="19">
        <v>0.44097222222222227</v>
      </c>
      <c r="E334" s="3">
        <v>4</v>
      </c>
      <c r="F334" s="24">
        <v>7.61</v>
      </c>
      <c r="G334" s="3">
        <v>83.4</v>
      </c>
      <c r="H334" s="7">
        <v>19.8</v>
      </c>
      <c r="I334" s="7">
        <v>19.8</v>
      </c>
      <c r="L334" s="3"/>
      <c r="M334" s="3"/>
      <c r="N334" s="3"/>
      <c r="O334" s="3"/>
      <c r="P334" s="3"/>
      <c r="Q334" s="3"/>
      <c r="R334" s="3"/>
      <c r="S334" s="3"/>
    </row>
    <row r="335" spans="3:19" ht="15.75" customHeight="1" x14ac:dyDescent="0.2">
      <c r="C335" s="208">
        <v>44438</v>
      </c>
      <c r="D335" s="19">
        <v>0.44097222222222227</v>
      </c>
      <c r="E335" s="3">
        <v>5</v>
      </c>
      <c r="F335" s="24">
        <v>7.6</v>
      </c>
      <c r="G335" s="3">
        <v>83.2</v>
      </c>
      <c r="H335" s="7">
        <v>19.8</v>
      </c>
      <c r="I335" s="7">
        <v>19.8</v>
      </c>
      <c r="L335" s="3"/>
      <c r="M335" s="3"/>
      <c r="N335" s="3"/>
      <c r="O335" s="3"/>
      <c r="P335" s="3"/>
      <c r="Q335" s="3"/>
      <c r="R335" s="3"/>
      <c r="S335" s="3"/>
    </row>
    <row r="336" spans="3:19" ht="15.75" customHeight="1" x14ac:dyDescent="0.2">
      <c r="C336" s="208">
        <v>44438</v>
      </c>
      <c r="D336" s="19">
        <v>0.44097222222222227</v>
      </c>
      <c r="E336" s="3">
        <v>6</v>
      </c>
      <c r="F336" s="24">
        <v>7.58</v>
      </c>
      <c r="G336" s="3">
        <v>83.1</v>
      </c>
      <c r="H336" s="7">
        <v>19.8</v>
      </c>
      <c r="I336" s="7">
        <v>19.8</v>
      </c>
      <c r="L336" s="3"/>
      <c r="M336" s="3"/>
      <c r="N336" s="3"/>
      <c r="O336" s="3"/>
      <c r="P336" s="3"/>
      <c r="Q336" s="3"/>
      <c r="R336" s="3"/>
      <c r="S336" s="3"/>
    </row>
    <row r="337" spans="3:19" ht="15.75" customHeight="1" x14ac:dyDescent="0.2">
      <c r="C337" s="208">
        <v>44438</v>
      </c>
      <c r="D337" s="19">
        <v>0.44097222222222227</v>
      </c>
      <c r="E337" s="3">
        <v>7</v>
      </c>
      <c r="F337" s="24">
        <v>7.57</v>
      </c>
      <c r="G337" s="3">
        <v>82.9</v>
      </c>
      <c r="H337" s="7">
        <v>19.8</v>
      </c>
      <c r="I337" s="7">
        <v>19.8</v>
      </c>
      <c r="L337" s="3"/>
      <c r="M337" s="3"/>
      <c r="N337" s="3"/>
      <c r="O337" s="3"/>
      <c r="P337" s="3"/>
      <c r="Q337" s="3"/>
      <c r="R337" s="3"/>
      <c r="S337" s="3"/>
    </row>
    <row r="338" spans="3:19" ht="15.75" customHeight="1" x14ac:dyDescent="0.2">
      <c r="C338" s="208">
        <v>44438</v>
      </c>
      <c r="D338" s="19">
        <v>0.44097222222222227</v>
      </c>
      <c r="E338" s="3">
        <v>8</v>
      </c>
      <c r="F338" s="24">
        <v>7.58</v>
      </c>
      <c r="G338" s="3">
        <v>82.9</v>
      </c>
      <c r="H338" s="7">
        <v>19.7</v>
      </c>
      <c r="I338" s="7">
        <v>19.7</v>
      </c>
      <c r="L338" s="3"/>
      <c r="M338" s="3"/>
      <c r="N338" s="3"/>
      <c r="O338" s="3"/>
      <c r="P338" s="3"/>
      <c r="Q338" s="3"/>
      <c r="R338" s="3"/>
      <c r="S338" s="3"/>
    </row>
    <row r="339" spans="3:19" ht="15.75" customHeight="1" x14ac:dyDescent="0.2">
      <c r="C339" s="208">
        <v>44438</v>
      </c>
      <c r="D339" s="19">
        <v>0.44097222222222227</v>
      </c>
      <c r="E339" s="3">
        <v>9</v>
      </c>
      <c r="F339" s="24">
        <v>7.58</v>
      </c>
      <c r="G339" s="3">
        <v>82.7</v>
      </c>
      <c r="H339" s="7">
        <v>19.600000000000001</v>
      </c>
      <c r="I339" s="7">
        <v>19.600000000000001</v>
      </c>
      <c r="L339" s="3"/>
      <c r="M339" s="3"/>
      <c r="N339" s="3"/>
      <c r="O339" s="3"/>
      <c r="P339" s="3"/>
      <c r="Q339" s="3"/>
      <c r="R339" s="3"/>
      <c r="S339" s="3"/>
    </row>
    <row r="340" spans="3:19" ht="15.75" customHeight="1" x14ac:dyDescent="0.2">
      <c r="C340" s="208">
        <v>44438</v>
      </c>
      <c r="D340" s="19">
        <v>0.44097222222222227</v>
      </c>
      <c r="E340" s="3">
        <v>10</v>
      </c>
      <c r="F340" s="24">
        <v>7.57</v>
      </c>
      <c r="G340" s="3">
        <v>82.4</v>
      </c>
      <c r="H340" s="7">
        <v>19.5</v>
      </c>
      <c r="I340" s="7">
        <v>19.5</v>
      </c>
      <c r="L340" s="3"/>
      <c r="M340" s="3"/>
      <c r="N340" s="3"/>
      <c r="O340" s="3"/>
      <c r="P340" s="3"/>
      <c r="Q340" s="3"/>
      <c r="R340" s="3"/>
      <c r="S340" s="3"/>
    </row>
    <row r="341" spans="3:19" ht="15.75" customHeight="1" x14ac:dyDescent="0.2">
      <c r="C341" s="208">
        <v>44438</v>
      </c>
      <c r="D341" s="19">
        <v>0.44097222222222227</v>
      </c>
      <c r="E341" s="3">
        <v>11</v>
      </c>
      <c r="F341" s="24">
        <v>8.69</v>
      </c>
      <c r="G341" s="3">
        <v>89.1</v>
      </c>
      <c r="H341" s="7">
        <v>16.600000000000001</v>
      </c>
      <c r="I341" s="51">
        <f>AVERAGE(I330:I340)</f>
        <v>19.836363636363636</v>
      </c>
      <c r="L341" s="3"/>
      <c r="M341" s="3"/>
      <c r="N341" s="3"/>
      <c r="O341" s="3"/>
      <c r="P341" s="3"/>
      <c r="Q341" s="3"/>
      <c r="R341" s="3"/>
      <c r="S341" s="3"/>
    </row>
    <row r="342" spans="3:19" ht="15.75" customHeight="1" x14ac:dyDescent="0.2">
      <c r="C342" s="208">
        <v>44438</v>
      </c>
      <c r="D342" s="19">
        <v>0.44097222222222227</v>
      </c>
      <c r="E342" s="3">
        <v>13</v>
      </c>
      <c r="F342" s="24">
        <v>9.42</v>
      </c>
      <c r="G342" s="3">
        <v>88.1</v>
      </c>
      <c r="H342" s="7">
        <v>12.4</v>
      </c>
      <c r="I342" s="7"/>
      <c r="J342" s="3"/>
      <c r="L342" s="3"/>
      <c r="M342" s="3"/>
      <c r="N342" s="3"/>
      <c r="O342" s="3"/>
      <c r="P342" s="3"/>
      <c r="Q342" s="3"/>
      <c r="R342" s="3"/>
      <c r="S342" s="3"/>
    </row>
    <row r="343" spans="3:19" ht="15.75" customHeight="1" x14ac:dyDescent="0.2">
      <c r="C343" s="208">
        <v>44438</v>
      </c>
      <c r="D343" s="19">
        <v>0.44097222222222227</v>
      </c>
      <c r="E343" s="3">
        <v>15</v>
      </c>
      <c r="F343" s="24">
        <v>9.44</v>
      </c>
      <c r="G343" s="3">
        <v>84.5</v>
      </c>
      <c r="H343" s="7">
        <v>10.6</v>
      </c>
      <c r="I343" s="7"/>
      <c r="J343" s="3"/>
      <c r="L343" s="3"/>
      <c r="M343" s="3"/>
      <c r="N343" s="3"/>
      <c r="O343" s="3"/>
      <c r="P343" s="3"/>
      <c r="Q343" s="3"/>
      <c r="R343" s="3"/>
      <c r="S343" s="3"/>
    </row>
    <row r="344" spans="3:19" ht="15.75" customHeight="1" x14ac:dyDescent="0.2">
      <c r="C344" s="208">
        <v>44438</v>
      </c>
      <c r="D344" s="19">
        <v>0.44097222222222227</v>
      </c>
      <c r="E344" s="3">
        <v>17</v>
      </c>
      <c r="F344" s="24">
        <v>9.33</v>
      </c>
      <c r="G344" s="3">
        <v>80.599999999999994</v>
      </c>
      <c r="H344" s="7">
        <v>9.1</v>
      </c>
      <c r="I344" s="7"/>
      <c r="J344" s="3"/>
      <c r="L344" s="3"/>
      <c r="M344" s="3"/>
      <c r="N344" s="3"/>
      <c r="O344" s="3"/>
      <c r="P344" s="3"/>
      <c r="Q344" s="3"/>
      <c r="R344" s="3"/>
      <c r="S344" s="3"/>
    </row>
    <row r="345" spans="3:19" ht="15.75" customHeight="1" x14ac:dyDescent="0.2">
      <c r="C345" s="208">
        <v>44438</v>
      </c>
      <c r="D345" s="19">
        <v>0.44097222222222227</v>
      </c>
      <c r="E345" s="3">
        <v>19</v>
      </c>
      <c r="F345" s="24">
        <v>9.19</v>
      </c>
      <c r="G345" s="3">
        <v>78.2</v>
      </c>
      <c r="H345" s="7">
        <v>8.4</v>
      </c>
      <c r="I345" s="7"/>
      <c r="J345" s="3"/>
      <c r="L345" s="3"/>
      <c r="M345" s="3"/>
      <c r="N345" s="3"/>
      <c r="O345" s="3"/>
      <c r="P345" s="3"/>
      <c r="Q345" s="3"/>
      <c r="R345" s="3"/>
      <c r="S345" s="3"/>
    </row>
    <row r="346" spans="3:19" ht="15.75" customHeight="1" x14ac:dyDescent="0.2">
      <c r="C346" s="208">
        <v>44438</v>
      </c>
      <c r="D346" s="19">
        <v>0.44097222222222227</v>
      </c>
      <c r="E346" s="3">
        <v>21</v>
      </c>
      <c r="F346" s="24">
        <v>8.74</v>
      </c>
      <c r="G346" s="3">
        <v>73.099999999999994</v>
      </c>
      <c r="H346" s="7">
        <v>7.7</v>
      </c>
      <c r="I346" s="7"/>
      <c r="J346" s="3"/>
      <c r="L346" s="3"/>
      <c r="M346" s="3"/>
      <c r="N346" s="3"/>
      <c r="O346" s="3"/>
      <c r="P346" s="3"/>
      <c r="Q346" s="3"/>
      <c r="R346" s="3"/>
      <c r="S346" s="3"/>
    </row>
    <row r="347" spans="3:19" ht="15.75" customHeight="1" x14ac:dyDescent="0.2">
      <c r="C347" s="208">
        <v>44438</v>
      </c>
      <c r="D347" s="19">
        <v>0.44097222222222227</v>
      </c>
      <c r="E347" s="3">
        <v>23</v>
      </c>
      <c r="F347" s="24">
        <v>8.84</v>
      </c>
      <c r="G347" s="3">
        <v>73.3</v>
      </c>
      <c r="H347" s="7">
        <v>7.2</v>
      </c>
      <c r="I347" s="7"/>
      <c r="J347" s="3"/>
      <c r="L347" s="3"/>
      <c r="M347" s="3"/>
      <c r="N347" s="3"/>
      <c r="O347" s="3"/>
      <c r="P347" s="3"/>
      <c r="Q347" s="3"/>
      <c r="R347" s="3"/>
      <c r="S347" s="3"/>
    </row>
    <row r="348" spans="3:19" ht="15.75" customHeight="1" x14ac:dyDescent="0.2">
      <c r="C348" s="208">
        <v>44438</v>
      </c>
      <c r="D348" s="19">
        <v>0.44097222222222227</v>
      </c>
      <c r="E348" s="3">
        <v>25</v>
      </c>
      <c r="F348" s="24">
        <v>8.84</v>
      </c>
      <c r="G348" s="3">
        <v>72.7</v>
      </c>
      <c r="H348" s="7">
        <v>7</v>
      </c>
      <c r="I348" s="7"/>
      <c r="J348" s="3"/>
      <c r="L348" s="3"/>
      <c r="M348" s="3"/>
      <c r="N348" s="3"/>
      <c r="O348" s="3"/>
      <c r="P348" s="3"/>
      <c r="Q348" s="3"/>
      <c r="R348" s="3"/>
      <c r="S348" s="3"/>
    </row>
    <row r="349" spans="3:19" ht="15.75" customHeight="1" x14ac:dyDescent="0.2">
      <c r="C349" s="208">
        <v>44438</v>
      </c>
      <c r="D349" s="19">
        <v>0.44097222222222227</v>
      </c>
      <c r="E349" s="3">
        <v>27</v>
      </c>
      <c r="F349" s="24">
        <v>8.74</v>
      </c>
      <c r="G349" s="3">
        <v>71.599999999999994</v>
      </c>
      <c r="H349" s="7">
        <v>6.8</v>
      </c>
      <c r="I349" s="7"/>
      <c r="J349" s="3"/>
      <c r="L349" s="3"/>
      <c r="M349" s="3"/>
      <c r="N349" s="3"/>
      <c r="O349" s="3"/>
      <c r="P349" s="3"/>
      <c r="Q349" s="3"/>
      <c r="R349" s="3"/>
      <c r="S349" s="3"/>
    </row>
    <row r="350" spans="3:19" ht="15.75" customHeight="1" x14ac:dyDescent="0.2">
      <c r="C350" s="208">
        <v>44438</v>
      </c>
      <c r="D350" s="19">
        <v>0.44097222222222227</v>
      </c>
      <c r="E350" s="3">
        <v>29</v>
      </c>
      <c r="F350" s="24">
        <v>8.66</v>
      </c>
      <c r="G350" s="3">
        <v>70.8</v>
      </c>
      <c r="H350" s="7">
        <v>6.7</v>
      </c>
      <c r="I350" s="7"/>
      <c r="J350" s="3"/>
      <c r="L350" s="3"/>
      <c r="M350" s="3"/>
      <c r="N350" s="3"/>
      <c r="O350" s="3"/>
      <c r="P350" s="3"/>
      <c r="Q350" s="3"/>
      <c r="R350" s="3"/>
      <c r="S350" s="3"/>
    </row>
    <row r="351" spans="3:19" ht="15.75" customHeight="1" x14ac:dyDescent="0.2">
      <c r="C351" s="208">
        <v>44438</v>
      </c>
      <c r="D351" s="19">
        <v>0.44097222222222227</v>
      </c>
      <c r="E351" s="3">
        <v>31</v>
      </c>
      <c r="F351" s="24">
        <v>8.6</v>
      </c>
      <c r="G351" s="3">
        <v>69.900000000000006</v>
      </c>
      <c r="H351" s="7">
        <v>6.5</v>
      </c>
      <c r="I351" s="7"/>
      <c r="J351" s="3"/>
      <c r="L351" s="3"/>
      <c r="M351" s="3"/>
      <c r="N351" s="3"/>
      <c r="O351" s="3"/>
      <c r="P351" s="3"/>
      <c r="Q351" s="3"/>
      <c r="R351" s="3"/>
      <c r="S351" s="3"/>
    </row>
    <row r="352" spans="3:19" ht="15.75" customHeight="1" x14ac:dyDescent="0.2">
      <c r="C352" s="208">
        <v>44438</v>
      </c>
      <c r="D352" s="19">
        <v>0.44097222222222227</v>
      </c>
      <c r="E352" s="3">
        <v>33</v>
      </c>
      <c r="F352" s="24">
        <v>8.5299999999999994</v>
      </c>
      <c r="G352" s="3">
        <v>69.099999999999994</v>
      </c>
      <c r="H352" s="7">
        <v>6.4</v>
      </c>
      <c r="I352" s="7"/>
      <c r="J352" s="3"/>
      <c r="L352" s="3"/>
      <c r="M352" s="3"/>
      <c r="N352" s="3"/>
      <c r="O352" s="3"/>
      <c r="P352" s="3"/>
      <c r="Q352" s="3"/>
      <c r="R352" s="3"/>
      <c r="S352" s="3"/>
    </row>
    <row r="353" spans="3:19" ht="15.75" customHeight="1" x14ac:dyDescent="0.2">
      <c r="C353" s="208">
        <v>44438</v>
      </c>
      <c r="D353" s="19">
        <v>0.44097222222222227</v>
      </c>
      <c r="E353" s="3">
        <v>35</v>
      </c>
      <c r="F353" s="24">
        <v>8.4700000000000006</v>
      </c>
      <c r="G353" s="3">
        <v>68.599999999999994</v>
      </c>
      <c r="H353" s="7">
        <v>6.3</v>
      </c>
      <c r="I353" s="7"/>
      <c r="J353" s="3"/>
      <c r="L353" s="3"/>
      <c r="M353" s="3"/>
      <c r="N353" s="3"/>
      <c r="O353" s="3"/>
      <c r="P353" s="3"/>
      <c r="Q353" s="3"/>
      <c r="R353" s="3"/>
      <c r="S353" s="3"/>
    </row>
    <row r="354" spans="3:19" ht="15.75" customHeight="1" x14ac:dyDescent="0.2">
      <c r="C354" s="208">
        <v>44438</v>
      </c>
      <c r="D354" s="19">
        <v>0.44097222222222227</v>
      </c>
      <c r="E354" s="3">
        <v>37</v>
      </c>
      <c r="F354" s="24">
        <v>8.42</v>
      </c>
      <c r="G354" s="3">
        <v>68.099999999999994</v>
      </c>
      <c r="H354" s="7">
        <v>6.3</v>
      </c>
      <c r="I354" s="7"/>
      <c r="J354" s="3"/>
      <c r="L354" s="3"/>
      <c r="M354" s="3"/>
      <c r="N354" s="3"/>
      <c r="O354" s="3"/>
      <c r="P354" s="3"/>
      <c r="Q354" s="3"/>
      <c r="R354" s="3"/>
      <c r="S354" s="3"/>
    </row>
    <row r="355" spans="3:19" ht="15.75" customHeight="1" x14ac:dyDescent="0.2">
      <c r="C355" s="208">
        <v>44438</v>
      </c>
      <c r="D355" s="19">
        <v>0.44097222222222227</v>
      </c>
      <c r="E355" s="3">
        <v>39</v>
      </c>
      <c r="F355" s="24">
        <v>8.3800000000000008</v>
      </c>
      <c r="G355" s="3">
        <v>67.599999999999994</v>
      </c>
      <c r="H355" s="7">
        <v>6.2</v>
      </c>
      <c r="I355" s="7"/>
      <c r="J355" s="3"/>
      <c r="L355" s="3"/>
      <c r="M355" s="3"/>
      <c r="N355" s="3"/>
      <c r="O355" s="3"/>
      <c r="P355" s="3"/>
      <c r="Q355" s="3"/>
      <c r="R355" s="3"/>
      <c r="S355" s="3"/>
    </row>
    <row r="356" spans="3:19" ht="15.75" customHeight="1" x14ac:dyDescent="0.2">
      <c r="C356" s="208">
        <v>44438</v>
      </c>
      <c r="D356" s="19">
        <v>0.44097222222222227</v>
      </c>
      <c r="E356" s="3">
        <v>41</v>
      </c>
      <c r="F356" s="24">
        <v>8.32</v>
      </c>
      <c r="G356" s="3">
        <v>67.2</v>
      </c>
      <c r="H356" s="7">
        <v>6.2</v>
      </c>
      <c r="I356" s="7"/>
      <c r="J356" s="3"/>
      <c r="L356" s="3"/>
      <c r="M356" s="3"/>
      <c r="N356" s="3"/>
      <c r="O356" s="3"/>
      <c r="P356" s="3"/>
      <c r="Q356" s="3"/>
      <c r="R356" s="3"/>
      <c r="S356" s="3"/>
    </row>
    <row r="357" spans="3:19" ht="15.75" customHeight="1" x14ac:dyDescent="0.2">
      <c r="C357" s="208">
        <v>44438</v>
      </c>
      <c r="D357" s="19">
        <v>0.44097222222222227</v>
      </c>
      <c r="E357" s="3">
        <v>43</v>
      </c>
      <c r="F357" s="24">
        <v>8.01</v>
      </c>
      <c r="G357" s="3">
        <v>64.599999999999994</v>
      </c>
      <c r="H357" s="7">
        <v>6.2</v>
      </c>
      <c r="I357" s="7"/>
      <c r="J357" s="3"/>
      <c r="L357" s="3"/>
      <c r="M357" s="3"/>
      <c r="N357" s="3"/>
      <c r="O357" s="3"/>
      <c r="P357" s="3"/>
      <c r="Q357" s="3"/>
      <c r="R357" s="3"/>
      <c r="S357" s="3"/>
    </row>
    <row r="358" spans="3:19" ht="15.75" customHeight="1" x14ac:dyDescent="0.2">
      <c r="C358" s="208">
        <v>44438</v>
      </c>
      <c r="D358" s="19">
        <v>0.44097222222222227</v>
      </c>
      <c r="E358" s="3">
        <v>45</v>
      </c>
      <c r="F358" s="24">
        <v>7.7</v>
      </c>
      <c r="G358" s="3">
        <v>61.7</v>
      </c>
      <c r="H358" s="7">
        <v>6.2</v>
      </c>
      <c r="I358" s="7"/>
      <c r="J358" s="3"/>
      <c r="L358" s="3"/>
      <c r="M358" s="3"/>
      <c r="N358" s="3"/>
      <c r="O358" s="3"/>
      <c r="P358" s="3"/>
      <c r="Q358" s="3"/>
      <c r="R358" s="3"/>
      <c r="S358" s="3"/>
    </row>
    <row r="359" spans="3:19" ht="15.75" customHeight="1" x14ac:dyDescent="0.2">
      <c r="C359" s="208"/>
      <c r="D359" s="19"/>
      <c r="E359" s="3"/>
      <c r="F359" s="24"/>
      <c r="G359" s="3"/>
      <c r="H359" s="7"/>
      <c r="I359" s="7"/>
      <c r="J359" s="3"/>
      <c r="L359" s="3"/>
      <c r="M359" s="3"/>
      <c r="N359" s="3"/>
      <c r="O359" s="3"/>
      <c r="P359" s="3"/>
      <c r="Q359" s="3"/>
      <c r="R359" s="3"/>
      <c r="S359" s="3"/>
    </row>
    <row r="360" spans="3:19" ht="15.75" customHeight="1" x14ac:dyDescent="0.2">
      <c r="C360" s="208"/>
      <c r="D360" s="19"/>
      <c r="E360" s="3"/>
      <c r="F360" s="24"/>
      <c r="G360" s="3"/>
      <c r="H360" s="7"/>
      <c r="I360" s="7"/>
      <c r="J360" s="3"/>
      <c r="L360" s="3"/>
      <c r="M360" s="3"/>
      <c r="N360" s="3"/>
      <c r="O360" s="3"/>
      <c r="P360" s="3"/>
      <c r="Q360" s="3"/>
      <c r="R360" s="3"/>
      <c r="S360" s="3"/>
    </row>
    <row r="361" spans="3:19" ht="15.75" customHeight="1" x14ac:dyDescent="0.2">
      <c r="C361" s="208"/>
      <c r="D361" s="19"/>
      <c r="E361" s="3"/>
      <c r="F361" s="24"/>
      <c r="G361" s="3"/>
      <c r="H361" s="7"/>
      <c r="I361" s="7"/>
      <c r="J361" s="3"/>
      <c r="L361" s="3"/>
      <c r="M361" s="3"/>
      <c r="N361" s="3"/>
      <c r="O361" s="3"/>
      <c r="P361" s="3"/>
      <c r="Q361" s="3"/>
      <c r="R361" s="3"/>
      <c r="S361" s="3"/>
    </row>
    <row r="362" spans="3:19" ht="15.75" customHeight="1" x14ac:dyDescent="0.2">
      <c r="C362" s="208">
        <v>44459</v>
      </c>
      <c r="D362" s="19">
        <v>0.43055555555555558</v>
      </c>
      <c r="E362" s="3"/>
      <c r="F362" s="3"/>
      <c r="G362" s="3"/>
      <c r="H362" s="3"/>
      <c r="I362" s="3"/>
      <c r="J362" s="3">
        <v>9</v>
      </c>
      <c r="K362" s="3">
        <v>11</v>
      </c>
      <c r="L362" s="3"/>
      <c r="M362" s="7"/>
      <c r="N362" s="3"/>
      <c r="O362" s="3"/>
      <c r="P362" s="3"/>
      <c r="Q362" s="3"/>
      <c r="R362" s="3"/>
      <c r="S362" s="3"/>
    </row>
    <row r="363" spans="3:19" ht="15.75" customHeight="1" x14ac:dyDescent="0.2">
      <c r="C363" s="208">
        <v>44459</v>
      </c>
      <c r="D363" s="19">
        <v>0.44444444444444442</v>
      </c>
      <c r="E363" s="3">
        <v>0.1</v>
      </c>
      <c r="F363" s="3">
        <v>7.95</v>
      </c>
      <c r="G363" s="3">
        <v>82.4</v>
      </c>
      <c r="H363" s="3">
        <v>17.100000000000001</v>
      </c>
      <c r="I363" s="3">
        <v>17.100000000000001</v>
      </c>
      <c r="J363" s="3"/>
      <c r="L363" s="3"/>
      <c r="M363" s="3"/>
      <c r="N363" s="3"/>
      <c r="O363" s="3"/>
      <c r="P363" s="3"/>
      <c r="Q363" s="3"/>
      <c r="R363" s="3"/>
      <c r="S363" s="3"/>
    </row>
    <row r="364" spans="3:19" ht="15.75" customHeight="1" x14ac:dyDescent="0.2">
      <c r="C364" s="208">
        <v>44459</v>
      </c>
      <c r="D364" s="19">
        <v>0.44444444444444442</v>
      </c>
      <c r="E364" s="3">
        <v>1</v>
      </c>
      <c r="F364" s="3">
        <v>7.91</v>
      </c>
      <c r="G364" s="3">
        <v>82.2</v>
      </c>
      <c r="H364" s="3">
        <v>17.2</v>
      </c>
      <c r="I364" s="3">
        <v>17.2</v>
      </c>
      <c r="J364" s="3"/>
      <c r="K364" s="3"/>
      <c r="L364" s="3"/>
      <c r="M364" s="7"/>
      <c r="N364" s="3"/>
      <c r="O364" s="3"/>
      <c r="P364" s="3"/>
      <c r="Q364" s="3"/>
      <c r="R364" s="3"/>
      <c r="S364" s="3"/>
    </row>
    <row r="365" spans="3:19" ht="15.75" customHeight="1" x14ac:dyDescent="0.2">
      <c r="C365" s="208">
        <v>44459</v>
      </c>
      <c r="D365" s="19">
        <v>0.44444444444444442</v>
      </c>
      <c r="E365" s="3">
        <v>2</v>
      </c>
      <c r="F365" s="3">
        <v>7.89</v>
      </c>
      <c r="G365" s="3">
        <v>82</v>
      </c>
      <c r="H365" s="3">
        <v>17.2</v>
      </c>
      <c r="I365" s="3">
        <v>17.2</v>
      </c>
      <c r="J365" s="3"/>
      <c r="K365" s="3"/>
      <c r="L365" s="3"/>
      <c r="M365" s="7"/>
      <c r="N365" s="3"/>
      <c r="O365" s="3"/>
      <c r="P365" s="3"/>
      <c r="Q365" s="3"/>
      <c r="R365" s="3"/>
      <c r="S365" s="3"/>
    </row>
    <row r="366" spans="3:19" ht="15.75" customHeight="1" x14ac:dyDescent="0.2">
      <c r="C366" s="208">
        <v>44459</v>
      </c>
      <c r="D366" s="19">
        <v>0.44444444444444442</v>
      </c>
      <c r="E366" s="3">
        <v>3</v>
      </c>
      <c r="F366" s="3">
        <v>7.85</v>
      </c>
      <c r="G366" s="3">
        <v>81.7</v>
      </c>
      <c r="H366" s="3">
        <v>17.3</v>
      </c>
      <c r="I366" s="3">
        <v>17.3</v>
      </c>
      <c r="J366" s="3"/>
      <c r="K366" s="3"/>
      <c r="L366" s="3"/>
      <c r="M366" s="7"/>
      <c r="N366" s="3"/>
      <c r="O366" s="3"/>
      <c r="P366" s="3"/>
      <c r="Q366" s="3"/>
      <c r="R366" s="3"/>
      <c r="S366" s="3"/>
    </row>
    <row r="367" spans="3:19" ht="15.75" customHeight="1" x14ac:dyDescent="0.2">
      <c r="C367" s="208">
        <v>44459</v>
      </c>
      <c r="D367" s="19">
        <v>0.44444444444444442</v>
      </c>
      <c r="E367" s="3">
        <v>4</v>
      </c>
      <c r="F367" s="3">
        <v>7.84</v>
      </c>
      <c r="G367" s="3">
        <v>81.599999999999994</v>
      </c>
      <c r="H367" s="3">
        <v>17.3</v>
      </c>
      <c r="I367" s="3">
        <v>17.3</v>
      </c>
      <c r="J367" s="3"/>
      <c r="K367" s="3"/>
      <c r="L367" s="3"/>
      <c r="M367" s="7"/>
      <c r="N367" s="3"/>
      <c r="O367" s="3"/>
      <c r="P367" s="3"/>
      <c r="Q367" s="3"/>
      <c r="R367" s="3"/>
      <c r="S367" s="3"/>
    </row>
    <row r="368" spans="3:19" ht="15.75" customHeight="1" x14ac:dyDescent="0.2">
      <c r="C368" s="208">
        <v>44459</v>
      </c>
      <c r="D368" s="19">
        <v>0.44444444444444442</v>
      </c>
      <c r="E368" s="3">
        <v>5</v>
      </c>
      <c r="F368" s="3">
        <v>7.82</v>
      </c>
      <c r="G368" s="3">
        <v>81.400000000000006</v>
      </c>
      <c r="H368" s="3">
        <v>17.3</v>
      </c>
      <c r="I368" s="3">
        <v>17.3</v>
      </c>
      <c r="J368" s="3"/>
      <c r="K368" s="3"/>
      <c r="L368" s="3"/>
      <c r="M368" s="7"/>
      <c r="N368" s="3"/>
      <c r="O368" s="3"/>
      <c r="P368" s="3"/>
      <c r="Q368" s="3"/>
      <c r="R368" s="3"/>
      <c r="S368" s="3"/>
    </row>
    <row r="369" spans="3:19" ht="15.75" customHeight="1" x14ac:dyDescent="0.2">
      <c r="C369" s="208">
        <v>44459</v>
      </c>
      <c r="D369" s="19">
        <v>0.44444444444444442</v>
      </c>
      <c r="E369" s="3">
        <v>6</v>
      </c>
      <c r="F369" s="3">
        <v>7.81</v>
      </c>
      <c r="G369" s="3">
        <v>81.3</v>
      </c>
      <c r="H369" s="3">
        <v>17.3</v>
      </c>
      <c r="I369" s="3">
        <v>17.3</v>
      </c>
      <c r="J369" s="3"/>
      <c r="K369" s="3"/>
      <c r="L369" s="3"/>
      <c r="M369" s="7"/>
      <c r="N369" s="3"/>
      <c r="O369" s="3"/>
      <c r="P369" s="3"/>
      <c r="Q369" s="3"/>
      <c r="R369" s="3"/>
      <c r="S369" s="3"/>
    </row>
    <row r="370" spans="3:19" ht="15.75" customHeight="1" x14ac:dyDescent="0.2">
      <c r="C370" s="208">
        <v>44459</v>
      </c>
      <c r="D370" s="19">
        <v>0.44444444444444442</v>
      </c>
      <c r="E370" s="3">
        <v>7</v>
      </c>
      <c r="F370" s="3">
        <v>7.79</v>
      </c>
      <c r="G370" s="3">
        <v>81.099999999999994</v>
      </c>
      <c r="H370" s="3">
        <v>17.3</v>
      </c>
      <c r="I370" s="3">
        <v>17.3</v>
      </c>
      <c r="J370" s="3"/>
      <c r="K370" s="3"/>
      <c r="L370" s="3"/>
      <c r="M370" s="7"/>
      <c r="N370" s="3"/>
      <c r="O370" s="3"/>
      <c r="P370" s="3"/>
      <c r="Q370" s="3"/>
      <c r="R370" s="3"/>
      <c r="S370" s="3"/>
    </row>
    <row r="371" spans="3:19" ht="15.75" customHeight="1" x14ac:dyDescent="0.2">
      <c r="C371" s="208">
        <v>44459</v>
      </c>
      <c r="D371" s="19">
        <v>0.44444444444444442</v>
      </c>
      <c r="E371" s="3">
        <v>8</v>
      </c>
      <c r="F371" s="3">
        <v>7.78</v>
      </c>
      <c r="G371" s="3">
        <v>81</v>
      </c>
      <c r="H371" s="3">
        <v>17.3</v>
      </c>
      <c r="I371" s="3">
        <v>17.3</v>
      </c>
      <c r="J371" s="3"/>
      <c r="K371" s="3"/>
      <c r="L371" s="3"/>
      <c r="M371" s="7"/>
      <c r="N371" s="3"/>
      <c r="O371" s="3"/>
      <c r="P371" s="3"/>
      <c r="Q371" s="3"/>
      <c r="R371" s="3"/>
      <c r="S371" s="3"/>
    </row>
    <row r="372" spans="3:19" ht="15.75" customHeight="1" x14ac:dyDescent="0.2">
      <c r="C372" s="208">
        <v>44459</v>
      </c>
      <c r="D372" s="19">
        <v>0.44444444444444442</v>
      </c>
      <c r="E372" s="3">
        <v>9</v>
      </c>
      <c r="F372" s="3">
        <v>7.77</v>
      </c>
      <c r="G372" s="3">
        <v>80.8</v>
      </c>
      <c r="H372" s="3">
        <v>17.3</v>
      </c>
      <c r="I372" s="3">
        <v>17.3</v>
      </c>
      <c r="J372" s="3"/>
      <c r="K372" s="3"/>
      <c r="L372" s="3"/>
      <c r="M372" s="7"/>
      <c r="N372" s="3"/>
      <c r="O372" s="3"/>
      <c r="P372" s="3"/>
      <c r="Q372" s="3"/>
      <c r="R372" s="3"/>
      <c r="S372" s="3"/>
    </row>
    <row r="373" spans="3:19" ht="15.75" customHeight="1" x14ac:dyDescent="0.2">
      <c r="C373" s="208">
        <v>44459</v>
      </c>
      <c r="D373" s="19">
        <v>0.44444444444444442</v>
      </c>
      <c r="E373" s="3">
        <v>10</v>
      </c>
      <c r="F373" s="3">
        <v>7.75</v>
      </c>
      <c r="G373" s="3">
        <v>80.7</v>
      </c>
      <c r="H373" s="3">
        <v>17.3</v>
      </c>
      <c r="I373" s="3">
        <v>17.3</v>
      </c>
      <c r="J373" s="3"/>
      <c r="K373" s="3"/>
      <c r="L373" s="3"/>
      <c r="M373" s="7"/>
      <c r="N373" s="3"/>
      <c r="O373" s="3"/>
      <c r="P373" s="3"/>
      <c r="Q373" s="3"/>
      <c r="R373" s="3"/>
      <c r="S373" s="3"/>
    </row>
    <row r="374" spans="3:19" ht="15.75" customHeight="1" x14ac:dyDescent="0.2">
      <c r="C374" s="208">
        <v>44459</v>
      </c>
      <c r="D374" s="19">
        <v>0.44444444444444442</v>
      </c>
      <c r="E374" s="3">
        <v>11</v>
      </c>
      <c r="F374" s="3">
        <v>7.74</v>
      </c>
      <c r="G374" s="3">
        <v>80.5</v>
      </c>
      <c r="H374" s="3">
        <v>17.3</v>
      </c>
      <c r="I374" s="3">
        <v>17.3</v>
      </c>
      <c r="J374" s="3"/>
      <c r="K374" s="3"/>
      <c r="L374" s="3"/>
      <c r="M374" s="7"/>
      <c r="N374" s="3"/>
      <c r="O374" s="3"/>
      <c r="P374" s="3"/>
      <c r="Q374" s="3"/>
      <c r="R374" s="3"/>
      <c r="S374" s="3"/>
    </row>
    <row r="375" spans="3:19" ht="15.75" customHeight="1" x14ac:dyDescent="0.2">
      <c r="C375" s="208">
        <v>44459</v>
      </c>
      <c r="D375" s="19">
        <v>0.44444444444444442</v>
      </c>
      <c r="E375" s="3">
        <v>12</v>
      </c>
      <c r="F375" s="3">
        <v>7.73</v>
      </c>
      <c r="G375" s="3">
        <v>80.400000000000006</v>
      </c>
      <c r="H375" s="3">
        <v>17.3</v>
      </c>
      <c r="I375" s="3">
        <v>17.3</v>
      </c>
      <c r="J375" s="3"/>
      <c r="K375" s="3"/>
      <c r="L375" s="3"/>
      <c r="M375" s="7"/>
      <c r="N375" s="3"/>
      <c r="O375" s="3"/>
      <c r="P375" s="3"/>
      <c r="Q375" s="3"/>
      <c r="R375" s="3"/>
      <c r="S375" s="3"/>
    </row>
    <row r="376" spans="3:19" ht="15.75" customHeight="1" x14ac:dyDescent="0.2">
      <c r="C376" s="208">
        <v>44459</v>
      </c>
      <c r="D376" s="19">
        <v>0.44444444444444442</v>
      </c>
      <c r="E376" s="3">
        <v>13</v>
      </c>
      <c r="F376" s="3">
        <v>7.71</v>
      </c>
      <c r="G376" s="3">
        <v>80.3</v>
      </c>
      <c r="H376" s="54">
        <v>17.3</v>
      </c>
      <c r="I376" s="55">
        <v>17.3</v>
      </c>
      <c r="J376" s="55"/>
      <c r="K376" s="3"/>
      <c r="L376" s="3"/>
      <c r="M376" s="7"/>
      <c r="N376" s="3"/>
      <c r="O376" s="3"/>
      <c r="P376" s="3"/>
      <c r="Q376" s="3"/>
      <c r="R376" s="3"/>
      <c r="S376" s="3"/>
    </row>
    <row r="377" spans="3:19" ht="15.75" customHeight="1" x14ac:dyDescent="0.2">
      <c r="C377" s="208">
        <v>44459</v>
      </c>
      <c r="D377" s="19">
        <v>0.44444444444444442</v>
      </c>
      <c r="E377" s="3">
        <v>14</v>
      </c>
      <c r="F377" s="3">
        <v>8.49</v>
      </c>
      <c r="G377" s="3">
        <v>84.9</v>
      </c>
      <c r="H377" s="3">
        <v>14.2</v>
      </c>
      <c r="I377" s="3"/>
      <c r="J377" s="3"/>
      <c r="K377" s="3"/>
      <c r="L377" s="3"/>
      <c r="M377" s="7"/>
      <c r="N377" s="3"/>
      <c r="O377" s="3"/>
      <c r="P377" s="3"/>
      <c r="Q377" s="3"/>
      <c r="R377" s="3"/>
      <c r="S377" s="3"/>
    </row>
    <row r="378" spans="3:19" ht="15.75" customHeight="1" x14ac:dyDescent="0.2">
      <c r="C378" s="208">
        <v>44459</v>
      </c>
      <c r="D378" s="19">
        <v>0.44444444444444442</v>
      </c>
      <c r="E378" s="3">
        <v>16</v>
      </c>
      <c r="F378" s="3">
        <v>8.68</v>
      </c>
      <c r="G378" s="3">
        <v>79.400000000000006</v>
      </c>
      <c r="H378" s="3">
        <v>11.4</v>
      </c>
      <c r="I378" s="3"/>
      <c r="J378" s="3"/>
      <c r="K378" s="3"/>
      <c r="L378" s="3"/>
      <c r="M378" s="7"/>
      <c r="N378" s="3"/>
      <c r="O378" s="3"/>
      <c r="P378" s="3"/>
      <c r="Q378" s="3"/>
      <c r="R378" s="3"/>
      <c r="S378" s="3"/>
    </row>
    <row r="379" spans="3:19" ht="15.75" customHeight="1" x14ac:dyDescent="0.2">
      <c r="C379" s="208">
        <v>44459</v>
      </c>
      <c r="D379" s="19">
        <v>0.44444444444444442</v>
      </c>
      <c r="E379" s="3">
        <v>18</v>
      </c>
      <c r="F379" s="3">
        <v>8.7899999999999991</v>
      </c>
      <c r="G379" s="3">
        <v>76.2</v>
      </c>
      <c r="H379" s="3">
        <v>9.1</v>
      </c>
      <c r="I379" s="3"/>
      <c r="J379" s="3"/>
      <c r="K379" s="3"/>
      <c r="L379" s="3"/>
      <c r="M379" s="7"/>
      <c r="N379" s="3"/>
      <c r="O379" s="3"/>
      <c r="P379" s="3"/>
      <c r="Q379" s="3"/>
      <c r="R379" s="3"/>
      <c r="S379" s="3"/>
    </row>
    <row r="380" spans="3:19" ht="15.75" customHeight="1" x14ac:dyDescent="0.2">
      <c r="C380" s="208">
        <v>44459</v>
      </c>
      <c r="D380" s="19">
        <v>0.44444444444444442</v>
      </c>
      <c r="E380" s="3">
        <v>20</v>
      </c>
      <c r="F380" s="3">
        <v>8.94</v>
      </c>
      <c r="G380" s="3">
        <v>76.3</v>
      </c>
      <c r="H380" s="3">
        <v>8.5</v>
      </c>
      <c r="I380" s="3"/>
      <c r="J380" s="3"/>
      <c r="K380" s="3"/>
      <c r="L380" s="3"/>
      <c r="M380" s="7"/>
      <c r="N380" s="3"/>
      <c r="O380" s="3"/>
      <c r="P380" s="3"/>
      <c r="Q380" s="3"/>
      <c r="R380" s="3"/>
      <c r="S380" s="3"/>
    </row>
    <row r="381" spans="3:19" ht="15.75" customHeight="1" x14ac:dyDescent="0.2">
      <c r="C381" s="208">
        <v>44459</v>
      </c>
      <c r="D381" s="19">
        <v>0.44444444444444442</v>
      </c>
      <c r="E381" s="3">
        <v>22</v>
      </c>
      <c r="F381" s="3">
        <v>8.68</v>
      </c>
      <c r="G381" s="3">
        <v>72.7</v>
      </c>
      <c r="H381" s="3">
        <v>7.8</v>
      </c>
      <c r="I381" s="3"/>
      <c r="J381" s="3"/>
      <c r="K381" s="3"/>
      <c r="L381" s="3"/>
      <c r="M381" s="7"/>
      <c r="N381" s="3"/>
      <c r="O381" s="3"/>
      <c r="P381" s="3"/>
      <c r="Q381" s="3"/>
      <c r="R381" s="3"/>
      <c r="S381" s="3"/>
    </row>
    <row r="382" spans="3:19" ht="15.75" customHeight="1" x14ac:dyDescent="0.2">
      <c r="C382" s="208">
        <v>44459</v>
      </c>
      <c r="D382" s="19">
        <v>0.44444444444444442</v>
      </c>
      <c r="E382" s="3">
        <v>24</v>
      </c>
      <c r="F382" s="3">
        <v>8.48</v>
      </c>
      <c r="G382" s="3">
        <v>70.3</v>
      </c>
      <c r="H382" s="3">
        <v>7.4</v>
      </c>
      <c r="I382" s="3"/>
      <c r="J382" s="3"/>
      <c r="K382" s="3"/>
      <c r="L382" s="3"/>
      <c r="M382" s="7"/>
      <c r="N382" s="3"/>
      <c r="O382" s="3"/>
      <c r="P382" s="3"/>
      <c r="Q382" s="3"/>
      <c r="R382" s="3"/>
      <c r="S382" s="3"/>
    </row>
    <row r="383" spans="3:19" ht="15.75" customHeight="1" x14ac:dyDescent="0.2">
      <c r="C383" s="208">
        <v>44459</v>
      </c>
      <c r="D383" s="19">
        <v>0.44444444444444442</v>
      </c>
      <c r="E383" s="3">
        <v>26</v>
      </c>
      <c r="F383" s="3">
        <v>8.4700000000000006</v>
      </c>
      <c r="G383" s="3">
        <v>70.3</v>
      </c>
      <c r="H383" s="3">
        <v>7.2</v>
      </c>
      <c r="I383" s="3"/>
      <c r="J383" s="3"/>
      <c r="K383" s="3"/>
      <c r="L383" s="3"/>
      <c r="M383" s="7"/>
      <c r="N383" s="3"/>
      <c r="O383" s="3"/>
      <c r="P383" s="3"/>
      <c r="Q383" s="3"/>
      <c r="R383" s="3"/>
      <c r="S383" s="3"/>
    </row>
    <row r="384" spans="3:19" ht="15.75" customHeight="1" x14ac:dyDescent="0.2">
      <c r="C384" s="208">
        <v>44459</v>
      </c>
      <c r="D384" s="19">
        <v>0.44444444444444442</v>
      </c>
      <c r="E384" s="3">
        <v>28</v>
      </c>
      <c r="F384" s="3">
        <v>8.56</v>
      </c>
      <c r="G384" s="3">
        <v>70.400000000000006</v>
      </c>
      <c r="H384" s="3">
        <v>6.9</v>
      </c>
      <c r="I384" s="3"/>
      <c r="J384" s="3"/>
      <c r="K384" s="3"/>
      <c r="L384" s="3"/>
      <c r="M384" s="7"/>
      <c r="N384" s="3"/>
      <c r="O384" s="3"/>
      <c r="P384" s="3"/>
      <c r="Q384" s="3"/>
      <c r="R384" s="3"/>
      <c r="S384" s="3"/>
    </row>
    <row r="385" spans="3:19" ht="15.75" customHeight="1" x14ac:dyDescent="0.2">
      <c r="C385" s="208">
        <v>44459</v>
      </c>
      <c r="D385" s="19">
        <v>0.44444444444444442</v>
      </c>
      <c r="E385" s="3">
        <v>30</v>
      </c>
      <c r="F385" s="3">
        <v>8.59</v>
      </c>
      <c r="G385" s="3">
        <v>70.2</v>
      </c>
      <c r="H385" s="3">
        <v>6.8</v>
      </c>
      <c r="I385" s="3"/>
      <c r="J385" s="3"/>
      <c r="K385" s="3"/>
      <c r="L385" s="3"/>
      <c r="M385" s="7"/>
      <c r="N385" s="3"/>
      <c r="O385" s="3"/>
      <c r="P385" s="3"/>
      <c r="Q385" s="3"/>
      <c r="R385" s="3"/>
      <c r="S385" s="3"/>
    </row>
    <row r="386" spans="3:19" ht="15.75" customHeight="1" x14ac:dyDescent="0.2">
      <c r="C386" s="208">
        <v>44459</v>
      </c>
      <c r="D386" s="19">
        <v>0.44444444444444442</v>
      </c>
      <c r="E386" s="3">
        <v>32</v>
      </c>
      <c r="F386" s="3">
        <v>8.5500000000000007</v>
      </c>
      <c r="G386" s="3">
        <v>69.7</v>
      </c>
      <c r="H386" s="3">
        <v>6.6</v>
      </c>
      <c r="I386" s="3"/>
      <c r="J386" s="3"/>
      <c r="K386" s="3"/>
      <c r="L386" s="3"/>
      <c r="M386" s="7"/>
      <c r="N386" s="3"/>
      <c r="O386" s="3"/>
      <c r="P386" s="3"/>
      <c r="Q386" s="3"/>
      <c r="R386" s="3"/>
      <c r="S386" s="3"/>
    </row>
    <row r="387" spans="3:19" ht="15.75" customHeight="1" x14ac:dyDescent="0.2">
      <c r="C387" s="208">
        <v>44459</v>
      </c>
      <c r="D387" s="19">
        <v>0.44444444444444442</v>
      </c>
      <c r="E387" s="3">
        <v>34</v>
      </c>
      <c r="F387" s="3">
        <v>8.5</v>
      </c>
      <c r="G387" s="3">
        <v>69.099999999999994</v>
      </c>
      <c r="H387" s="3">
        <v>6.5</v>
      </c>
      <c r="I387" s="3"/>
      <c r="J387" s="3"/>
      <c r="K387" s="3"/>
      <c r="L387" s="3"/>
      <c r="M387" s="7"/>
      <c r="N387" s="3"/>
      <c r="O387" s="3"/>
      <c r="P387" s="3"/>
      <c r="Q387" s="3"/>
      <c r="R387" s="3"/>
      <c r="S387" s="3"/>
    </row>
    <row r="388" spans="3:19" ht="15.75" customHeight="1" x14ac:dyDescent="0.2">
      <c r="C388" s="208">
        <v>44459</v>
      </c>
      <c r="D388" s="19">
        <v>0.44444444444444442</v>
      </c>
      <c r="E388" s="3">
        <v>36</v>
      </c>
      <c r="F388" s="3">
        <v>8.33</v>
      </c>
      <c r="G388" s="3">
        <v>67.400000000000006</v>
      </c>
      <c r="H388" s="3">
        <v>6.4</v>
      </c>
      <c r="I388" s="3"/>
      <c r="J388" s="3"/>
      <c r="K388" s="3"/>
      <c r="L388" s="3"/>
      <c r="M388" s="7"/>
      <c r="N388" s="3"/>
      <c r="O388" s="3"/>
      <c r="P388" s="3"/>
      <c r="Q388" s="3"/>
      <c r="R388" s="3"/>
      <c r="S388" s="3"/>
    </row>
    <row r="389" spans="3:19" ht="15.75" customHeight="1" x14ac:dyDescent="0.2">
      <c r="C389" s="208">
        <v>44459</v>
      </c>
      <c r="D389" s="19">
        <v>0.44444444444444442</v>
      </c>
      <c r="E389" s="3">
        <v>38</v>
      </c>
      <c r="F389" s="3">
        <v>8.16</v>
      </c>
      <c r="G389" s="3">
        <v>66</v>
      </c>
      <c r="H389" s="3">
        <v>6.3</v>
      </c>
      <c r="I389" s="3"/>
      <c r="J389" s="3"/>
      <c r="K389" s="3"/>
      <c r="L389" s="3"/>
      <c r="M389" s="7"/>
      <c r="N389" s="3"/>
      <c r="O389" s="3"/>
      <c r="P389" s="3"/>
      <c r="Q389" s="3"/>
      <c r="R389" s="3"/>
      <c r="S389" s="3"/>
    </row>
    <row r="390" spans="3:19" ht="15.75" customHeight="1" x14ac:dyDescent="0.2">
      <c r="C390" s="208">
        <v>44459</v>
      </c>
      <c r="D390" s="19">
        <v>0.44444444444444442</v>
      </c>
      <c r="E390" s="3">
        <v>40</v>
      </c>
      <c r="F390" s="3">
        <v>8.1</v>
      </c>
      <c r="G390" s="3">
        <v>65.5</v>
      </c>
      <c r="H390" s="3">
        <v>6.3</v>
      </c>
      <c r="I390" s="3"/>
      <c r="J390" s="3"/>
      <c r="K390" s="3"/>
      <c r="L390" s="3"/>
      <c r="M390" s="7"/>
      <c r="N390" s="3"/>
      <c r="O390" s="3"/>
      <c r="P390" s="3"/>
      <c r="Q390" s="3"/>
      <c r="R390" s="3"/>
      <c r="S390" s="3"/>
    </row>
    <row r="391" spans="3:19" ht="15.75" customHeight="1" x14ac:dyDescent="0.2">
      <c r="C391" s="208">
        <v>44459</v>
      </c>
      <c r="D391" s="19">
        <v>0.44444444444444442</v>
      </c>
      <c r="E391" s="3">
        <v>42</v>
      </c>
      <c r="F391" s="3">
        <v>8.06</v>
      </c>
      <c r="G391" s="3">
        <v>65.2</v>
      </c>
      <c r="H391" s="3">
        <v>6.3</v>
      </c>
      <c r="I391" s="3"/>
      <c r="J391" s="3"/>
      <c r="K391" s="3"/>
      <c r="L391" s="3"/>
      <c r="M391" s="7"/>
      <c r="N391" s="3"/>
      <c r="O391" s="3"/>
      <c r="P391" s="3"/>
      <c r="Q391" s="3"/>
      <c r="R391" s="3"/>
      <c r="S391" s="3"/>
    </row>
    <row r="392" spans="3:19" ht="15.75" customHeight="1" x14ac:dyDescent="0.2">
      <c r="C392" s="208">
        <v>44459</v>
      </c>
      <c r="D392" s="19">
        <v>0.44444444444444442</v>
      </c>
      <c r="E392" s="3">
        <v>44</v>
      </c>
      <c r="F392" s="3">
        <v>8.0299999999999994</v>
      </c>
      <c r="G392" s="3">
        <v>65</v>
      </c>
      <c r="H392" s="3">
        <v>6.3</v>
      </c>
      <c r="I392" s="3"/>
      <c r="J392" s="3"/>
      <c r="K392" s="3"/>
      <c r="L392" s="3"/>
      <c r="M392" s="7"/>
      <c r="N392" s="3"/>
      <c r="O392" s="3"/>
      <c r="P392" s="3"/>
      <c r="Q392" s="3"/>
      <c r="R392" s="3"/>
      <c r="S392" s="3"/>
    </row>
    <row r="393" spans="3:19" ht="15.75" customHeight="1" x14ac:dyDescent="0.2">
      <c r="C393" s="213"/>
      <c r="D393" s="19"/>
      <c r="E393" s="3"/>
      <c r="F393" s="3"/>
      <c r="G393" s="3"/>
      <c r="H393" s="3"/>
      <c r="I393" s="3"/>
      <c r="J393" s="3"/>
      <c r="K393" s="3"/>
      <c r="L393" s="3"/>
      <c r="M393" s="7"/>
      <c r="N393" s="3"/>
      <c r="O393" s="3"/>
      <c r="P393" s="3"/>
      <c r="Q393" s="3"/>
      <c r="R393" s="3"/>
      <c r="S393" s="3"/>
    </row>
    <row r="394" spans="3:19" ht="15.75" customHeight="1" x14ac:dyDescent="0.2">
      <c r="C394" s="213"/>
      <c r="D394" s="19"/>
      <c r="E394" s="3"/>
      <c r="F394" s="3"/>
      <c r="G394" s="3"/>
      <c r="H394" s="3"/>
      <c r="I394" s="3"/>
      <c r="J394" s="3"/>
      <c r="K394" s="3"/>
      <c r="L394" s="3"/>
      <c r="M394" s="7"/>
      <c r="N394" s="3"/>
      <c r="O394" s="3"/>
      <c r="P394" s="3"/>
      <c r="Q394" s="3"/>
      <c r="R394" s="3"/>
      <c r="S394" s="3"/>
    </row>
    <row r="395" spans="3:19" ht="15.75" customHeight="1" x14ac:dyDescent="0.2">
      <c r="C395" s="213"/>
      <c r="D395" s="19"/>
      <c r="E395" s="3"/>
      <c r="F395" s="3"/>
      <c r="G395" s="3"/>
      <c r="H395" s="3"/>
      <c r="I395" s="3"/>
      <c r="J395" s="3"/>
      <c r="K395" s="3"/>
      <c r="L395" s="3"/>
      <c r="M395" s="7"/>
      <c r="N395" s="3"/>
      <c r="O395" s="3"/>
      <c r="P395" s="3"/>
      <c r="Q395" s="3"/>
      <c r="R395" s="3"/>
      <c r="S395" s="3"/>
    </row>
    <row r="396" spans="3:19" ht="15.75" customHeight="1" x14ac:dyDescent="0.2">
      <c r="C396" s="213"/>
      <c r="D396" s="3"/>
      <c r="E396" s="3"/>
      <c r="F396" s="3"/>
      <c r="G396" s="3"/>
      <c r="H396" s="3"/>
      <c r="I396" s="3"/>
      <c r="J396" s="3"/>
      <c r="K396" s="3"/>
      <c r="L396" s="3"/>
      <c r="M396" s="7"/>
      <c r="N396" s="3"/>
      <c r="O396" s="3"/>
      <c r="P396" s="3"/>
      <c r="Q396" s="3"/>
      <c r="R396" s="3"/>
      <c r="S396" s="3"/>
    </row>
    <row r="397" spans="3:19" ht="15.75" customHeight="1" x14ac:dyDescent="0.2">
      <c r="C397" s="213"/>
      <c r="D397" s="3"/>
      <c r="E397" s="3"/>
      <c r="F397" s="24"/>
      <c r="G397" s="3"/>
      <c r="H397" s="7"/>
      <c r="I397" s="7"/>
      <c r="K397" s="3"/>
      <c r="L397" s="3"/>
      <c r="M397" s="3"/>
      <c r="N397" s="3"/>
      <c r="O397" s="3"/>
      <c r="P397" s="3"/>
      <c r="Q397" s="3"/>
      <c r="R397" s="3"/>
      <c r="S397" s="3"/>
    </row>
    <row r="398" spans="3:19" ht="15.75" customHeight="1" x14ac:dyDescent="0.2">
      <c r="C398" s="208">
        <v>44005</v>
      </c>
      <c r="D398" s="19">
        <v>0.46875</v>
      </c>
      <c r="E398" s="3">
        <v>0.1</v>
      </c>
      <c r="F398" s="24">
        <v>8.31</v>
      </c>
      <c r="G398" s="3">
        <v>87.9</v>
      </c>
      <c r="H398" s="7">
        <v>18</v>
      </c>
      <c r="I398" s="7">
        <v>18</v>
      </c>
      <c r="J398" s="7"/>
      <c r="L398" s="3"/>
      <c r="M398" s="3"/>
      <c r="N398" s="3"/>
      <c r="O398" s="3"/>
      <c r="P398" s="3"/>
      <c r="Q398" s="3"/>
      <c r="R398" s="3"/>
      <c r="S398" s="3"/>
    </row>
    <row r="399" spans="3:19" ht="15.75" customHeight="1" x14ac:dyDescent="0.2">
      <c r="C399" s="208">
        <v>44005</v>
      </c>
      <c r="D399" s="19">
        <v>0.46875</v>
      </c>
      <c r="E399" s="3">
        <v>1</v>
      </c>
      <c r="F399" s="24">
        <v>8.49</v>
      </c>
      <c r="G399" s="3">
        <v>88</v>
      </c>
      <c r="H399" s="7">
        <v>17</v>
      </c>
      <c r="I399" s="7">
        <v>17</v>
      </c>
      <c r="J399" s="7"/>
      <c r="K399" s="3"/>
      <c r="L399" s="3"/>
      <c r="M399" s="3"/>
      <c r="N399" s="3"/>
      <c r="O399" s="3"/>
      <c r="P399" s="3"/>
      <c r="Q399" s="3"/>
      <c r="R399" s="3"/>
      <c r="S399" s="3"/>
    </row>
    <row r="400" spans="3:19" ht="15.75" customHeight="1" x14ac:dyDescent="0.2">
      <c r="C400" s="208">
        <v>44005</v>
      </c>
      <c r="D400" s="19">
        <v>0.46875</v>
      </c>
      <c r="E400" s="3">
        <v>2</v>
      </c>
      <c r="F400" s="24">
        <v>8.58</v>
      </c>
      <c r="G400" s="3">
        <v>88</v>
      </c>
      <c r="H400" s="7">
        <v>16.600000000000001</v>
      </c>
      <c r="I400" s="7">
        <v>16.600000000000001</v>
      </c>
      <c r="J400" s="7"/>
      <c r="K400" s="3"/>
      <c r="L400" s="3"/>
      <c r="M400" s="3"/>
      <c r="N400" s="3"/>
      <c r="O400" s="3"/>
      <c r="P400" s="3"/>
      <c r="Q400" s="3"/>
      <c r="R400" s="3"/>
      <c r="S400" s="3"/>
    </row>
    <row r="401" spans="3:19" ht="15.75" customHeight="1" x14ac:dyDescent="0.2">
      <c r="C401" s="208">
        <v>44005</v>
      </c>
      <c r="D401" s="19">
        <v>0.46875</v>
      </c>
      <c r="E401" s="3">
        <v>3</v>
      </c>
      <c r="F401" s="24">
        <v>8.66</v>
      </c>
      <c r="G401" s="3">
        <v>88.6</v>
      </c>
      <c r="H401" s="7">
        <v>16.399999999999999</v>
      </c>
      <c r="I401" s="7">
        <v>16.399999999999999</v>
      </c>
      <c r="J401" s="7"/>
      <c r="K401" s="3"/>
      <c r="L401" s="3"/>
      <c r="M401" s="3"/>
      <c r="N401" s="3"/>
      <c r="O401" s="3"/>
      <c r="P401" s="3"/>
      <c r="Q401" s="3"/>
      <c r="R401" s="3"/>
      <c r="S401" s="3"/>
    </row>
    <row r="402" spans="3:19" ht="15.75" customHeight="1" x14ac:dyDescent="0.2">
      <c r="C402" s="208">
        <v>44005</v>
      </c>
      <c r="D402" s="19">
        <v>0.46875</v>
      </c>
      <c r="E402" s="3">
        <v>4</v>
      </c>
      <c r="F402" s="24">
        <v>8.74</v>
      </c>
      <c r="G402" s="3">
        <v>88.8</v>
      </c>
      <c r="H402" s="7">
        <v>16</v>
      </c>
      <c r="I402" s="7">
        <v>16</v>
      </c>
      <c r="J402" s="7"/>
      <c r="K402" s="3"/>
      <c r="L402" s="3"/>
      <c r="M402" s="3"/>
      <c r="N402" s="3"/>
      <c r="O402" s="3"/>
      <c r="P402" s="3"/>
      <c r="Q402" s="3"/>
      <c r="R402" s="3"/>
      <c r="S402" s="3"/>
    </row>
    <row r="403" spans="3:19" ht="15.75" customHeight="1" x14ac:dyDescent="0.2">
      <c r="C403" s="208">
        <v>44005</v>
      </c>
      <c r="D403" s="19">
        <v>0.46875</v>
      </c>
      <c r="E403" s="3">
        <v>5</v>
      </c>
      <c r="F403" s="24">
        <v>8.83</v>
      </c>
      <c r="G403" s="3">
        <v>89.1</v>
      </c>
      <c r="H403" s="7">
        <v>15.8</v>
      </c>
      <c r="I403" s="7">
        <v>15.8</v>
      </c>
      <c r="J403" s="7"/>
      <c r="K403" s="3"/>
      <c r="L403" s="3"/>
      <c r="M403" s="3"/>
      <c r="N403" s="3"/>
      <c r="O403" s="3"/>
      <c r="P403" s="3"/>
      <c r="Q403" s="3"/>
      <c r="R403" s="3"/>
      <c r="S403" s="3"/>
    </row>
    <row r="404" spans="3:19" ht="15.75" customHeight="1" x14ac:dyDescent="0.2">
      <c r="C404" s="208">
        <v>44005</v>
      </c>
      <c r="D404" s="19">
        <v>0.46875</v>
      </c>
      <c r="E404" s="3">
        <v>6</v>
      </c>
      <c r="F404" s="24">
        <v>8.92</v>
      </c>
      <c r="G404" s="3">
        <v>88.5</v>
      </c>
      <c r="H404" s="7">
        <v>15</v>
      </c>
      <c r="I404" s="7">
        <v>15</v>
      </c>
      <c r="J404" s="51"/>
      <c r="K404" s="3"/>
      <c r="L404" s="3"/>
      <c r="M404" s="3"/>
      <c r="N404" s="3"/>
      <c r="O404" s="3"/>
      <c r="P404" s="3"/>
      <c r="Q404" s="3"/>
      <c r="R404" s="3"/>
      <c r="S404" s="3"/>
    </row>
    <row r="405" spans="3:19" ht="15.75" customHeight="1" x14ac:dyDescent="0.2">
      <c r="C405" s="208">
        <v>44005</v>
      </c>
      <c r="D405" s="19">
        <v>0.46875</v>
      </c>
      <c r="E405" s="3">
        <v>7</v>
      </c>
      <c r="F405" s="24">
        <v>9.0399999999999991</v>
      </c>
      <c r="G405" s="3">
        <v>87.6</v>
      </c>
      <c r="H405" s="7">
        <v>13.9</v>
      </c>
      <c r="I405" s="51">
        <f>AVERAGE(I398:I404)</f>
        <v>16.399999999999999</v>
      </c>
      <c r="J405" s="51"/>
      <c r="K405" s="3"/>
      <c r="L405" s="3"/>
      <c r="M405" s="3"/>
      <c r="N405" s="3"/>
      <c r="O405" s="3"/>
      <c r="P405" s="3"/>
      <c r="Q405" s="3"/>
      <c r="R405" s="3"/>
      <c r="S405" s="3"/>
    </row>
    <row r="406" spans="3:19" ht="15.75" customHeight="1" x14ac:dyDescent="0.2">
      <c r="C406" s="208">
        <v>44005</v>
      </c>
      <c r="D406" s="19">
        <v>0.46875</v>
      </c>
      <c r="E406" s="3">
        <v>8</v>
      </c>
      <c r="F406" s="24">
        <v>9.15</v>
      </c>
      <c r="G406" s="3">
        <v>87.6</v>
      </c>
      <c r="H406" s="7">
        <v>13.5</v>
      </c>
      <c r="I406" s="7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spans="3:19" ht="15.75" customHeight="1" x14ac:dyDescent="0.2">
      <c r="C407" s="208">
        <v>44005</v>
      </c>
      <c r="D407" s="19">
        <v>0.46875</v>
      </c>
      <c r="E407" s="3">
        <v>9</v>
      </c>
      <c r="F407" s="24">
        <v>9.0299999999999994</v>
      </c>
      <c r="G407" s="3">
        <v>85.5</v>
      </c>
      <c r="H407" s="7">
        <v>13</v>
      </c>
      <c r="I407" s="7"/>
      <c r="J407" s="3"/>
      <c r="K407" s="55"/>
      <c r="L407" s="3"/>
      <c r="M407" s="3"/>
      <c r="N407" s="3"/>
      <c r="O407" s="3"/>
      <c r="P407" s="3"/>
      <c r="Q407" s="3"/>
      <c r="R407" s="3"/>
      <c r="S407" s="3"/>
    </row>
    <row r="408" spans="3:19" ht="15.75" customHeight="1" x14ac:dyDescent="0.2">
      <c r="C408" s="208">
        <v>44005</v>
      </c>
      <c r="D408" s="19">
        <v>0.46875</v>
      </c>
      <c r="E408" s="3">
        <v>10</v>
      </c>
      <c r="F408" s="24">
        <v>8.81</v>
      </c>
      <c r="G408" s="3">
        <v>82</v>
      </c>
      <c r="H408" s="7">
        <v>12.3</v>
      </c>
      <c r="I408" s="7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3:19" ht="15.75" customHeight="1" x14ac:dyDescent="0.2">
      <c r="C409" s="208">
        <v>44005</v>
      </c>
      <c r="D409" s="19">
        <v>0.46875</v>
      </c>
      <c r="E409" s="3">
        <v>11</v>
      </c>
      <c r="F409" s="24">
        <v>8.6999999999999993</v>
      </c>
      <c r="G409" s="3">
        <v>80.599999999999994</v>
      </c>
      <c r="H409" s="7">
        <v>12</v>
      </c>
      <c r="I409" s="7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spans="3:19" ht="15.75" customHeight="1" x14ac:dyDescent="0.2">
      <c r="C410" s="208">
        <v>44005</v>
      </c>
      <c r="D410" s="19">
        <v>0.46875</v>
      </c>
      <c r="E410" s="3">
        <v>12</v>
      </c>
      <c r="F410" s="24">
        <v>8.6</v>
      </c>
      <c r="G410" s="3">
        <v>79</v>
      </c>
      <c r="H410" s="7">
        <v>11.6</v>
      </c>
      <c r="I410" s="7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spans="3:19" ht="15.75" customHeight="1" x14ac:dyDescent="0.2">
      <c r="C411" s="208">
        <v>44005</v>
      </c>
      <c r="D411" s="19">
        <v>0.46875</v>
      </c>
      <c r="E411" s="3">
        <v>13</v>
      </c>
      <c r="F411" s="24">
        <v>8.59</v>
      </c>
      <c r="G411" s="3">
        <v>77.7</v>
      </c>
      <c r="H411" s="7">
        <v>11</v>
      </c>
      <c r="I411" s="7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3:19" ht="15.75" customHeight="1" x14ac:dyDescent="0.2">
      <c r="C412" s="208">
        <v>44005</v>
      </c>
      <c r="D412" s="19">
        <v>0.46875</v>
      </c>
      <c r="E412" s="3">
        <v>14</v>
      </c>
      <c r="F412" s="24">
        <v>8.7100000000000009</v>
      </c>
      <c r="G412" s="3">
        <v>77.2</v>
      </c>
      <c r="H412" s="7">
        <v>10</v>
      </c>
      <c r="I412" s="7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3:19" ht="15.75" customHeight="1" x14ac:dyDescent="0.2">
      <c r="C413" s="208">
        <v>44005</v>
      </c>
      <c r="D413" s="19">
        <v>0.46875</v>
      </c>
      <c r="E413" s="3">
        <v>15</v>
      </c>
      <c r="F413" s="24">
        <v>8.75</v>
      </c>
      <c r="G413" s="3">
        <v>77.2</v>
      </c>
      <c r="H413" s="7">
        <v>9.9</v>
      </c>
      <c r="I413" s="7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spans="3:19" ht="15.75" customHeight="1" x14ac:dyDescent="0.2">
      <c r="C414" s="208">
        <v>44005</v>
      </c>
      <c r="D414" s="19">
        <v>0.46875</v>
      </c>
      <c r="E414" s="3">
        <v>16</v>
      </c>
      <c r="F414" s="24">
        <v>8.9499999999999993</v>
      </c>
      <c r="G414" s="3">
        <v>76.900000000000006</v>
      </c>
      <c r="H414" s="7">
        <v>8.6999999999999993</v>
      </c>
      <c r="I414" s="7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3:19" ht="15.75" customHeight="1" x14ac:dyDescent="0.2">
      <c r="C415" s="208">
        <v>44005</v>
      </c>
      <c r="D415" s="19">
        <v>0.46875</v>
      </c>
      <c r="E415" s="3">
        <v>17</v>
      </c>
      <c r="F415" s="24">
        <v>9.01</v>
      </c>
      <c r="G415" s="3">
        <v>76.400000000000006</v>
      </c>
      <c r="H415" s="7">
        <v>8.1999999999999993</v>
      </c>
      <c r="I415" s="7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3:19" ht="15.75" customHeight="1" x14ac:dyDescent="0.2">
      <c r="C416" s="208">
        <v>44005</v>
      </c>
      <c r="D416" s="19">
        <v>0.46875</v>
      </c>
      <c r="E416" s="3">
        <v>18</v>
      </c>
      <c r="F416" s="24">
        <v>9.01</v>
      </c>
      <c r="G416" s="3">
        <v>75.7</v>
      </c>
      <c r="H416" s="7">
        <v>7.8</v>
      </c>
      <c r="I416" s="7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3:19" ht="15.75" customHeight="1" x14ac:dyDescent="0.2">
      <c r="C417" s="208">
        <v>44005</v>
      </c>
      <c r="D417" s="19">
        <v>0.46875</v>
      </c>
      <c r="E417" s="3">
        <v>19</v>
      </c>
      <c r="F417" s="24">
        <v>8.9700000000000006</v>
      </c>
      <c r="G417" s="3">
        <v>75</v>
      </c>
      <c r="H417" s="7">
        <v>7.6</v>
      </c>
      <c r="I417" s="7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3:19" ht="15.75" customHeight="1" x14ac:dyDescent="0.2">
      <c r="C418" s="208">
        <v>44005</v>
      </c>
      <c r="D418" s="19">
        <v>0.46875</v>
      </c>
      <c r="E418" s="3">
        <v>20</v>
      </c>
      <c r="F418" s="24">
        <v>8.9499999999999993</v>
      </c>
      <c r="G418" s="3">
        <v>74.5</v>
      </c>
      <c r="H418" s="7">
        <v>7.4</v>
      </c>
      <c r="I418" s="7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3:19" ht="15.75" customHeight="1" x14ac:dyDescent="0.2">
      <c r="C419" s="208">
        <v>44005</v>
      </c>
      <c r="D419" s="19">
        <v>0.46875</v>
      </c>
      <c r="E419" s="3">
        <v>21</v>
      </c>
      <c r="F419" s="24">
        <v>8.9600000000000009</v>
      </c>
      <c r="G419" s="3"/>
      <c r="H419" s="7">
        <v>6.9</v>
      </c>
      <c r="I419" s="7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3:19" ht="15.75" customHeight="1" x14ac:dyDescent="0.2">
      <c r="C420" s="208">
        <v>44005</v>
      </c>
      <c r="D420" s="19">
        <v>0.46875</v>
      </c>
      <c r="E420" s="3">
        <v>22</v>
      </c>
      <c r="F420" s="24">
        <v>8.9600000000000009</v>
      </c>
      <c r="G420" s="3"/>
      <c r="H420" s="7">
        <v>6.8</v>
      </c>
      <c r="I420" s="7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3:19" ht="15.75" customHeight="1" x14ac:dyDescent="0.2">
      <c r="C421" s="208">
        <v>44005</v>
      </c>
      <c r="D421" s="19">
        <v>0.46875</v>
      </c>
      <c r="E421" s="3">
        <v>23</v>
      </c>
      <c r="F421" s="24">
        <v>9</v>
      </c>
      <c r="G421" s="3"/>
      <c r="H421" s="7">
        <v>6.6</v>
      </c>
      <c r="I421" s="7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3:19" ht="15.75" customHeight="1" x14ac:dyDescent="0.2">
      <c r="C422" s="208">
        <v>44005</v>
      </c>
      <c r="D422" s="19">
        <v>0.46875</v>
      </c>
      <c r="E422" s="3">
        <v>24</v>
      </c>
      <c r="F422" s="24">
        <v>9.01</v>
      </c>
      <c r="G422" s="3"/>
      <c r="H422" s="7">
        <v>6.6</v>
      </c>
      <c r="I422" s="7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3:19" ht="15.75" customHeight="1" x14ac:dyDescent="0.2">
      <c r="C423" s="208">
        <v>44005</v>
      </c>
      <c r="D423" s="19">
        <v>0.46875</v>
      </c>
      <c r="E423" s="3">
        <v>25</v>
      </c>
      <c r="F423" s="24">
        <v>9.02</v>
      </c>
      <c r="G423" s="3"/>
      <c r="H423" s="7">
        <v>6.3</v>
      </c>
      <c r="I423" s="7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3:19" ht="15.75" customHeight="1" x14ac:dyDescent="0.2">
      <c r="C424" s="208">
        <v>44005</v>
      </c>
      <c r="D424" s="19">
        <v>0.46875</v>
      </c>
      <c r="E424" s="3">
        <v>26</v>
      </c>
      <c r="F424" s="24">
        <v>9.02</v>
      </c>
      <c r="G424" s="3"/>
      <c r="H424" s="7">
        <v>6.2</v>
      </c>
      <c r="I424" s="7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3:19" ht="15.75" customHeight="1" x14ac:dyDescent="0.2">
      <c r="C425" s="208">
        <v>44005</v>
      </c>
      <c r="D425" s="19">
        <v>0.46875</v>
      </c>
      <c r="E425" s="3">
        <v>27</v>
      </c>
      <c r="F425" s="24">
        <v>9</v>
      </c>
      <c r="G425" s="3"/>
      <c r="H425" s="7">
        <v>6.2</v>
      </c>
      <c r="I425" s="7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3:19" ht="15.75" customHeight="1" x14ac:dyDescent="0.2">
      <c r="C426" s="208">
        <v>44005</v>
      </c>
      <c r="D426" s="19">
        <v>0.46875</v>
      </c>
      <c r="E426" s="3">
        <v>28</v>
      </c>
      <c r="F426" s="24">
        <v>8.9700000000000006</v>
      </c>
      <c r="G426" s="3"/>
      <c r="H426" s="7">
        <v>6.2</v>
      </c>
      <c r="I426" s="7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3:19" ht="15.75" customHeight="1" x14ac:dyDescent="0.2">
      <c r="C427" s="208">
        <v>44005</v>
      </c>
      <c r="D427" s="19">
        <v>0.46875</v>
      </c>
      <c r="E427" s="3">
        <v>29</v>
      </c>
      <c r="F427" s="24">
        <v>8.9700000000000006</v>
      </c>
      <c r="G427" s="3"/>
      <c r="H427" s="7">
        <v>6.2</v>
      </c>
      <c r="I427" s="7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3:19" ht="15.75" customHeight="1" x14ac:dyDescent="0.2">
      <c r="C428" s="208">
        <v>44005</v>
      </c>
      <c r="D428" s="19">
        <v>0.46875</v>
      </c>
      <c r="E428" s="3">
        <v>30</v>
      </c>
      <c r="F428" s="24">
        <v>8.94</v>
      </c>
      <c r="G428" s="3"/>
      <c r="H428" s="7">
        <v>6.1</v>
      </c>
      <c r="I428" s="7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3:19" ht="15.75" customHeight="1" x14ac:dyDescent="0.2">
      <c r="C429" s="208">
        <v>44005</v>
      </c>
      <c r="D429" s="19">
        <v>0.46875</v>
      </c>
      <c r="E429" s="3">
        <v>31</v>
      </c>
      <c r="F429" s="24">
        <v>8.93</v>
      </c>
      <c r="G429" s="3"/>
      <c r="H429" s="7">
        <v>6</v>
      </c>
      <c r="I429" s="7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spans="3:19" ht="15.75" customHeight="1" x14ac:dyDescent="0.2">
      <c r="C430" s="208">
        <v>44005</v>
      </c>
      <c r="D430" s="19">
        <v>0.46875</v>
      </c>
      <c r="E430" s="3">
        <v>32</v>
      </c>
      <c r="F430" s="24">
        <v>8.92</v>
      </c>
      <c r="G430" s="3"/>
      <c r="H430" s="7">
        <v>6</v>
      </c>
      <c r="I430" s="7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3:19" ht="15.75" customHeight="1" x14ac:dyDescent="0.2">
      <c r="C431" s="208">
        <v>44005</v>
      </c>
      <c r="D431" s="19">
        <v>0.46875</v>
      </c>
      <c r="E431" s="3">
        <v>33</v>
      </c>
      <c r="F431" s="24">
        <v>8.93</v>
      </c>
      <c r="G431" s="3"/>
      <c r="H431" s="7">
        <v>5.9</v>
      </c>
      <c r="I431" s="7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3:19" ht="15.75" customHeight="1" x14ac:dyDescent="0.2">
      <c r="C432" s="208">
        <v>44005</v>
      </c>
      <c r="D432" s="19">
        <v>0.46875</v>
      </c>
      <c r="E432" s="3">
        <v>34</v>
      </c>
      <c r="F432" s="24">
        <v>8.91</v>
      </c>
      <c r="G432" s="3"/>
      <c r="H432" s="7">
        <v>5.9</v>
      </c>
      <c r="I432" s="7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3:19" ht="15.75" customHeight="1" x14ac:dyDescent="0.2">
      <c r="C433" s="208">
        <v>44005</v>
      </c>
      <c r="D433" s="19">
        <v>0.46875</v>
      </c>
      <c r="E433" s="3">
        <v>35</v>
      </c>
      <c r="F433" s="24">
        <v>8.9</v>
      </c>
      <c r="G433" s="3"/>
      <c r="H433" s="7">
        <v>5.9</v>
      </c>
      <c r="I433" s="7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3:19" ht="15.75" customHeight="1" x14ac:dyDescent="0.2">
      <c r="C434" s="208">
        <v>44005</v>
      </c>
      <c r="D434" s="19">
        <v>0.46875</v>
      </c>
      <c r="E434" s="3">
        <v>36</v>
      </c>
      <c r="F434" s="24">
        <v>8.8800000000000008</v>
      </c>
      <c r="G434" s="3"/>
      <c r="H434" s="7">
        <v>5.9</v>
      </c>
      <c r="I434" s="7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3:19" ht="15.75" customHeight="1" x14ac:dyDescent="0.2">
      <c r="C435" s="208">
        <v>44005</v>
      </c>
      <c r="D435" s="19">
        <v>0.46875</v>
      </c>
      <c r="E435" s="3">
        <v>37</v>
      </c>
      <c r="F435" s="24">
        <v>8.8699999999999992</v>
      </c>
      <c r="G435" s="3"/>
      <c r="H435" s="7">
        <v>5.9</v>
      </c>
      <c r="I435" s="7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spans="3:19" ht="15.75" customHeight="1" x14ac:dyDescent="0.2">
      <c r="C436" s="208">
        <v>44005</v>
      </c>
      <c r="D436" s="19">
        <v>0.46875</v>
      </c>
      <c r="E436" s="3">
        <v>38</v>
      </c>
      <c r="F436" s="24">
        <v>8.85</v>
      </c>
      <c r="G436" s="3"/>
      <c r="H436" s="7">
        <v>5.9</v>
      </c>
      <c r="I436" s="7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3:19" ht="15.75" customHeight="1" x14ac:dyDescent="0.2">
      <c r="C437" s="208">
        <v>44005</v>
      </c>
      <c r="D437" s="19">
        <v>0.46875</v>
      </c>
      <c r="E437" s="3">
        <v>39</v>
      </c>
      <c r="F437" s="24">
        <v>8.84</v>
      </c>
      <c r="G437" s="3"/>
      <c r="H437" s="7">
        <v>5.9</v>
      </c>
      <c r="I437" s="7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3:19" ht="15.75" customHeight="1" x14ac:dyDescent="0.2">
      <c r="C438" s="208">
        <v>44005</v>
      </c>
      <c r="D438" s="19">
        <v>0.46875</v>
      </c>
      <c r="E438" s="3">
        <v>40</v>
      </c>
      <c r="F438" s="24">
        <v>8.82</v>
      </c>
      <c r="G438" s="3"/>
      <c r="H438" s="7">
        <v>5.8</v>
      </c>
      <c r="I438" s="7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3:19" ht="15.75" customHeight="1" x14ac:dyDescent="0.2">
      <c r="C439" s="208">
        <v>44005</v>
      </c>
      <c r="D439" s="19">
        <v>0.46875</v>
      </c>
      <c r="E439" s="3">
        <v>41</v>
      </c>
      <c r="F439" s="24" t="s">
        <v>103</v>
      </c>
      <c r="G439" s="3"/>
      <c r="H439" s="7">
        <v>5.7</v>
      </c>
      <c r="I439" s="7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spans="3:19" ht="15.75" customHeight="1" x14ac:dyDescent="0.2">
      <c r="C440" s="208">
        <v>44005</v>
      </c>
      <c r="D440" s="19">
        <v>0.46875</v>
      </c>
      <c r="E440" s="3">
        <v>42</v>
      </c>
      <c r="F440" s="24">
        <v>8.7100000000000009</v>
      </c>
      <c r="G440" s="3"/>
      <c r="H440" s="7">
        <v>5.7</v>
      </c>
      <c r="I440" s="7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3:19" ht="15.75" customHeight="1" x14ac:dyDescent="0.2">
      <c r="C441" s="208">
        <v>44005</v>
      </c>
      <c r="D441" s="19">
        <v>0.46875</v>
      </c>
      <c r="E441" s="3">
        <v>43</v>
      </c>
      <c r="F441" s="24">
        <v>8.65</v>
      </c>
      <c r="G441" s="3"/>
      <c r="H441" s="7">
        <v>5.7</v>
      </c>
      <c r="I441" s="7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spans="3:19" ht="15.75" customHeight="1" x14ac:dyDescent="0.2">
      <c r="C442" s="208">
        <v>44005</v>
      </c>
      <c r="D442" s="19">
        <v>0.46875</v>
      </c>
      <c r="E442" s="3">
        <v>44</v>
      </c>
      <c r="F442" s="24">
        <v>8.6300000000000008</v>
      </c>
      <c r="G442" s="3"/>
      <c r="H442" s="7">
        <v>5.7</v>
      </c>
      <c r="I442" s="7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3:19" ht="15.75" customHeight="1" x14ac:dyDescent="0.2">
      <c r="C443" s="208">
        <v>44005</v>
      </c>
      <c r="D443" s="19">
        <v>0.46875</v>
      </c>
      <c r="E443" s="3">
        <v>45</v>
      </c>
      <c r="F443" s="24">
        <v>8.74</v>
      </c>
      <c r="G443" s="3">
        <v>52</v>
      </c>
      <c r="H443" s="7">
        <v>5.7</v>
      </c>
      <c r="I443" s="7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3:19" ht="15.75" customHeight="1" x14ac:dyDescent="0.2">
      <c r="C444" s="208"/>
      <c r="D444" s="19"/>
      <c r="E444" s="3"/>
      <c r="F444" s="24"/>
      <c r="G444" s="3"/>
      <c r="H444" s="7"/>
      <c r="I444" s="7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3:19" ht="15.75" customHeight="1" x14ac:dyDescent="0.2">
      <c r="C445" s="208"/>
      <c r="D445" s="19"/>
      <c r="E445" s="3"/>
      <c r="F445" s="24"/>
      <c r="G445" s="3"/>
      <c r="H445" s="7"/>
      <c r="I445" s="7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spans="3:19" ht="15.75" customHeight="1" x14ac:dyDescent="0.2">
      <c r="C446" s="208">
        <v>44039</v>
      </c>
      <c r="D446" s="19"/>
      <c r="E446" s="3"/>
      <c r="F446" s="24"/>
      <c r="G446" s="3"/>
      <c r="H446" s="7"/>
      <c r="I446" s="7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spans="3:19" ht="15.75" customHeight="1" x14ac:dyDescent="0.2">
      <c r="C447" s="208">
        <v>44039</v>
      </c>
      <c r="D447" s="19">
        <v>0.44791666666666669</v>
      </c>
      <c r="E447" s="3">
        <v>0.1</v>
      </c>
      <c r="F447" s="24">
        <v>7.3</v>
      </c>
      <c r="G447" s="3">
        <v>84</v>
      </c>
      <c r="H447" s="7">
        <v>22.3</v>
      </c>
      <c r="I447" s="7">
        <v>22.3</v>
      </c>
      <c r="J447" s="7"/>
      <c r="K447" s="3"/>
      <c r="L447" s="3"/>
      <c r="M447" s="3"/>
      <c r="N447" s="3"/>
      <c r="O447" s="3"/>
      <c r="P447" s="3"/>
      <c r="Q447" s="3"/>
      <c r="R447" s="3"/>
      <c r="S447" s="3"/>
    </row>
    <row r="448" spans="3:19" ht="15.75" customHeight="1" x14ac:dyDescent="0.2">
      <c r="C448" s="208">
        <v>44039</v>
      </c>
      <c r="D448" s="19">
        <v>0.44791666666666669</v>
      </c>
      <c r="E448" s="3">
        <v>1</v>
      </c>
      <c r="F448" s="24">
        <v>7.34</v>
      </c>
      <c r="G448" s="3"/>
      <c r="H448" s="7">
        <v>22.1</v>
      </c>
      <c r="I448" s="7">
        <v>22.1</v>
      </c>
      <c r="J448" s="7"/>
      <c r="K448" s="3"/>
      <c r="L448" s="3"/>
      <c r="M448" s="3"/>
      <c r="N448" s="3"/>
      <c r="O448" s="3"/>
      <c r="P448" s="3"/>
      <c r="Q448" s="3"/>
      <c r="R448" s="3"/>
      <c r="S448" s="3"/>
    </row>
    <row r="449" spans="3:19" ht="15.75" customHeight="1" x14ac:dyDescent="0.2">
      <c r="C449" s="208">
        <v>44039</v>
      </c>
      <c r="D449" s="19">
        <v>0.44791666666666669</v>
      </c>
      <c r="E449" s="3">
        <v>2</v>
      </c>
      <c r="F449" s="24">
        <v>7.34</v>
      </c>
      <c r="G449" s="3"/>
      <c r="H449" s="7">
        <v>21.9</v>
      </c>
      <c r="I449" s="7">
        <v>21.9</v>
      </c>
      <c r="J449" s="7"/>
      <c r="K449" s="3"/>
      <c r="L449" s="3"/>
      <c r="M449" s="3"/>
      <c r="N449" s="3"/>
      <c r="O449" s="3"/>
      <c r="P449" s="3"/>
      <c r="Q449" s="3"/>
      <c r="R449" s="3"/>
      <c r="S449" s="3"/>
    </row>
    <row r="450" spans="3:19" ht="15.75" customHeight="1" x14ac:dyDescent="0.2">
      <c r="C450" s="208">
        <v>44039</v>
      </c>
      <c r="D450" s="19">
        <v>0.44791666666666669</v>
      </c>
      <c r="E450" s="3">
        <v>3</v>
      </c>
      <c r="F450" s="24">
        <v>7.35</v>
      </c>
      <c r="G450" s="3"/>
      <c r="H450" s="7">
        <v>21.7</v>
      </c>
      <c r="I450" s="7">
        <v>21.7</v>
      </c>
      <c r="J450" s="7"/>
      <c r="K450" s="3"/>
      <c r="L450" s="3"/>
      <c r="M450" s="3"/>
      <c r="N450" s="3"/>
      <c r="O450" s="3"/>
      <c r="P450" s="3"/>
      <c r="Q450" s="3"/>
      <c r="R450" s="3"/>
      <c r="S450" s="3"/>
    </row>
    <row r="451" spans="3:19" ht="15.75" customHeight="1" x14ac:dyDescent="0.2">
      <c r="C451" s="208">
        <v>44039</v>
      </c>
      <c r="D451" s="19">
        <v>0.44791666666666669</v>
      </c>
      <c r="E451" s="3">
        <v>4</v>
      </c>
      <c r="F451" s="24">
        <v>7.35</v>
      </c>
      <c r="G451" s="3"/>
      <c r="H451" s="7">
        <v>21.7</v>
      </c>
      <c r="I451" s="7">
        <v>21.7</v>
      </c>
      <c r="J451" s="7"/>
      <c r="K451" s="3"/>
      <c r="L451" s="3"/>
      <c r="M451" s="3"/>
      <c r="N451" s="3"/>
      <c r="O451" s="3"/>
      <c r="P451" s="3"/>
      <c r="Q451" s="3"/>
      <c r="R451" s="3"/>
      <c r="S451" s="3"/>
    </row>
    <row r="452" spans="3:19" ht="15.75" customHeight="1" x14ac:dyDescent="0.2">
      <c r="C452" s="208">
        <v>44039</v>
      </c>
      <c r="D452" s="19">
        <v>0.44791666666666669</v>
      </c>
      <c r="E452" s="3">
        <v>5</v>
      </c>
      <c r="F452" s="24">
        <v>7.33</v>
      </c>
      <c r="G452" s="3"/>
      <c r="H452" s="7">
        <v>21.6</v>
      </c>
      <c r="I452" s="7">
        <v>21.6</v>
      </c>
      <c r="J452" s="7"/>
      <c r="K452" s="3"/>
      <c r="L452" s="3"/>
      <c r="M452" s="3"/>
      <c r="N452" s="3"/>
      <c r="O452" s="3"/>
      <c r="P452" s="3"/>
      <c r="Q452" s="3"/>
      <c r="R452" s="3"/>
      <c r="S452" s="3"/>
    </row>
    <row r="453" spans="3:19" ht="15.75" customHeight="1" x14ac:dyDescent="0.2">
      <c r="C453" s="208">
        <v>44039</v>
      </c>
      <c r="D453" s="19">
        <v>0.44791666666666669</v>
      </c>
      <c r="E453" s="3">
        <v>6</v>
      </c>
      <c r="F453" s="24">
        <v>7.34</v>
      </c>
      <c r="G453" s="3"/>
      <c r="H453" s="7">
        <v>21.4</v>
      </c>
      <c r="I453" s="7">
        <v>21.4</v>
      </c>
      <c r="J453" s="7"/>
      <c r="K453" s="3"/>
      <c r="L453" s="3"/>
      <c r="M453" s="3"/>
      <c r="N453" s="3"/>
      <c r="O453" s="3"/>
      <c r="P453" s="3"/>
      <c r="Q453" s="3"/>
      <c r="R453" s="3"/>
      <c r="S453" s="3"/>
    </row>
    <row r="454" spans="3:19" ht="15.75" customHeight="1" x14ac:dyDescent="0.2">
      <c r="C454" s="208">
        <v>44039</v>
      </c>
      <c r="D454" s="19">
        <v>0.44791666666666669</v>
      </c>
      <c r="E454" s="3">
        <v>7</v>
      </c>
      <c r="F454" s="24">
        <v>7.32</v>
      </c>
      <c r="G454" s="3">
        <v>82.2</v>
      </c>
      <c r="H454" s="7">
        <v>21.2</v>
      </c>
      <c r="I454" s="7">
        <v>21.2</v>
      </c>
      <c r="J454" s="17"/>
      <c r="K454" s="3"/>
      <c r="L454" s="3"/>
      <c r="M454" s="3"/>
      <c r="N454" s="3"/>
      <c r="O454" s="3"/>
      <c r="P454" s="3"/>
      <c r="Q454" s="3"/>
      <c r="R454" s="3"/>
      <c r="S454" s="3"/>
    </row>
    <row r="455" spans="3:19" ht="15.75" customHeight="1" x14ac:dyDescent="0.2">
      <c r="C455" s="208">
        <v>44039</v>
      </c>
      <c r="D455" s="19">
        <v>0.44791666666666669</v>
      </c>
      <c r="E455" s="3">
        <v>8</v>
      </c>
      <c r="F455" s="24">
        <v>8.35</v>
      </c>
      <c r="G455" s="3">
        <v>86.5</v>
      </c>
      <c r="H455" s="7">
        <v>16.8</v>
      </c>
      <c r="I455" s="51">
        <f>AVERAGE(I447:I454)</f>
        <v>21.737500000000001</v>
      </c>
      <c r="J455" s="51"/>
      <c r="K455" s="54"/>
      <c r="L455" s="3"/>
      <c r="M455" s="3"/>
      <c r="N455" s="3"/>
      <c r="O455" s="3"/>
      <c r="P455" s="3"/>
      <c r="Q455" s="3"/>
      <c r="R455" s="3"/>
      <c r="S455" s="3"/>
    </row>
    <row r="456" spans="3:19" ht="15.75" customHeight="1" x14ac:dyDescent="0.2">
      <c r="C456" s="208">
        <v>44039</v>
      </c>
      <c r="D456" s="19">
        <v>0.44791666666666669</v>
      </c>
      <c r="E456" s="3">
        <v>9</v>
      </c>
      <c r="F456" s="24">
        <v>8.84</v>
      </c>
      <c r="G456" s="3"/>
      <c r="H456" s="7">
        <v>15</v>
      </c>
      <c r="I456" s="7"/>
      <c r="J456" s="3"/>
      <c r="L456" s="3"/>
      <c r="M456" s="3"/>
      <c r="N456" s="3"/>
      <c r="O456" s="3"/>
      <c r="P456" s="3"/>
      <c r="Q456" s="3"/>
      <c r="R456" s="3"/>
      <c r="S456" s="3"/>
    </row>
    <row r="457" spans="3:19" ht="15.75" customHeight="1" x14ac:dyDescent="0.2">
      <c r="C457" s="208">
        <v>44039</v>
      </c>
      <c r="D457" s="19">
        <v>0.44791666666666669</v>
      </c>
      <c r="E457" s="3">
        <v>10</v>
      </c>
      <c r="F457" s="24">
        <v>8.9</v>
      </c>
      <c r="G457" s="3"/>
      <c r="H457" s="7">
        <v>14</v>
      </c>
      <c r="I457" s="7"/>
      <c r="J457" s="3"/>
      <c r="L457" s="3"/>
      <c r="M457" s="3"/>
      <c r="N457" s="3"/>
      <c r="O457" s="3"/>
      <c r="P457" s="3"/>
      <c r="Q457" s="3"/>
      <c r="R457" s="3"/>
      <c r="S457" s="3"/>
    </row>
    <row r="458" spans="3:19" ht="15.75" customHeight="1" x14ac:dyDescent="0.2">
      <c r="C458" s="208">
        <v>44039</v>
      </c>
      <c r="D458" s="19">
        <v>0.44791666666666669</v>
      </c>
      <c r="E458" s="3">
        <v>12</v>
      </c>
      <c r="F458" s="24">
        <v>9.1199999999999992</v>
      </c>
      <c r="G458" s="3"/>
      <c r="H458" s="7">
        <v>11.8</v>
      </c>
      <c r="I458" s="7"/>
      <c r="J458" s="3"/>
      <c r="L458" s="3"/>
      <c r="M458" s="3"/>
      <c r="N458" s="3"/>
      <c r="O458" s="3"/>
      <c r="P458" s="3"/>
      <c r="Q458" s="3"/>
      <c r="R458" s="3"/>
      <c r="S458" s="3"/>
    </row>
    <row r="459" spans="3:19" ht="15.75" customHeight="1" x14ac:dyDescent="0.2">
      <c r="C459" s="208">
        <v>44039</v>
      </c>
      <c r="D459" s="19">
        <v>0.44791666666666669</v>
      </c>
      <c r="E459" s="3">
        <v>14</v>
      </c>
      <c r="F459" s="24">
        <v>9.25</v>
      </c>
      <c r="G459" s="3"/>
      <c r="H459" s="7">
        <v>10.7</v>
      </c>
      <c r="I459" s="7"/>
      <c r="J459" s="3"/>
      <c r="L459" s="3"/>
      <c r="M459" s="3"/>
      <c r="N459" s="3"/>
      <c r="O459" s="3"/>
      <c r="P459" s="3"/>
      <c r="Q459" s="3"/>
      <c r="R459" s="3"/>
      <c r="S459" s="3"/>
    </row>
    <row r="460" spans="3:19" ht="15.75" customHeight="1" x14ac:dyDescent="0.2">
      <c r="C460" s="208">
        <v>44039</v>
      </c>
      <c r="D460" s="19">
        <v>0.44791666666666669</v>
      </c>
      <c r="E460" s="3">
        <v>16</v>
      </c>
      <c r="F460" s="24">
        <v>9.1</v>
      </c>
      <c r="G460" s="3"/>
      <c r="H460" s="7">
        <v>9.6</v>
      </c>
      <c r="I460" s="7"/>
      <c r="J460" s="3"/>
      <c r="L460" s="3"/>
      <c r="M460" s="3"/>
      <c r="N460" s="3"/>
      <c r="O460" s="3"/>
      <c r="P460" s="3"/>
      <c r="Q460" s="3"/>
      <c r="R460" s="3"/>
      <c r="S460" s="3"/>
    </row>
    <row r="461" spans="3:19" ht="15.75" customHeight="1" x14ac:dyDescent="0.2">
      <c r="C461" s="208">
        <v>44039</v>
      </c>
      <c r="D461" s="19">
        <v>0.44791666666666669</v>
      </c>
      <c r="E461" s="3">
        <v>18</v>
      </c>
      <c r="F461" s="24">
        <v>9.0399999999999991</v>
      </c>
      <c r="G461" s="3"/>
      <c r="H461" s="7">
        <v>8.6999999999999993</v>
      </c>
      <c r="I461" s="7"/>
      <c r="J461" s="3"/>
      <c r="L461" s="3"/>
      <c r="M461" s="3"/>
      <c r="N461" s="3"/>
      <c r="O461" s="3"/>
      <c r="P461" s="3"/>
      <c r="Q461" s="3"/>
      <c r="R461" s="3"/>
      <c r="S461" s="3"/>
    </row>
    <row r="462" spans="3:19" ht="15.75" customHeight="1" x14ac:dyDescent="0.2">
      <c r="C462" s="208">
        <v>44039</v>
      </c>
      <c r="D462" s="19">
        <v>0.44791666666666669</v>
      </c>
      <c r="E462" s="3">
        <v>20</v>
      </c>
      <c r="F462" s="24">
        <v>8.8699999999999992</v>
      </c>
      <c r="G462" s="3"/>
      <c r="H462" s="7">
        <v>7.9</v>
      </c>
      <c r="I462" s="7"/>
      <c r="J462" s="3"/>
      <c r="L462" s="3"/>
      <c r="M462" s="3"/>
      <c r="N462" s="3"/>
      <c r="O462" s="3"/>
      <c r="P462" s="3"/>
      <c r="Q462" s="3"/>
      <c r="R462" s="3"/>
      <c r="S462" s="3"/>
    </row>
    <row r="463" spans="3:19" ht="15.75" customHeight="1" x14ac:dyDescent="0.2">
      <c r="C463" s="208">
        <v>44039</v>
      </c>
      <c r="D463" s="19">
        <v>0.44791666666666669</v>
      </c>
      <c r="E463" s="3">
        <v>22</v>
      </c>
      <c r="F463" s="24">
        <v>8.8000000000000007</v>
      </c>
      <c r="G463" s="3"/>
      <c r="H463" s="7">
        <v>7.6</v>
      </c>
      <c r="I463" s="7"/>
      <c r="J463" s="3"/>
      <c r="L463" s="3"/>
      <c r="M463" s="3"/>
      <c r="N463" s="3"/>
      <c r="O463" s="3"/>
      <c r="P463" s="3"/>
      <c r="Q463" s="3"/>
      <c r="R463" s="3"/>
      <c r="S463" s="3"/>
    </row>
    <row r="464" spans="3:19" ht="15.75" customHeight="1" x14ac:dyDescent="0.2">
      <c r="C464" s="208">
        <v>44039</v>
      </c>
      <c r="D464" s="19">
        <v>0.44791666666666669</v>
      </c>
      <c r="E464" s="3">
        <v>24</v>
      </c>
      <c r="F464" s="24">
        <v>8.8800000000000008</v>
      </c>
      <c r="G464" s="3"/>
      <c r="H464" s="7">
        <v>7.1</v>
      </c>
      <c r="I464" s="7"/>
      <c r="J464" s="3"/>
      <c r="L464" s="3"/>
      <c r="M464" s="3"/>
      <c r="N464" s="3"/>
      <c r="O464" s="3"/>
      <c r="P464" s="3"/>
      <c r="Q464" s="3"/>
      <c r="R464" s="3"/>
      <c r="S464" s="3"/>
    </row>
    <row r="465" spans="3:19" ht="15.75" customHeight="1" x14ac:dyDescent="0.2">
      <c r="C465" s="208">
        <v>44039</v>
      </c>
      <c r="D465" s="19">
        <v>0.44791666666666669</v>
      </c>
      <c r="E465" s="3">
        <v>26</v>
      </c>
      <c r="F465" s="24">
        <v>8.85</v>
      </c>
      <c r="G465" s="3"/>
      <c r="H465" s="7">
        <v>6.9</v>
      </c>
      <c r="I465" s="7"/>
      <c r="J465" s="3"/>
      <c r="L465" s="3"/>
      <c r="M465" s="3"/>
      <c r="N465" s="3"/>
      <c r="O465" s="3"/>
      <c r="P465" s="3"/>
      <c r="Q465" s="3"/>
      <c r="R465" s="3"/>
      <c r="S465" s="3"/>
    </row>
    <row r="466" spans="3:19" ht="15.75" customHeight="1" x14ac:dyDescent="0.2">
      <c r="C466" s="208">
        <v>44039</v>
      </c>
      <c r="D466" s="19">
        <v>0.44791666666666669</v>
      </c>
      <c r="E466" s="3">
        <v>28</v>
      </c>
      <c r="F466" s="24">
        <v>8.82</v>
      </c>
      <c r="G466" s="3"/>
      <c r="H466" s="7">
        <v>6.7</v>
      </c>
      <c r="I466" s="7"/>
      <c r="J466" s="3"/>
      <c r="L466" s="3"/>
      <c r="M466" s="3"/>
      <c r="N466" s="3"/>
      <c r="O466" s="3"/>
      <c r="P466" s="3"/>
      <c r="Q466" s="3"/>
      <c r="R466" s="3"/>
      <c r="S466" s="3"/>
    </row>
    <row r="467" spans="3:19" ht="15.75" customHeight="1" x14ac:dyDescent="0.2">
      <c r="C467" s="208">
        <v>44039</v>
      </c>
      <c r="D467" s="19">
        <v>0.44791666666666669</v>
      </c>
      <c r="E467" s="3">
        <v>30</v>
      </c>
      <c r="F467" s="24">
        <v>8.8000000000000007</v>
      </c>
      <c r="G467" s="3"/>
      <c r="H467" s="7">
        <v>6.6</v>
      </c>
      <c r="I467" s="7"/>
      <c r="J467" s="3"/>
      <c r="L467" s="3"/>
      <c r="M467" s="3"/>
      <c r="N467" s="3"/>
      <c r="O467" s="3"/>
      <c r="P467" s="3"/>
      <c r="Q467" s="3"/>
      <c r="R467" s="3"/>
      <c r="S467" s="3"/>
    </row>
    <row r="468" spans="3:19" ht="15.75" customHeight="1" x14ac:dyDescent="0.2">
      <c r="C468" s="208">
        <v>44039</v>
      </c>
      <c r="D468" s="19">
        <v>0.44791666666666669</v>
      </c>
      <c r="E468" s="3">
        <v>32</v>
      </c>
      <c r="F468" s="24">
        <v>8.7899999999999991</v>
      </c>
      <c r="G468" s="3"/>
      <c r="H468" s="7">
        <v>6.5</v>
      </c>
      <c r="I468" s="7"/>
      <c r="J468" s="3"/>
      <c r="L468" s="3"/>
      <c r="M468" s="3"/>
      <c r="N468" s="3"/>
      <c r="O468" s="3"/>
      <c r="P468" s="3"/>
      <c r="Q468" s="3"/>
      <c r="R468" s="3"/>
      <c r="S468" s="3"/>
    </row>
    <row r="469" spans="3:19" ht="15.75" customHeight="1" x14ac:dyDescent="0.2">
      <c r="C469" s="208">
        <v>44039</v>
      </c>
      <c r="D469" s="19">
        <v>0.44791666666666669</v>
      </c>
      <c r="E469" s="3">
        <v>34</v>
      </c>
      <c r="F469" s="24">
        <v>8.73</v>
      </c>
      <c r="G469" s="3"/>
      <c r="H469" s="7">
        <v>6.3</v>
      </c>
      <c r="I469" s="7"/>
      <c r="J469" s="3"/>
      <c r="L469" s="3"/>
      <c r="M469" s="3"/>
      <c r="N469" s="3"/>
      <c r="O469" s="3"/>
      <c r="P469" s="3"/>
      <c r="Q469" s="3"/>
      <c r="R469" s="3"/>
      <c r="S469" s="3"/>
    </row>
    <row r="470" spans="3:19" ht="15.75" customHeight="1" x14ac:dyDescent="0.2">
      <c r="C470" s="208">
        <v>44039</v>
      </c>
      <c r="D470" s="19">
        <v>0.44791666666666669</v>
      </c>
      <c r="E470" s="3">
        <v>36</v>
      </c>
      <c r="F470" s="24">
        <v>8.67</v>
      </c>
      <c r="G470" s="3"/>
      <c r="H470" s="7">
        <v>6.3</v>
      </c>
      <c r="I470" s="7"/>
      <c r="J470" s="3"/>
      <c r="L470" s="3"/>
      <c r="M470" s="3"/>
      <c r="N470" s="3"/>
      <c r="O470" s="3"/>
      <c r="P470" s="3"/>
      <c r="Q470" s="3"/>
      <c r="R470" s="3"/>
      <c r="S470" s="3"/>
    </row>
    <row r="471" spans="3:19" ht="15.75" customHeight="1" x14ac:dyDescent="0.2">
      <c r="C471" s="208">
        <v>44039</v>
      </c>
      <c r="D471" s="19">
        <v>0.44791666666666669</v>
      </c>
      <c r="E471" s="3">
        <v>38</v>
      </c>
      <c r="F471" s="24">
        <v>8.6300000000000008</v>
      </c>
      <c r="G471" s="3"/>
      <c r="H471" s="7">
        <v>6.3</v>
      </c>
      <c r="I471" s="7"/>
      <c r="J471" s="3"/>
      <c r="L471" s="3"/>
      <c r="M471" s="3"/>
      <c r="N471" s="3"/>
      <c r="O471" s="3"/>
      <c r="P471" s="3"/>
      <c r="Q471" s="3"/>
      <c r="R471" s="3"/>
      <c r="S471" s="3"/>
    </row>
    <row r="472" spans="3:19" ht="15.75" customHeight="1" x14ac:dyDescent="0.2">
      <c r="C472" s="208">
        <v>44039</v>
      </c>
      <c r="D472" s="19">
        <v>0.44791666666666669</v>
      </c>
      <c r="E472" s="3">
        <v>40</v>
      </c>
      <c r="F472" s="24">
        <v>8.6300000000000008</v>
      </c>
      <c r="G472" s="3"/>
      <c r="H472" s="7">
        <v>6.3</v>
      </c>
      <c r="I472" s="7"/>
      <c r="J472" s="3"/>
      <c r="L472" s="3"/>
      <c r="M472" s="3"/>
      <c r="N472" s="3"/>
      <c r="O472" s="3"/>
      <c r="P472" s="3"/>
      <c r="Q472" s="3"/>
      <c r="R472" s="3"/>
      <c r="S472" s="3"/>
    </row>
    <row r="473" spans="3:19" ht="15.75" customHeight="1" x14ac:dyDescent="0.2">
      <c r="C473" s="208">
        <v>44039</v>
      </c>
      <c r="D473" s="19">
        <v>0.44791666666666669</v>
      </c>
      <c r="E473" s="3">
        <v>42</v>
      </c>
      <c r="F473" s="24">
        <v>8.6199999999999992</v>
      </c>
      <c r="G473" s="3"/>
      <c r="H473" s="7">
        <v>6.2</v>
      </c>
      <c r="I473" s="7"/>
      <c r="J473" s="3"/>
      <c r="L473" s="3"/>
      <c r="M473" s="3"/>
      <c r="N473" s="3"/>
      <c r="O473" s="3"/>
      <c r="P473" s="3"/>
      <c r="Q473" s="3"/>
      <c r="R473" s="3"/>
      <c r="S473" s="3"/>
    </row>
    <row r="474" spans="3:19" ht="15.75" customHeight="1" x14ac:dyDescent="0.2">
      <c r="C474" s="208">
        <v>44039</v>
      </c>
      <c r="D474" s="19">
        <v>0.44791666666666669</v>
      </c>
      <c r="E474" s="3">
        <v>44</v>
      </c>
      <c r="F474" s="24">
        <v>8.61</v>
      </c>
      <c r="G474" s="3">
        <v>70</v>
      </c>
      <c r="H474" s="7">
        <v>6.1</v>
      </c>
      <c r="I474" s="7"/>
      <c r="J474" s="3"/>
      <c r="L474" s="3"/>
      <c r="M474" s="3"/>
      <c r="N474" s="3"/>
      <c r="O474" s="3"/>
      <c r="P474" s="3"/>
      <c r="Q474" s="3"/>
      <c r="R474" s="3"/>
      <c r="S474" s="3"/>
    </row>
    <row r="475" spans="3:19" ht="15.75" customHeight="1" x14ac:dyDescent="0.2">
      <c r="C475" s="208">
        <v>44039</v>
      </c>
      <c r="D475" s="19">
        <v>0.44791666666666669</v>
      </c>
      <c r="E475" s="3"/>
      <c r="F475" s="24"/>
      <c r="G475" s="3"/>
      <c r="H475" s="7"/>
      <c r="I475" s="7"/>
      <c r="J475" s="3"/>
      <c r="L475" s="3"/>
      <c r="M475" s="3"/>
      <c r="N475" s="3"/>
      <c r="O475" s="3"/>
      <c r="P475" s="3"/>
      <c r="Q475" s="3"/>
      <c r="R475" s="3"/>
      <c r="S475" s="3"/>
    </row>
    <row r="476" spans="3:19" ht="15.75" customHeight="1" x14ac:dyDescent="0.2">
      <c r="C476" s="208"/>
      <c r="D476" s="3"/>
      <c r="E476" s="3"/>
      <c r="F476" s="24"/>
      <c r="G476" s="3"/>
      <c r="H476" s="7"/>
      <c r="I476" s="7"/>
      <c r="L476" s="3"/>
      <c r="M476" s="3"/>
      <c r="N476" s="3"/>
      <c r="O476" s="3"/>
      <c r="P476" s="3"/>
      <c r="Q476" s="3"/>
      <c r="R476" s="3"/>
      <c r="S476" s="3"/>
    </row>
    <row r="477" spans="3:19" ht="15.75" customHeight="1" x14ac:dyDescent="0.2">
      <c r="C477" s="208">
        <v>44068</v>
      </c>
      <c r="D477" s="19">
        <v>0.4375</v>
      </c>
      <c r="E477" s="3"/>
      <c r="F477" s="24"/>
      <c r="G477" s="3"/>
      <c r="H477" s="7"/>
      <c r="I477" s="7"/>
      <c r="L477" s="3"/>
      <c r="M477" s="3"/>
      <c r="N477" s="3"/>
      <c r="O477" s="3"/>
      <c r="P477" s="3"/>
      <c r="Q477" s="3"/>
      <c r="R477" s="3"/>
      <c r="S477" s="3"/>
    </row>
    <row r="478" spans="3:19" ht="15.75" customHeight="1" x14ac:dyDescent="0.2">
      <c r="C478" s="208">
        <v>44068</v>
      </c>
      <c r="D478" s="19">
        <v>0.4375</v>
      </c>
      <c r="E478" s="3">
        <v>0.1</v>
      </c>
      <c r="F478" s="24">
        <v>7.38</v>
      </c>
      <c r="G478" s="3">
        <v>83.9</v>
      </c>
      <c r="H478" s="7">
        <v>21.7</v>
      </c>
      <c r="I478" s="7">
        <v>21.7</v>
      </c>
      <c r="J478" s="7"/>
      <c r="L478" s="3"/>
      <c r="M478" s="3"/>
      <c r="N478" s="3"/>
      <c r="O478" s="3"/>
      <c r="P478" s="3"/>
      <c r="Q478" s="3"/>
      <c r="R478" s="3"/>
      <c r="S478" s="3"/>
    </row>
    <row r="479" spans="3:19" ht="15.75" customHeight="1" x14ac:dyDescent="0.2">
      <c r="C479" s="208">
        <v>44068</v>
      </c>
      <c r="D479" s="19">
        <v>0.4375</v>
      </c>
      <c r="E479" s="3">
        <v>1</v>
      </c>
      <c r="F479" s="24">
        <v>7.38</v>
      </c>
      <c r="G479" s="3"/>
      <c r="H479" s="7">
        <v>21.7</v>
      </c>
      <c r="I479" s="7">
        <v>21.7</v>
      </c>
      <c r="J479" s="7"/>
      <c r="L479" s="3"/>
      <c r="M479" s="3"/>
      <c r="N479" s="3"/>
      <c r="O479" s="3"/>
      <c r="P479" s="3"/>
      <c r="Q479" s="3"/>
      <c r="R479" s="3"/>
      <c r="S479" s="3"/>
    </row>
    <row r="480" spans="3:19" ht="15.75" customHeight="1" x14ac:dyDescent="0.2">
      <c r="C480" s="208">
        <v>44068</v>
      </c>
      <c r="D480" s="19">
        <v>0.4375</v>
      </c>
      <c r="E480" s="3">
        <v>2</v>
      </c>
      <c r="F480" s="24">
        <v>7.38</v>
      </c>
      <c r="G480" s="3"/>
      <c r="H480" s="7">
        <v>21.6</v>
      </c>
      <c r="I480" s="7">
        <v>21.6</v>
      </c>
      <c r="J480" s="7"/>
      <c r="L480" s="3"/>
      <c r="M480" s="3"/>
      <c r="N480" s="3"/>
      <c r="O480" s="3"/>
      <c r="P480" s="3"/>
      <c r="Q480" s="3"/>
      <c r="R480" s="3"/>
      <c r="S480" s="3"/>
    </row>
    <row r="481" spans="3:19" ht="15.75" customHeight="1" x14ac:dyDescent="0.2">
      <c r="C481" s="208">
        <v>44068</v>
      </c>
      <c r="D481" s="19">
        <v>0.4375</v>
      </c>
      <c r="E481" s="3">
        <v>3</v>
      </c>
      <c r="F481" s="24">
        <v>7.37</v>
      </c>
      <c r="G481" s="3"/>
      <c r="H481" s="7">
        <v>21.6</v>
      </c>
      <c r="I481" s="7">
        <v>21.6</v>
      </c>
      <c r="J481" s="7"/>
      <c r="L481" s="3"/>
      <c r="M481" s="3"/>
      <c r="N481" s="3"/>
      <c r="O481" s="3"/>
      <c r="P481" s="3"/>
      <c r="Q481" s="3"/>
      <c r="R481" s="3"/>
      <c r="S481" s="3"/>
    </row>
    <row r="482" spans="3:19" ht="15.75" customHeight="1" x14ac:dyDescent="0.2">
      <c r="C482" s="208">
        <v>44068</v>
      </c>
      <c r="D482" s="19">
        <v>0.4375</v>
      </c>
      <c r="E482" s="3">
        <v>4</v>
      </c>
      <c r="F482" s="24">
        <v>7.36</v>
      </c>
      <c r="G482" s="3"/>
      <c r="H482" s="7">
        <v>21.6</v>
      </c>
      <c r="I482" s="7">
        <v>21.6</v>
      </c>
      <c r="J482" s="7"/>
      <c r="L482" s="3"/>
      <c r="M482" s="3"/>
      <c r="N482" s="3"/>
      <c r="O482" s="3"/>
      <c r="P482" s="3"/>
      <c r="Q482" s="3"/>
      <c r="R482" s="3"/>
      <c r="S482" s="3"/>
    </row>
    <row r="483" spans="3:19" ht="15.75" customHeight="1" x14ac:dyDescent="0.2">
      <c r="C483" s="208">
        <v>44068</v>
      </c>
      <c r="D483" s="19">
        <v>0.4375</v>
      </c>
      <c r="E483" s="3">
        <v>5</v>
      </c>
      <c r="F483" s="24">
        <v>7.34</v>
      </c>
      <c r="G483" s="3"/>
      <c r="H483" s="7">
        <v>21.6</v>
      </c>
      <c r="I483" s="7">
        <v>21.6</v>
      </c>
      <c r="J483" s="7"/>
      <c r="L483" s="3"/>
      <c r="M483" s="3"/>
      <c r="N483" s="3"/>
      <c r="O483" s="3"/>
      <c r="P483" s="3"/>
      <c r="Q483" s="3"/>
      <c r="R483" s="3"/>
      <c r="S483" s="3"/>
    </row>
    <row r="484" spans="3:19" ht="15.75" customHeight="1" x14ac:dyDescent="0.2">
      <c r="C484" s="208">
        <v>44068</v>
      </c>
      <c r="D484" s="19">
        <v>0.4375</v>
      </c>
      <c r="E484" s="3">
        <v>6</v>
      </c>
      <c r="F484" s="24">
        <v>7.33</v>
      </c>
      <c r="G484" s="3"/>
      <c r="H484" s="7">
        <v>21.5</v>
      </c>
      <c r="I484" s="7">
        <v>21.5</v>
      </c>
      <c r="J484" s="7"/>
      <c r="L484" s="3"/>
      <c r="M484" s="3"/>
      <c r="N484" s="3"/>
      <c r="O484" s="3"/>
      <c r="P484" s="3"/>
      <c r="Q484" s="3"/>
      <c r="R484" s="3"/>
      <c r="S484" s="3"/>
    </row>
    <row r="485" spans="3:19" ht="15.75" customHeight="1" x14ac:dyDescent="0.2">
      <c r="C485" s="208">
        <v>44068</v>
      </c>
      <c r="D485" s="19">
        <v>0.4375</v>
      </c>
      <c r="E485" s="3">
        <v>7</v>
      </c>
      <c r="F485" s="24">
        <v>7.32</v>
      </c>
      <c r="G485" s="3"/>
      <c r="H485" s="7">
        <v>21.5</v>
      </c>
      <c r="I485" s="7">
        <v>21.5</v>
      </c>
      <c r="J485" s="7"/>
      <c r="L485" s="3"/>
      <c r="M485" s="3"/>
      <c r="N485" s="3"/>
      <c r="O485" s="3"/>
      <c r="P485" s="3"/>
      <c r="Q485" s="3"/>
      <c r="R485" s="3"/>
      <c r="S485" s="3"/>
    </row>
    <row r="486" spans="3:19" ht="15.75" customHeight="1" x14ac:dyDescent="0.2">
      <c r="C486" s="208">
        <v>44068</v>
      </c>
      <c r="D486" s="19">
        <v>0.4375</v>
      </c>
      <c r="E486" s="3">
        <v>8</v>
      </c>
      <c r="F486" s="24">
        <v>7.3</v>
      </c>
      <c r="G486" s="3"/>
      <c r="H486" s="7">
        <v>21.5</v>
      </c>
      <c r="I486" s="7">
        <v>21.5</v>
      </c>
      <c r="J486" s="7"/>
      <c r="L486" s="3"/>
      <c r="M486" s="3"/>
      <c r="N486" s="3"/>
      <c r="O486" s="3"/>
      <c r="P486" s="3"/>
      <c r="Q486" s="3"/>
      <c r="R486" s="3"/>
      <c r="S486" s="3"/>
    </row>
    <row r="487" spans="3:19" ht="15.75" customHeight="1" x14ac:dyDescent="0.2">
      <c r="C487" s="208">
        <v>44068</v>
      </c>
      <c r="D487" s="19">
        <v>0.4375</v>
      </c>
      <c r="E487" s="3">
        <v>9</v>
      </c>
      <c r="F487" s="24">
        <v>7.29</v>
      </c>
      <c r="G487" s="3"/>
      <c r="H487" s="7">
        <v>21.5</v>
      </c>
      <c r="I487" s="7">
        <v>21.5</v>
      </c>
      <c r="J487" s="7"/>
      <c r="K487" s="47"/>
      <c r="L487" s="3"/>
      <c r="M487" s="3"/>
      <c r="N487" s="3"/>
      <c r="O487" s="3"/>
      <c r="P487" s="3"/>
      <c r="Q487" s="3"/>
      <c r="R487" s="3"/>
      <c r="S487" s="3"/>
    </row>
    <row r="488" spans="3:19" ht="15.75" customHeight="1" x14ac:dyDescent="0.2">
      <c r="C488" s="208">
        <v>44068</v>
      </c>
      <c r="D488" s="19">
        <v>0.4375</v>
      </c>
      <c r="E488" s="3">
        <v>10</v>
      </c>
      <c r="F488" s="24">
        <v>7.32</v>
      </c>
      <c r="G488" s="3">
        <v>82.8</v>
      </c>
      <c r="H488" s="7">
        <v>21.4</v>
      </c>
      <c r="I488" s="7">
        <v>21.4</v>
      </c>
      <c r="J488" s="7"/>
      <c r="L488" s="3"/>
      <c r="M488" s="3"/>
      <c r="N488" s="3"/>
      <c r="O488" s="3"/>
      <c r="P488" s="3"/>
      <c r="Q488" s="3"/>
      <c r="R488" s="3"/>
      <c r="S488" s="3"/>
    </row>
    <row r="489" spans="3:19" ht="15.75" customHeight="1" x14ac:dyDescent="0.2">
      <c r="C489" s="208">
        <v>44068</v>
      </c>
      <c r="D489" s="19">
        <v>0.4375</v>
      </c>
      <c r="E489" s="3">
        <v>11</v>
      </c>
      <c r="F489" s="24">
        <v>8.2899999999999991</v>
      </c>
      <c r="G489" s="3">
        <v>87.4</v>
      </c>
      <c r="H489" s="7">
        <v>17.8</v>
      </c>
      <c r="I489" s="51">
        <f>AVERAGE(I478:I488)</f>
        <v>21.563636363636363</v>
      </c>
      <c r="J489" s="51"/>
      <c r="L489" s="3"/>
      <c r="M489" s="3"/>
      <c r="N489" s="3"/>
      <c r="O489" s="3"/>
      <c r="P489" s="3"/>
      <c r="Q489" s="3"/>
      <c r="R489" s="3"/>
      <c r="S489" s="3"/>
    </row>
    <row r="490" spans="3:19" ht="15.75" customHeight="1" x14ac:dyDescent="0.2">
      <c r="C490" s="208">
        <v>44068</v>
      </c>
      <c r="D490" s="19">
        <v>0.4375</v>
      </c>
      <c r="E490" s="3">
        <v>12</v>
      </c>
      <c r="F490" s="24">
        <v>8.89</v>
      </c>
      <c r="G490" s="3"/>
      <c r="H490" s="7">
        <v>15.4</v>
      </c>
      <c r="I490" s="3"/>
      <c r="L490" s="3"/>
      <c r="M490" s="3"/>
      <c r="N490" s="3"/>
      <c r="O490" s="3"/>
      <c r="P490" s="3"/>
      <c r="Q490" s="3"/>
      <c r="R490" s="3"/>
      <c r="S490" s="3"/>
    </row>
    <row r="491" spans="3:19" ht="15.75" customHeight="1" x14ac:dyDescent="0.2">
      <c r="C491" s="208">
        <v>44068</v>
      </c>
      <c r="D491" s="19">
        <v>0.4375</v>
      </c>
      <c r="E491" s="3">
        <v>13</v>
      </c>
      <c r="F491" s="24">
        <v>8.7799999999999994</v>
      </c>
      <c r="G491" s="3"/>
      <c r="H491" s="7">
        <v>13.3</v>
      </c>
      <c r="I491" s="7"/>
      <c r="L491" s="3"/>
      <c r="M491" s="3"/>
      <c r="N491" s="3"/>
      <c r="O491" s="3"/>
      <c r="P491" s="3"/>
      <c r="Q491" s="3"/>
      <c r="R491" s="3"/>
      <c r="S491" s="3"/>
    </row>
    <row r="492" spans="3:19" ht="15.75" customHeight="1" x14ac:dyDescent="0.2">
      <c r="C492" s="208">
        <v>44068</v>
      </c>
      <c r="D492" s="19">
        <v>0.4375</v>
      </c>
      <c r="E492" s="3">
        <v>14</v>
      </c>
      <c r="F492" s="24">
        <v>8.69</v>
      </c>
      <c r="G492" s="3"/>
      <c r="H492" s="7">
        <v>12</v>
      </c>
      <c r="I492" s="7"/>
      <c r="L492" s="3"/>
      <c r="M492" s="3"/>
      <c r="N492" s="3"/>
      <c r="O492" s="3"/>
      <c r="P492" s="3"/>
      <c r="Q492" s="3"/>
      <c r="R492" s="3"/>
      <c r="S492" s="3"/>
    </row>
    <row r="493" spans="3:19" ht="15.75" customHeight="1" x14ac:dyDescent="0.2">
      <c r="C493" s="208">
        <v>44068</v>
      </c>
      <c r="D493" s="19">
        <v>0.4375</v>
      </c>
      <c r="E493" s="3">
        <v>16</v>
      </c>
      <c r="F493" s="24">
        <v>8.64</v>
      </c>
      <c r="G493" s="3"/>
      <c r="H493" s="7">
        <v>9.6</v>
      </c>
      <c r="I493" s="7"/>
      <c r="L493" s="3"/>
      <c r="M493" s="3"/>
      <c r="N493" s="3"/>
      <c r="O493" s="3"/>
      <c r="P493" s="3"/>
      <c r="Q493" s="3"/>
      <c r="R493" s="3"/>
      <c r="S493" s="3"/>
    </row>
    <row r="494" spans="3:19" ht="15.75" customHeight="1" x14ac:dyDescent="0.2">
      <c r="C494" s="208">
        <v>44068</v>
      </c>
      <c r="D494" s="19">
        <v>0.4375</v>
      </c>
      <c r="E494" s="3">
        <v>18</v>
      </c>
      <c r="F494" s="24">
        <v>8.74</v>
      </c>
      <c r="G494" s="3"/>
      <c r="H494" s="7">
        <v>8.6</v>
      </c>
      <c r="I494" s="7"/>
      <c r="L494" s="3"/>
      <c r="M494" s="3"/>
      <c r="N494" s="3"/>
      <c r="O494" s="3"/>
      <c r="P494" s="3"/>
      <c r="Q494" s="3"/>
      <c r="R494" s="3"/>
      <c r="S494" s="3"/>
    </row>
    <row r="495" spans="3:19" ht="15.75" customHeight="1" x14ac:dyDescent="0.2">
      <c r="C495" s="208">
        <v>44068</v>
      </c>
      <c r="D495" s="19">
        <v>0.4375</v>
      </c>
      <c r="E495" s="3">
        <v>20</v>
      </c>
      <c r="F495" s="24">
        <v>8.82</v>
      </c>
      <c r="G495" s="3"/>
      <c r="H495" s="7">
        <v>8</v>
      </c>
      <c r="I495" s="7"/>
      <c r="L495" s="3"/>
      <c r="M495" s="3"/>
      <c r="N495" s="3"/>
      <c r="O495" s="3"/>
      <c r="P495" s="3"/>
      <c r="Q495" s="3"/>
      <c r="R495" s="3"/>
      <c r="S495" s="3"/>
    </row>
    <row r="496" spans="3:19" ht="15.75" customHeight="1" x14ac:dyDescent="0.2">
      <c r="C496" s="208">
        <v>44068</v>
      </c>
      <c r="D496" s="19">
        <v>0.4375</v>
      </c>
      <c r="E496" s="3">
        <v>22</v>
      </c>
      <c r="F496" s="24">
        <v>8.82</v>
      </c>
      <c r="G496" s="3"/>
      <c r="H496" s="7">
        <v>7.6</v>
      </c>
      <c r="I496" s="7"/>
      <c r="L496" s="3"/>
      <c r="M496" s="3"/>
      <c r="N496" s="3"/>
      <c r="O496" s="3"/>
      <c r="P496" s="3"/>
      <c r="Q496" s="3"/>
      <c r="R496" s="3"/>
      <c r="S496" s="3"/>
    </row>
    <row r="497" spans="3:19" ht="15.75" customHeight="1" x14ac:dyDescent="0.2">
      <c r="C497" s="208">
        <v>44068</v>
      </c>
      <c r="D497" s="19">
        <v>0.4375</v>
      </c>
      <c r="E497" s="3">
        <v>24</v>
      </c>
      <c r="F497" s="24">
        <v>8.7200000000000006</v>
      </c>
      <c r="G497" s="3"/>
      <c r="H497" s="7">
        <v>7.3</v>
      </c>
      <c r="I497" s="7"/>
      <c r="L497" s="3"/>
      <c r="M497" s="3"/>
      <c r="N497" s="3"/>
      <c r="O497" s="3"/>
      <c r="P497" s="3"/>
      <c r="Q497" s="3"/>
      <c r="R497" s="3"/>
      <c r="S497" s="3"/>
    </row>
    <row r="498" spans="3:19" ht="15.75" customHeight="1" x14ac:dyDescent="0.2">
      <c r="C498" s="208">
        <v>44068</v>
      </c>
      <c r="D498" s="19">
        <v>0.4375</v>
      </c>
      <c r="E498" s="3">
        <v>26</v>
      </c>
      <c r="F498" s="24">
        <v>8.66</v>
      </c>
      <c r="G498" s="3"/>
      <c r="H498" s="7">
        <v>7</v>
      </c>
      <c r="I498" s="7"/>
      <c r="L498" s="3"/>
      <c r="M498" s="3"/>
      <c r="N498" s="3"/>
      <c r="O498" s="3"/>
      <c r="P498" s="3"/>
      <c r="Q498" s="3"/>
      <c r="R498" s="3"/>
      <c r="S498" s="3"/>
    </row>
    <row r="499" spans="3:19" ht="15.75" customHeight="1" x14ac:dyDescent="0.2">
      <c r="C499" s="208">
        <v>44068</v>
      </c>
      <c r="D499" s="19">
        <v>0.4375</v>
      </c>
      <c r="E499" s="3">
        <v>28</v>
      </c>
      <c r="F499" s="24">
        <v>8.7100000000000009</v>
      </c>
      <c r="G499" s="3"/>
      <c r="H499" s="7">
        <v>6.8</v>
      </c>
      <c r="I499" s="7"/>
      <c r="L499" s="3"/>
      <c r="M499" s="3"/>
      <c r="N499" s="3"/>
      <c r="O499" s="3"/>
      <c r="P499" s="3"/>
      <c r="Q499" s="3"/>
      <c r="R499" s="3"/>
      <c r="S499" s="3"/>
    </row>
    <row r="500" spans="3:19" ht="15.75" customHeight="1" x14ac:dyDescent="0.2">
      <c r="C500" s="208">
        <v>44068</v>
      </c>
      <c r="D500" s="19">
        <v>0.4375</v>
      </c>
      <c r="E500" s="3">
        <v>30</v>
      </c>
      <c r="F500" s="24">
        <v>8.7100000000000009</v>
      </c>
      <c r="G500" s="3"/>
      <c r="H500" s="7">
        <v>6.6</v>
      </c>
      <c r="I500" s="7"/>
      <c r="L500" s="3"/>
      <c r="M500" s="3"/>
      <c r="N500" s="3"/>
      <c r="O500" s="3"/>
      <c r="P500" s="3"/>
      <c r="Q500" s="3"/>
      <c r="R500" s="3"/>
      <c r="S500" s="3"/>
    </row>
    <row r="501" spans="3:19" ht="15.75" customHeight="1" x14ac:dyDescent="0.2">
      <c r="C501" s="208">
        <v>44068</v>
      </c>
      <c r="D501" s="19">
        <v>0.4375</v>
      </c>
      <c r="E501" s="3">
        <v>32</v>
      </c>
      <c r="F501" s="24">
        <v>8.64</v>
      </c>
      <c r="G501" s="3"/>
      <c r="H501" s="7">
        <v>6.5</v>
      </c>
      <c r="I501" s="7"/>
      <c r="L501" s="3"/>
      <c r="M501" s="3"/>
      <c r="N501" s="3"/>
      <c r="O501" s="3"/>
      <c r="P501" s="3"/>
      <c r="Q501" s="3"/>
      <c r="R501" s="3"/>
      <c r="S501" s="3"/>
    </row>
    <row r="502" spans="3:19" ht="15.75" customHeight="1" x14ac:dyDescent="0.2">
      <c r="C502" s="208">
        <v>44068</v>
      </c>
      <c r="D502" s="19">
        <v>0.4375</v>
      </c>
      <c r="E502" s="3">
        <v>34</v>
      </c>
      <c r="F502" s="24">
        <v>8.58</v>
      </c>
      <c r="G502" s="3"/>
      <c r="H502" s="7">
        <v>6.5</v>
      </c>
      <c r="I502" s="7"/>
      <c r="L502" s="3"/>
      <c r="M502" s="3"/>
      <c r="N502" s="3"/>
      <c r="O502" s="3"/>
      <c r="P502" s="3"/>
      <c r="Q502" s="3"/>
      <c r="R502" s="3"/>
      <c r="S502" s="3"/>
    </row>
    <row r="503" spans="3:19" ht="15.75" customHeight="1" x14ac:dyDescent="0.2">
      <c r="C503" s="208">
        <v>44068</v>
      </c>
      <c r="D503" s="19">
        <v>0.4375</v>
      </c>
      <c r="E503" s="3">
        <v>36</v>
      </c>
      <c r="F503" s="24">
        <v>8.5299999999999994</v>
      </c>
      <c r="G503" s="3"/>
      <c r="H503" s="7">
        <v>6.4</v>
      </c>
      <c r="I503" s="7"/>
      <c r="L503" s="3"/>
      <c r="M503" s="3"/>
      <c r="N503" s="3"/>
      <c r="O503" s="3"/>
      <c r="P503" s="3"/>
      <c r="Q503" s="3"/>
      <c r="R503" s="3"/>
      <c r="S503" s="3"/>
    </row>
    <row r="504" spans="3:19" ht="15.75" customHeight="1" x14ac:dyDescent="0.2">
      <c r="C504" s="208">
        <v>44068</v>
      </c>
      <c r="D504" s="19">
        <v>0.4375</v>
      </c>
      <c r="E504" s="3">
        <v>38</v>
      </c>
      <c r="F504" s="24">
        <v>8.49</v>
      </c>
      <c r="G504" s="3"/>
      <c r="H504" s="7">
        <v>6.4</v>
      </c>
      <c r="I504" s="7"/>
      <c r="L504" s="3"/>
      <c r="M504" s="3"/>
      <c r="N504" s="3"/>
      <c r="O504" s="3"/>
      <c r="P504" s="3"/>
      <c r="Q504" s="3"/>
      <c r="R504" s="3"/>
      <c r="S504" s="3"/>
    </row>
    <row r="505" spans="3:19" ht="15.75" customHeight="1" x14ac:dyDescent="0.2">
      <c r="C505" s="208">
        <v>44068</v>
      </c>
      <c r="D505" s="19">
        <v>0.4375</v>
      </c>
      <c r="E505" s="3">
        <v>40</v>
      </c>
      <c r="F505" s="24">
        <v>8.4499999999999993</v>
      </c>
      <c r="G505" s="3"/>
      <c r="H505" s="7">
        <v>6.3</v>
      </c>
      <c r="I505" s="7"/>
      <c r="L505" s="3"/>
      <c r="M505" s="3"/>
      <c r="N505" s="3"/>
      <c r="O505" s="3"/>
      <c r="P505" s="3"/>
      <c r="Q505" s="3"/>
      <c r="R505" s="3"/>
      <c r="S505" s="3"/>
    </row>
    <row r="506" spans="3:19" ht="15.75" customHeight="1" x14ac:dyDescent="0.2">
      <c r="C506" s="208">
        <v>44068</v>
      </c>
      <c r="D506" s="19">
        <v>0.4375</v>
      </c>
      <c r="E506" s="3">
        <v>42</v>
      </c>
      <c r="F506" s="24">
        <v>8.42</v>
      </c>
      <c r="G506" s="3"/>
      <c r="H506" s="7">
        <v>6.2</v>
      </c>
      <c r="I506" s="7"/>
      <c r="L506" s="3"/>
      <c r="M506" s="3"/>
      <c r="N506" s="3"/>
      <c r="O506" s="3"/>
      <c r="P506" s="3"/>
      <c r="Q506" s="3"/>
      <c r="R506" s="3"/>
      <c r="S506" s="3"/>
    </row>
    <row r="507" spans="3:19" ht="15.75" customHeight="1" x14ac:dyDescent="0.2">
      <c r="C507" s="208">
        <v>44068</v>
      </c>
      <c r="D507" s="19">
        <v>0.4375</v>
      </c>
      <c r="E507" s="3">
        <v>44</v>
      </c>
      <c r="F507" s="24">
        <v>8.35</v>
      </c>
      <c r="G507" s="3"/>
      <c r="H507" s="7">
        <v>6.2</v>
      </c>
      <c r="I507" s="7"/>
      <c r="L507" s="3"/>
      <c r="M507" s="3"/>
      <c r="N507" s="3"/>
      <c r="O507" s="3"/>
      <c r="P507" s="3"/>
      <c r="Q507" s="3"/>
      <c r="R507" s="3"/>
      <c r="S507" s="3"/>
    </row>
    <row r="508" spans="3:19" ht="15.75" customHeight="1" x14ac:dyDescent="0.2">
      <c r="C508" s="208">
        <v>44068</v>
      </c>
      <c r="D508" s="19">
        <v>0.4375</v>
      </c>
      <c r="E508" s="3">
        <v>46</v>
      </c>
      <c r="F508" s="24">
        <v>8.15</v>
      </c>
      <c r="G508" s="3">
        <v>65.599999999999994</v>
      </c>
      <c r="H508" s="7">
        <v>6.2</v>
      </c>
      <c r="I508" s="7"/>
      <c r="L508" s="3"/>
      <c r="M508" s="3"/>
      <c r="N508" s="3"/>
      <c r="O508" s="3"/>
      <c r="P508" s="3"/>
      <c r="Q508" s="3"/>
      <c r="R508" s="3"/>
      <c r="S508" s="3"/>
    </row>
    <row r="509" spans="3:19" ht="15.75" customHeight="1" x14ac:dyDescent="0.2">
      <c r="C509" s="208"/>
      <c r="D509" s="19"/>
      <c r="E509" s="3"/>
      <c r="F509" s="24"/>
      <c r="G509" s="3"/>
      <c r="H509" s="7"/>
      <c r="I509" s="7"/>
      <c r="L509" s="3"/>
      <c r="M509" s="3"/>
      <c r="N509" s="3"/>
      <c r="O509" s="3"/>
      <c r="P509" s="3"/>
      <c r="Q509" s="3"/>
      <c r="R509" s="3"/>
      <c r="S509" s="3"/>
    </row>
    <row r="510" spans="3:19" ht="15.75" customHeight="1" x14ac:dyDescent="0.2">
      <c r="C510" s="208">
        <v>44102</v>
      </c>
      <c r="D510" s="19"/>
      <c r="E510" s="3"/>
      <c r="F510" s="24"/>
      <c r="G510" s="3"/>
      <c r="H510" s="7"/>
      <c r="I510" s="7"/>
      <c r="L510" s="3"/>
      <c r="M510" s="3"/>
      <c r="N510" s="3"/>
      <c r="O510" s="3"/>
      <c r="P510" s="3"/>
      <c r="Q510" s="3"/>
      <c r="R510" s="3"/>
      <c r="S510" s="3"/>
    </row>
    <row r="511" spans="3:19" ht="15.75" customHeight="1" x14ac:dyDescent="0.2">
      <c r="C511" s="208">
        <v>44102</v>
      </c>
      <c r="D511" s="19">
        <v>0.45833333333333331</v>
      </c>
      <c r="E511" s="3">
        <v>0.1</v>
      </c>
      <c r="F511" s="24">
        <v>8.07</v>
      </c>
      <c r="G511" s="3">
        <v>83</v>
      </c>
      <c r="H511" s="7">
        <v>16.8</v>
      </c>
      <c r="I511" s="7">
        <v>16.8</v>
      </c>
      <c r="J511" s="7"/>
      <c r="L511" s="3"/>
      <c r="M511" s="3"/>
      <c r="N511" s="3"/>
      <c r="O511" s="3"/>
      <c r="P511" s="3"/>
      <c r="Q511" s="3"/>
      <c r="R511" s="3"/>
      <c r="S511" s="3"/>
    </row>
    <row r="512" spans="3:19" ht="15.75" customHeight="1" x14ac:dyDescent="0.2">
      <c r="C512" s="208">
        <v>44102</v>
      </c>
      <c r="D512" s="19">
        <v>0.45833333333333331</v>
      </c>
      <c r="E512" s="3">
        <v>1</v>
      </c>
      <c r="F512" s="24">
        <v>7.99</v>
      </c>
      <c r="G512" s="3"/>
      <c r="H512" s="7">
        <v>16.899999999999999</v>
      </c>
      <c r="I512" s="7">
        <v>16.899999999999999</v>
      </c>
      <c r="J512" s="7"/>
      <c r="L512" s="3"/>
      <c r="M512" s="3"/>
      <c r="N512" s="3"/>
      <c r="O512" s="3"/>
      <c r="P512" s="3"/>
      <c r="Q512" s="3"/>
      <c r="R512" s="3"/>
      <c r="S512" s="3"/>
    </row>
    <row r="513" spans="3:19" ht="15.75" customHeight="1" x14ac:dyDescent="0.2">
      <c r="C513" s="208">
        <v>44102</v>
      </c>
      <c r="D513" s="19">
        <v>0.45833333333333331</v>
      </c>
      <c r="E513" s="3">
        <v>2</v>
      </c>
      <c r="F513" s="24">
        <v>7.96</v>
      </c>
      <c r="G513" s="3"/>
      <c r="H513" s="7">
        <v>16.899999999999999</v>
      </c>
      <c r="I513" s="7">
        <v>16.899999999999999</v>
      </c>
      <c r="J513" s="7"/>
      <c r="L513" s="3"/>
      <c r="M513" s="3"/>
      <c r="N513" s="3"/>
      <c r="O513" s="3"/>
      <c r="P513" s="3"/>
      <c r="Q513" s="3"/>
      <c r="R513" s="3"/>
      <c r="S513" s="3"/>
    </row>
    <row r="514" spans="3:19" ht="15.75" customHeight="1" x14ac:dyDescent="0.2">
      <c r="C514" s="208">
        <v>44102</v>
      </c>
      <c r="D514" s="19">
        <v>0.45833333333333331</v>
      </c>
      <c r="E514" s="3">
        <v>3</v>
      </c>
      <c r="F514" s="24">
        <v>7.93</v>
      </c>
      <c r="G514" s="3"/>
      <c r="H514" s="7">
        <v>16.899999999999999</v>
      </c>
      <c r="I514" s="7">
        <v>16.899999999999999</v>
      </c>
      <c r="J514" s="7"/>
      <c r="L514" s="3"/>
      <c r="M514" s="3"/>
      <c r="N514" s="3"/>
      <c r="O514" s="3"/>
      <c r="P514" s="3"/>
      <c r="Q514" s="3"/>
      <c r="R514" s="3"/>
      <c r="S514" s="3"/>
    </row>
    <row r="515" spans="3:19" ht="15.75" customHeight="1" x14ac:dyDescent="0.2">
      <c r="C515" s="208">
        <v>44102</v>
      </c>
      <c r="D515" s="19">
        <v>0.45833333333333331</v>
      </c>
      <c r="E515" s="3">
        <v>4</v>
      </c>
      <c r="F515" s="24">
        <v>7.91</v>
      </c>
      <c r="G515" s="3"/>
      <c r="H515" s="7">
        <v>16.899999999999999</v>
      </c>
      <c r="I515" s="7">
        <v>16.899999999999999</v>
      </c>
      <c r="J515" s="7"/>
      <c r="L515" s="3"/>
      <c r="M515" s="3"/>
      <c r="N515" s="3"/>
      <c r="O515" s="3"/>
      <c r="P515" s="3"/>
      <c r="Q515" s="3"/>
      <c r="R515" s="3"/>
      <c r="S515" s="3"/>
    </row>
    <row r="516" spans="3:19" ht="15.75" customHeight="1" x14ac:dyDescent="0.2">
      <c r="C516" s="208">
        <v>44102</v>
      </c>
      <c r="D516" s="19">
        <v>0.45833333333333331</v>
      </c>
      <c r="E516" s="3">
        <v>5</v>
      </c>
      <c r="F516" s="24">
        <v>7.92</v>
      </c>
      <c r="G516" s="3"/>
      <c r="H516" s="7">
        <v>16.8</v>
      </c>
      <c r="I516" s="7">
        <v>16.8</v>
      </c>
      <c r="J516" s="7"/>
      <c r="L516" s="3"/>
      <c r="M516" s="3"/>
      <c r="N516" s="3"/>
      <c r="O516" s="3"/>
      <c r="P516" s="3"/>
      <c r="Q516" s="3"/>
      <c r="R516" s="3"/>
      <c r="S516" s="3"/>
    </row>
    <row r="517" spans="3:19" ht="15.75" customHeight="1" x14ac:dyDescent="0.2">
      <c r="C517" s="208">
        <v>44102</v>
      </c>
      <c r="D517" s="19">
        <v>0.45833333333333331</v>
      </c>
      <c r="E517" s="3">
        <v>6</v>
      </c>
      <c r="F517" s="24">
        <v>7.9</v>
      </c>
      <c r="G517" s="3"/>
      <c r="H517" s="7">
        <v>16.8</v>
      </c>
      <c r="I517" s="7">
        <v>16.8</v>
      </c>
      <c r="J517" s="7"/>
      <c r="L517" s="3"/>
      <c r="M517" s="3"/>
      <c r="N517" s="3"/>
      <c r="O517" s="3"/>
      <c r="P517" s="3"/>
      <c r="Q517" s="3"/>
      <c r="R517" s="3"/>
      <c r="S517" s="3"/>
    </row>
    <row r="518" spans="3:19" ht="15.75" customHeight="1" x14ac:dyDescent="0.2">
      <c r="C518" s="208">
        <v>44102</v>
      </c>
      <c r="D518" s="19">
        <v>0.45833333333333331</v>
      </c>
      <c r="E518" s="3">
        <v>7</v>
      </c>
      <c r="F518" s="24">
        <v>7.89</v>
      </c>
      <c r="G518" s="3"/>
      <c r="H518" s="7">
        <v>16.8</v>
      </c>
      <c r="I518" s="7">
        <v>16.8</v>
      </c>
      <c r="J518" s="7"/>
      <c r="L518" s="3"/>
      <c r="M518" s="3"/>
      <c r="N518" s="3"/>
      <c r="O518" s="3"/>
      <c r="P518" s="3"/>
      <c r="Q518" s="3"/>
      <c r="R518" s="3"/>
      <c r="S518" s="3"/>
    </row>
    <row r="519" spans="3:19" ht="15.75" customHeight="1" x14ac:dyDescent="0.2">
      <c r="C519" s="208">
        <v>44102</v>
      </c>
      <c r="D519" s="19">
        <v>0.45833333333333331</v>
      </c>
      <c r="E519" s="3">
        <v>8</v>
      </c>
      <c r="F519" s="24">
        <v>7.88</v>
      </c>
      <c r="G519" s="3"/>
      <c r="H519" s="7">
        <v>16.8</v>
      </c>
      <c r="I519" s="7">
        <v>16.8</v>
      </c>
      <c r="J519" s="7"/>
      <c r="L519" s="3"/>
      <c r="M519" s="3"/>
      <c r="N519" s="3"/>
      <c r="O519" s="3"/>
      <c r="P519" s="3"/>
      <c r="Q519" s="3"/>
      <c r="R519" s="3"/>
      <c r="S519" s="3"/>
    </row>
    <row r="520" spans="3:19" ht="15.75" customHeight="1" x14ac:dyDescent="0.2">
      <c r="C520" s="208">
        <v>44102</v>
      </c>
      <c r="D520" s="19">
        <v>0.45833333333333331</v>
      </c>
      <c r="E520" s="3">
        <v>9</v>
      </c>
      <c r="F520" s="24">
        <v>7.87</v>
      </c>
      <c r="G520" s="3"/>
      <c r="H520" s="7">
        <v>16.8</v>
      </c>
      <c r="I520" s="7">
        <v>16.8</v>
      </c>
      <c r="J520" s="7"/>
      <c r="L520" s="3"/>
      <c r="M520" s="3"/>
      <c r="N520" s="3"/>
      <c r="O520" s="3"/>
      <c r="P520" s="3"/>
      <c r="Q520" s="3"/>
      <c r="R520" s="3"/>
      <c r="S520" s="3"/>
    </row>
    <row r="521" spans="3:19" ht="15.75" customHeight="1" x14ac:dyDescent="0.2">
      <c r="C521" s="208">
        <v>44102</v>
      </c>
      <c r="D521" s="19">
        <v>0.45833333333333331</v>
      </c>
      <c r="E521" s="3">
        <v>10</v>
      </c>
      <c r="F521" s="24">
        <v>7.86</v>
      </c>
      <c r="G521" s="3"/>
      <c r="H521" s="7">
        <v>16.8</v>
      </c>
      <c r="I521" s="7">
        <v>16.8</v>
      </c>
      <c r="J521" s="7"/>
      <c r="L521" s="3"/>
      <c r="M521" s="3"/>
      <c r="N521" s="3"/>
      <c r="O521" s="3"/>
      <c r="P521" s="3"/>
      <c r="Q521" s="3"/>
      <c r="R521" s="3"/>
      <c r="S521" s="3"/>
    </row>
    <row r="522" spans="3:19" ht="15.75" customHeight="1" x14ac:dyDescent="0.2">
      <c r="C522" s="208">
        <v>44102</v>
      </c>
      <c r="D522" s="19">
        <v>0.45833333333333331</v>
      </c>
      <c r="E522" s="3">
        <v>11</v>
      </c>
      <c r="F522" s="24">
        <v>7.84</v>
      </c>
      <c r="G522" s="3"/>
      <c r="H522" s="7">
        <v>16.8</v>
      </c>
      <c r="I522" s="7">
        <v>16.8</v>
      </c>
      <c r="J522" s="7"/>
      <c r="L522" s="3"/>
      <c r="M522" s="3"/>
      <c r="N522" s="3"/>
      <c r="O522" s="3"/>
      <c r="P522" s="3"/>
      <c r="Q522" s="3"/>
      <c r="R522" s="3"/>
      <c r="S522" s="3"/>
    </row>
    <row r="523" spans="3:19" ht="15.75" customHeight="1" x14ac:dyDescent="0.2">
      <c r="C523" s="208">
        <v>44102</v>
      </c>
      <c r="D523" s="19">
        <v>0.45833333333333331</v>
      </c>
      <c r="E523" s="3">
        <v>12</v>
      </c>
      <c r="F523" s="24">
        <v>7.82</v>
      </c>
      <c r="G523" s="3"/>
      <c r="H523" s="7">
        <v>16.8</v>
      </c>
      <c r="I523" s="7">
        <v>16.8</v>
      </c>
      <c r="J523" s="7"/>
      <c r="L523" s="3"/>
      <c r="M523" s="3"/>
      <c r="N523" s="3"/>
      <c r="O523" s="3"/>
      <c r="P523" s="3"/>
      <c r="Q523" s="3"/>
      <c r="R523" s="3"/>
      <c r="S523" s="3"/>
    </row>
    <row r="524" spans="3:19" ht="15.75" customHeight="1" x14ac:dyDescent="0.2">
      <c r="C524" s="208">
        <v>44102</v>
      </c>
      <c r="D524" s="19">
        <v>0.45833333333333331</v>
      </c>
      <c r="E524" s="3">
        <v>13</v>
      </c>
      <c r="F524" s="24">
        <v>7.81</v>
      </c>
      <c r="G524" s="54"/>
      <c r="H524" s="7">
        <v>16.8</v>
      </c>
      <c r="I524" s="7">
        <v>16.8</v>
      </c>
      <c r="J524" s="17"/>
      <c r="L524" s="3"/>
      <c r="M524" s="3"/>
      <c r="N524" s="3"/>
      <c r="O524" s="3"/>
      <c r="P524" s="3"/>
      <c r="Q524" s="3"/>
      <c r="R524" s="3"/>
      <c r="S524" s="3"/>
    </row>
    <row r="525" spans="3:19" ht="15.75" customHeight="1" x14ac:dyDescent="0.2">
      <c r="C525" s="208">
        <v>44102</v>
      </c>
      <c r="D525" s="19">
        <v>0.45833333333333331</v>
      </c>
      <c r="E525" s="3">
        <v>14</v>
      </c>
      <c r="F525" s="24">
        <v>8.1199999999999992</v>
      </c>
      <c r="G525" s="3"/>
      <c r="H525" s="7">
        <v>11.2</v>
      </c>
      <c r="I525" s="51">
        <f>AVERAGE(I511:I524)</f>
        <v>16.828571428571433</v>
      </c>
      <c r="J525" s="51"/>
      <c r="L525" s="3"/>
      <c r="M525" s="3"/>
      <c r="N525" s="3"/>
      <c r="O525" s="3"/>
      <c r="P525" s="3"/>
      <c r="Q525" s="3"/>
      <c r="R525" s="3"/>
      <c r="S525" s="3"/>
    </row>
    <row r="526" spans="3:19" ht="15.75" customHeight="1" x14ac:dyDescent="0.2">
      <c r="C526" s="208">
        <v>44102</v>
      </c>
      <c r="D526" s="19">
        <v>0.45833333333333331</v>
      </c>
      <c r="E526" s="3">
        <v>15</v>
      </c>
      <c r="F526" s="24">
        <v>8.2899999999999991</v>
      </c>
      <c r="G526" s="3"/>
      <c r="H526" s="7">
        <v>10.1</v>
      </c>
      <c r="I526" s="7"/>
      <c r="L526" s="3"/>
      <c r="M526" s="3"/>
      <c r="N526" s="3"/>
      <c r="O526" s="3"/>
      <c r="P526" s="3"/>
      <c r="Q526" s="3"/>
      <c r="R526" s="3"/>
      <c r="S526" s="3"/>
    </row>
    <row r="527" spans="3:19" ht="15.75" customHeight="1" x14ac:dyDescent="0.2">
      <c r="C527" s="208">
        <v>44102</v>
      </c>
      <c r="D527" s="19">
        <v>0.45833333333333331</v>
      </c>
      <c r="E527" s="3">
        <v>16</v>
      </c>
      <c r="F527" s="24">
        <v>8.43</v>
      </c>
      <c r="G527" s="3"/>
      <c r="H527" s="7">
        <v>9</v>
      </c>
      <c r="I527" s="7"/>
      <c r="L527" s="3"/>
      <c r="M527" s="3"/>
      <c r="N527" s="3"/>
      <c r="O527" s="3"/>
      <c r="P527" s="3"/>
      <c r="Q527" s="3"/>
      <c r="R527" s="3"/>
      <c r="S527" s="3"/>
    </row>
    <row r="528" spans="3:19" ht="15.75" customHeight="1" x14ac:dyDescent="0.2">
      <c r="C528" s="208">
        <v>44102</v>
      </c>
      <c r="D528" s="19">
        <v>0.45833333333333331</v>
      </c>
      <c r="E528" s="3">
        <v>18</v>
      </c>
      <c r="F528" s="24">
        <v>8.52</v>
      </c>
      <c r="G528" s="3"/>
      <c r="H528" s="7">
        <v>8.1999999999999993</v>
      </c>
      <c r="I528" s="7"/>
      <c r="L528" s="3"/>
      <c r="M528" s="3"/>
      <c r="N528" s="3"/>
      <c r="O528" s="3"/>
      <c r="P528" s="3"/>
      <c r="Q528" s="3"/>
      <c r="R528" s="3"/>
      <c r="S528" s="3"/>
    </row>
    <row r="529" spans="3:19" ht="15.75" customHeight="1" x14ac:dyDescent="0.2">
      <c r="C529" s="208">
        <v>44102</v>
      </c>
      <c r="D529" s="19">
        <v>0.45833333333333331</v>
      </c>
      <c r="E529" s="3">
        <v>20</v>
      </c>
      <c r="F529" s="24">
        <v>8.5</v>
      </c>
      <c r="G529" s="3"/>
      <c r="H529" s="7">
        <v>7.6</v>
      </c>
      <c r="I529" s="7"/>
      <c r="L529" s="3"/>
      <c r="M529" s="3"/>
      <c r="N529" s="3"/>
      <c r="O529" s="3"/>
      <c r="P529" s="3"/>
      <c r="Q529" s="3"/>
      <c r="R529" s="3"/>
      <c r="S529" s="3"/>
    </row>
    <row r="530" spans="3:19" ht="15.75" customHeight="1" x14ac:dyDescent="0.2">
      <c r="C530" s="208">
        <v>44102</v>
      </c>
      <c r="D530" s="19">
        <v>0.45833333333333331</v>
      </c>
      <c r="E530" s="3">
        <v>22</v>
      </c>
      <c r="F530" s="24">
        <v>8.4</v>
      </c>
      <c r="G530" s="3"/>
      <c r="H530" s="7">
        <v>7.3</v>
      </c>
      <c r="I530" s="7"/>
      <c r="L530" s="3"/>
      <c r="M530" s="3"/>
      <c r="N530" s="3"/>
      <c r="O530" s="3"/>
      <c r="P530" s="3"/>
      <c r="Q530" s="3"/>
      <c r="R530" s="3"/>
      <c r="S530" s="3"/>
    </row>
    <row r="531" spans="3:19" ht="15.75" customHeight="1" x14ac:dyDescent="0.2">
      <c r="C531" s="208">
        <v>44102</v>
      </c>
      <c r="D531" s="19">
        <v>0.45833333333333331</v>
      </c>
      <c r="E531" s="3">
        <v>24</v>
      </c>
      <c r="F531" s="24">
        <v>8.34</v>
      </c>
      <c r="G531" s="3"/>
      <c r="H531" s="7">
        <v>7.2</v>
      </c>
      <c r="I531" s="7"/>
      <c r="L531" s="3"/>
      <c r="M531" s="3"/>
      <c r="N531" s="3"/>
      <c r="O531" s="3"/>
      <c r="P531" s="3"/>
      <c r="Q531" s="3"/>
      <c r="R531" s="3"/>
      <c r="S531" s="3"/>
    </row>
    <row r="532" spans="3:19" ht="15.75" customHeight="1" x14ac:dyDescent="0.2">
      <c r="C532" s="208">
        <v>44102</v>
      </c>
      <c r="D532" s="19">
        <v>0.45833333333333331</v>
      </c>
      <c r="E532" s="3">
        <v>26</v>
      </c>
      <c r="F532" s="24">
        <v>8.35</v>
      </c>
      <c r="G532" s="3"/>
      <c r="H532" s="7">
        <v>6.9</v>
      </c>
      <c r="I532" s="7"/>
      <c r="L532" s="3"/>
      <c r="M532" s="3"/>
      <c r="N532" s="3"/>
      <c r="O532" s="3"/>
      <c r="P532" s="3"/>
      <c r="Q532" s="3"/>
      <c r="R532" s="3"/>
      <c r="S532" s="3"/>
    </row>
    <row r="533" spans="3:19" ht="15.75" customHeight="1" x14ac:dyDescent="0.2">
      <c r="C533" s="208">
        <v>44102</v>
      </c>
      <c r="D533" s="19">
        <v>0.45833333333333331</v>
      </c>
      <c r="E533" s="3">
        <v>28</v>
      </c>
      <c r="F533" s="24">
        <v>8.36</v>
      </c>
      <c r="G533" s="3"/>
      <c r="H533" s="7">
        <v>6.9</v>
      </c>
      <c r="I533" s="7"/>
      <c r="L533" s="3"/>
      <c r="M533" s="3"/>
      <c r="N533" s="3"/>
      <c r="O533" s="3"/>
      <c r="P533" s="3"/>
      <c r="Q533" s="3"/>
      <c r="R533" s="3"/>
      <c r="S533" s="3"/>
    </row>
    <row r="534" spans="3:19" ht="15.75" customHeight="1" x14ac:dyDescent="0.2">
      <c r="C534" s="208">
        <v>44102</v>
      </c>
      <c r="D534" s="19">
        <v>0.45833333333333331</v>
      </c>
      <c r="E534" s="3">
        <v>30</v>
      </c>
      <c r="F534" s="24">
        <v>8.2799999999999994</v>
      </c>
      <c r="G534" s="3"/>
      <c r="H534" s="7">
        <v>6.8</v>
      </c>
      <c r="I534" s="7"/>
      <c r="L534" s="3"/>
      <c r="M534" s="3"/>
      <c r="N534" s="3"/>
      <c r="O534" s="3"/>
      <c r="P534" s="3"/>
      <c r="Q534" s="3"/>
      <c r="R534" s="3"/>
      <c r="S534" s="3"/>
    </row>
    <row r="535" spans="3:19" ht="15.75" customHeight="1" x14ac:dyDescent="0.2">
      <c r="C535" s="208">
        <v>44102</v>
      </c>
      <c r="D535" s="19">
        <v>0.45833333333333331</v>
      </c>
      <c r="E535" s="3">
        <v>32</v>
      </c>
      <c r="F535" s="24">
        <v>8.25</v>
      </c>
      <c r="G535" s="3"/>
      <c r="H535" s="7">
        <v>6.7</v>
      </c>
      <c r="I535" s="7"/>
      <c r="L535" s="3"/>
      <c r="M535" s="3"/>
      <c r="N535" s="3"/>
      <c r="O535" s="3"/>
      <c r="P535" s="3"/>
      <c r="Q535" s="3"/>
      <c r="R535" s="3"/>
      <c r="S535" s="3"/>
    </row>
    <row r="536" spans="3:19" ht="15.75" customHeight="1" x14ac:dyDescent="0.2">
      <c r="C536" s="208">
        <v>44102</v>
      </c>
      <c r="D536" s="19">
        <v>0.45833333333333331</v>
      </c>
      <c r="E536" s="3">
        <v>34</v>
      </c>
      <c r="F536" s="24">
        <v>8.25</v>
      </c>
      <c r="G536" s="3"/>
      <c r="H536" s="7">
        <v>6.6</v>
      </c>
      <c r="I536" s="7"/>
      <c r="L536" s="3"/>
      <c r="M536" s="3"/>
      <c r="N536" s="3"/>
      <c r="O536" s="3"/>
      <c r="P536" s="3"/>
      <c r="Q536" s="3"/>
      <c r="R536" s="3"/>
      <c r="S536" s="3"/>
    </row>
    <row r="537" spans="3:19" ht="15.75" customHeight="1" x14ac:dyDescent="0.2">
      <c r="C537" s="208">
        <v>44102</v>
      </c>
      <c r="D537" s="19">
        <v>0.45833333333333331</v>
      </c>
      <c r="E537" s="3">
        <v>36</v>
      </c>
      <c r="F537" s="24">
        <v>8.1999999999999993</v>
      </c>
      <c r="G537" s="3"/>
      <c r="H537" s="7">
        <v>6.6</v>
      </c>
      <c r="I537" s="7"/>
      <c r="L537" s="3"/>
      <c r="M537" s="3"/>
      <c r="N537" s="3"/>
      <c r="O537" s="3"/>
      <c r="P537" s="3"/>
      <c r="Q537" s="3"/>
      <c r="R537" s="3"/>
      <c r="S537" s="3"/>
    </row>
    <row r="538" spans="3:19" ht="15.75" customHeight="1" x14ac:dyDescent="0.2">
      <c r="C538" s="208">
        <v>44102</v>
      </c>
      <c r="D538" s="19">
        <v>0.45833333333333331</v>
      </c>
      <c r="E538" s="3">
        <v>38</v>
      </c>
      <c r="F538" s="24">
        <v>8.1</v>
      </c>
      <c r="G538" s="3"/>
      <c r="H538" s="7">
        <v>6.4</v>
      </c>
      <c r="I538" s="7"/>
      <c r="L538" s="3"/>
      <c r="M538" s="3"/>
      <c r="N538" s="3"/>
      <c r="O538" s="3"/>
      <c r="P538" s="3"/>
      <c r="Q538" s="3"/>
      <c r="R538" s="3"/>
      <c r="S538" s="3"/>
    </row>
    <row r="539" spans="3:19" ht="15.75" customHeight="1" x14ac:dyDescent="0.2">
      <c r="C539" s="208">
        <v>44102</v>
      </c>
      <c r="D539" s="19">
        <v>0.45833333333333331</v>
      </c>
      <c r="E539" s="3">
        <v>40</v>
      </c>
      <c r="F539" s="24">
        <v>8.0500000000000007</v>
      </c>
      <c r="G539" s="3"/>
      <c r="H539" s="7">
        <v>6.3</v>
      </c>
      <c r="I539" s="7"/>
      <c r="L539" s="3"/>
      <c r="M539" s="3"/>
      <c r="N539" s="3"/>
      <c r="O539" s="3"/>
      <c r="P539" s="3"/>
      <c r="Q539" s="3"/>
      <c r="R539" s="3"/>
      <c r="S539" s="3"/>
    </row>
    <row r="540" spans="3:19" ht="15.75" customHeight="1" x14ac:dyDescent="0.2">
      <c r="C540" s="208">
        <v>44102</v>
      </c>
      <c r="D540" s="19">
        <v>0.45833333333333331</v>
      </c>
      <c r="E540" s="3">
        <v>42</v>
      </c>
      <c r="F540" s="24">
        <v>8</v>
      </c>
      <c r="G540" s="3"/>
      <c r="H540" s="7">
        <v>6.3</v>
      </c>
      <c r="I540" s="7"/>
      <c r="L540" s="3"/>
      <c r="M540" s="3"/>
      <c r="N540" s="3"/>
      <c r="O540" s="3"/>
      <c r="P540" s="3"/>
      <c r="Q540" s="3"/>
      <c r="R540" s="3"/>
      <c r="S540" s="3"/>
    </row>
    <row r="541" spans="3:19" ht="15.75" customHeight="1" x14ac:dyDescent="0.2">
      <c r="C541" s="208">
        <v>44102</v>
      </c>
      <c r="D541" s="19">
        <v>0.45833333333333331</v>
      </c>
      <c r="E541" s="3">
        <v>44</v>
      </c>
      <c r="F541" s="24">
        <v>7.92</v>
      </c>
      <c r="G541" s="3">
        <v>63.8</v>
      </c>
      <c r="H541" s="7">
        <v>6.2</v>
      </c>
      <c r="I541" s="7"/>
      <c r="J541" s="47"/>
      <c r="K541" s="47"/>
      <c r="L541" s="3"/>
      <c r="M541" s="3"/>
      <c r="N541" s="3"/>
      <c r="O541" s="3"/>
      <c r="P541" s="3"/>
      <c r="Q541" s="3"/>
      <c r="R541" s="3"/>
      <c r="S541" s="3"/>
    </row>
    <row r="542" spans="3:19" ht="15.75" customHeight="1" x14ac:dyDescent="0.2">
      <c r="C542" s="208"/>
      <c r="D542" s="19"/>
      <c r="E542" s="3"/>
      <c r="F542" s="24"/>
      <c r="G542" s="3"/>
      <c r="H542" s="7"/>
      <c r="I542" s="7"/>
      <c r="J542" s="47"/>
      <c r="K542" s="47"/>
      <c r="L542" s="3"/>
      <c r="M542" s="3"/>
      <c r="N542" s="3"/>
      <c r="O542" s="3"/>
      <c r="P542" s="3"/>
      <c r="Q542" s="3"/>
      <c r="R542" s="3"/>
      <c r="S542" s="3"/>
    </row>
    <row r="543" spans="3:19" ht="15.75" customHeight="1" x14ac:dyDescent="0.2">
      <c r="C543" s="208">
        <v>43620</v>
      </c>
      <c r="D543" s="19">
        <v>0.45208333333333334</v>
      </c>
      <c r="E543" s="3"/>
      <c r="F543" s="24"/>
      <c r="G543" s="3"/>
      <c r="H543" s="7"/>
      <c r="I543" s="7"/>
      <c r="J543">
        <v>9</v>
      </c>
      <c r="K543">
        <v>10</v>
      </c>
      <c r="L543" s="3"/>
      <c r="M543" s="3"/>
      <c r="N543" s="3"/>
      <c r="O543" s="3"/>
      <c r="P543" s="3"/>
      <c r="Q543" s="3"/>
      <c r="R543" s="3"/>
      <c r="S543" s="3"/>
    </row>
    <row r="544" spans="3:19" ht="15.75" customHeight="1" x14ac:dyDescent="0.2">
      <c r="C544" s="208">
        <v>43620</v>
      </c>
      <c r="D544" s="19">
        <v>0.45208333333333334</v>
      </c>
      <c r="E544" s="3">
        <v>0.1</v>
      </c>
      <c r="F544" s="24">
        <v>7.95</v>
      </c>
      <c r="G544" s="3">
        <v>80.8</v>
      </c>
      <c r="H544" s="7">
        <v>16.100000000000001</v>
      </c>
      <c r="I544" s="7">
        <v>16.100000000000001</v>
      </c>
      <c r="J544" s="7"/>
      <c r="L544" s="3"/>
      <c r="M544" s="3"/>
      <c r="N544" s="3"/>
      <c r="O544" s="3"/>
      <c r="P544" s="3"/>
      <c r="Q544" s="3"/>
      <c r="R544" s="3"/>
      <c r="S544" s="3"/>
    </row>
    <row r="545" spans="3:19" ht="15.75" customHeight="1" x14ac:dyDescent="0.2">
      <c r="C545" s="208">
        <v>43620</v>
      </c>
      <c r="D545" s="19">
        <v>0.45208333333333334</v>
      </c>
      <c r="E545" s="3">
        <v>1</v>
      </c>
      <c r="F545" s="24">
        <v>8.02</v>
      </c>
      <c r="G545" s="3">
        <v>81.099999999999994</v>
      </c>
      <c r="H545" s="7">
        <v>15.9</v>
      </c>
      <c r="I545" s="7">
        <v>15.9</v>
      </c>
      <c r="J545" s="7"/>
      <c r="L545" s="3"/>
      <c r="M545" s="3"/>
      <c r="N545" s="3"/>
      <c r="O545" s="3"/>
      <c r="P545" s="3"/>
      <c r="Q545" s="3"/>
      <c r="R545" s="3"/>
      <c r="S545" s="3"/>
    </row>
    <row r="546" spans="3:19" ht="15.75" customHeight="1" x14ac:dyDescent="0.2">
      <c r="C546" s="208">
        <v>43620</v>
      </c>
      <c r="D546" s="19">
        <v>0.45208333333333334</v>
      </c>
      <c r="E546" s="3">
        <v>2</v>
      </c>
      <c r="F546" s="24">
        <v>8.07</v>
      </c>
      <c r="G546" s="3">
        <v>81</v>
      </c>
      <c r="H546" s="7">
        <v>15.6</v>
      </c>
      <c r="I546" s="7">
        <v>15.6</v>
      </c>
      <c r="J546" s="7"/>
      <c r="L546" s="3"/>
      <c r="M546" s="3"/>
      <c r="N546" s="3"/>
      <c r="O546" s="3"/>
      <c r="P546" s="3"/>
      <c r="Q546" s="3"/>
      <c r="R546" s="3"/>
      <c r="S546" s="3"/>
    </row>
    <row r="547" spans="3:19" ht="15.75" customHeight="1" x14ac:dyDescent="0.2">
      <c r="C547" s="208">
        <v>43620</v>
      </c>
      <c r="D547" s="19">
        <v>0.45208333333333334</v>
      </c>
      <c r="E547" s="3">
        <v>3</v>
      </c>
      <c r="F547" s="24">
        <v>8.11</v>
      </c>
      <c r="G547" s="3">
        <v>81</v>
      </c>
      <c r="H547" s="7">
        <v>15.3</v>
      </c>
      <c r="I547" s="7">
        <v>15.3</v>
      </c>
      <c r="J547" s="7"/>
      <c r="L547" s="3"/>
      <c r="M547" s="3"/>
      <c r="N547" s="3"/>
      <c r="O547" s="3"/>
      <c r="P547" s="3"/>
      <c r="Q547" s="3"/>
      <c r="R547" s="3"/>
      <c r="S547" s="3"/>
    </row>
    <row r="548" spans="3:19" ht="15.75" customHeight="1" x14ac:dyDescent="0.2">
      <c r="C548" s="208">
        <v>43620</v>
      </c>
      <c r="D548" s="19">
        <v>0.45208333333333334</v>
      </c>
      <c r="E548" s="3">
        <v>4</v>
      </c>
      <c r="F548" s="24">
        <v>8.17</v>
      </c>
      <c r="G548" s="3">
        <v>81</v>
      </c>
      <c r="H548" s="7">
        <v>15</v>
      </c>
      <c r="I548" s="7">
        <v>15</v>
      </c>
      <c r="J548" s="7"/>
      <c r="L548" s="3"/>
      <c r="M548" s="3"/>
      <c r="N548" s="3"/>
      <c r="O548" s="3"/>
      <c r="P548" s="3"/>
      <c r="Q548" s="3"/>
      <c r="R548" s="3"/>
      <c r="S548" s="3"/>
    </row>
    <row r="549" spans="3:19" ht="15.75" customHeight="1" x14ac:dyDescent="0.2">
      <c r="C549" s="208">
        <v>43620</v>
      </c>
      <c r="D549" s="19">
        <v>0.45208333333333334</v>
      </c>
      <c r="E549" s="3">
        <v>5</v>
      </c>
      <c r="F549" s="24">
        <v>8.1999999999999993</v>
      </c>
      <c r="G549" s="3">
        <v>81.099999999999994</v>
      </c>
      <c r="H549" s="7">
        <v>14.9</v>
      </c>
      <c r="I549" s="7">
        <v>14.9</v>
      </c>
      <c r="J549" s="7"/>
      <c r="L549" s="3"/>
      <c r="M549" s="3"/>
      <c r="N549" s="3"/>
      <c r="O549" s="3"/>
      <c r="P549" s="3"/>
      <c r="Q549" s="3"/>
      <c r="R549" s="3"/>
      <c r="S549" s="3"/>
    </row>
    <row r="550" spans="3:19" ht="15.75" customHeight="1" x14ac:dyDescent="0.2">
      <c r="C550" s="208">
        <v>43620</v>
      </c>
      <c r="D550" s="19">
        <v>0.45208333333333334</v>
      </c>
      <c r="E550" s="3">
        <v>6</v>
      </c>
      <c r="F550" s="24">
        <v>8.2200000000000006</v>
      </c>
      <c r="G550" s="3">
        <v>81</v>
      </c>
      <c r="H550" s="7">
        <v>14.7</v>
      </c>
      <c r="I550" s="7">
        <v>14.7</v>
      </c>
      <c r="J550" s="7"/>
      <c r="L550" s="3"/>
      <c r="M550" s="3"/>
      <c r="N550" s="3"/>
      <c r="O550" s="3"/>
      <c r="P550" s="3"/>
      <c r="Q550" s="3"/>
      <c r="R550" s="3"/>
      <c r="S550" s="3"/>
    </row>
    <row r="551" spans="3:19" ht="15.75" customHeight="1" x14ac:dyDescent="0.2">
      <c r="C551" s="208">
        <v>43620</v>
      </c>
      <c r="D551" s="19">
        <v>0.45208333333333334</v>
      </c>
      <c r="E551" s="3">
        <v>7</v>
      </c>
      <c r="F551" s="24">
        <v>8.27</v>
      </c>
      <c r="G551" s="3">
        <v>81.099999999999994</v>
      </c>
      <c r="H551" s="7">
        <v>14.4</v>
      </c>
      <c r="I551" s="7">
        <v>14.4</v>
      </c>
      <c r="J551" s="7"/>
      <c r="L551" s="3"/>
      <c r="M551" s="3"/>
      <c r="N551" s="3"/>
      <c r="O551" s="3"/>
      <c r="P551" s="3"/>
      <c r="Q551" s="3"/>
      <c r="R551" s="3"/>
      <c r="S551" s="3"/>
    </row>
    <row r="552" spans="3:19" ht="15.75" customHeight="1" x14ac:dyDescent="0.2">
      <c r="C552" s="208">
        <v>43620</v>
      </c>
      <c r="D552" s="19">
        <v>0.45208333333333334</v>
      </c>
      <c r="E552" s="3">
        <v>8</v>
      </c>
      <c r="F552" s="24">
        <v>8.36</v>
      </c>
      <c r="G552" s="3">
        <v>80.900000000000006</v>
      </c>
      <c r="H552" s="7">
        <v>13.8</v>
      </c>
      <c r="I552" s="7">
        <v>13.8</v>
      </c>
      <c r="J552" s="7"/>
      <c r="L552" s="3"/>
      <c r="M552" s="3"/>
      <c r="N552" s="3"/>
      <c r="O552" s="3"/>
      <c r="P552" s="3"/>
      <c r="Q552" s="3"/>
      <c r="R552" s="3"/>
      <c r="S552" s="3"/>
    </row>
    <row r="553" spans="3:19" ht="15.75" customHeight="1" x14ac:dyDescent="0.2">
      <c r="C553" s="208">
        <v>43620</v>
      </c>
      <c r="D553" s="19">
        <v>0.45208333333333334</v>
      </c>
      <c r="E553" s="3">
        <v>9</v>
      </c>
      <c r="F553" s="24">
        <v>8.4499999999999993</v>
      </c>
      <c r="G553" s="3">
        <v>80.7</v>
      </c>
      <c r="H553" s="7">
        <v>13.3</v>
      </c>
      <c r="I553" s="7">
        <v>13.3</v>
      </c>
      <c r="J553" s="7"/>
      <c r="L553" s="3"/>
      <c r="M553" s="3"/>
      <c r="N553" s="3"/>
      <c r="O553" s="3"/>
      <c r="P553" s="3"/>
      <c r="Q553" s="3"/>
      <c r="R553" s="3"/>
      <c r="S553" s="3"/>
    </row>
    <row r="554" spans="3:19" ht="15.75" customHeight="1" x14ac:dyDescent="0.2">
      <c r="C554" s="208">
        <v>43620</v>
      </c>
      <c r="D554" s="19">
        <v>0.45208333333333334</v>
      </c>
      <c r="E554" s="3">
        <v>10</v>
      </c>
      <c r="F554" s="24">
        <v>8.5</v>
      </c>
      <c r="G554" s="3">
        <v>80.7</v>
      </c>
      <c r="H554" s="7">
        <v>13.1</v>
      </c>
      <c r="I554" s="7">
        <v>13.1</v>
      </c>
      <c r="J554" s="7"/>
      <c r="L554" s="3"/>
      <c r="M554" s="3"/>
      <c r="N554" s="3"/>
      <c r="O554" s="3"/>
      <c r="P554" s="3"/>
      <c r="Q554" s="3"/>
      <c r="R554" s="3"/>
      <c r="S554" s="3"/>
    </row>
    <row r="555" spans="3:19" ht="15.75" customHeight="1" x14ac:dyDescent="0.2">
      <c r="C555" s="208">
        <v>43620</v>
      </c>
      <c r="D555" s="19">
        <v>0.45208333333333334</v>
      </c>
      <c r="E555" s="3">
        <v>11</v>
      </c>
      <c r="F555" s="24">
        <v>8.5399999999999991</v>
      </c>
      <c r="G555" s="3">
        <v>80.599999999999994</v>
      </c>
      <c r="H555" s="7">
        <v>12.8</v>
      </c>
      <c r="I555" s="7">
        <v>12.8</v>
      </c>
      <c r="J555" s="7"/>
      <c r="L555" s="3"/>
      <c r="M555" s="3"/>
      <c r="N555" s="3"/>
      <c r="O555" s="3"/>
      <c r="P555" s="3"/>
      <c r="Q555" s="3"/>
      <c r="R555" s="3"/>
      <c r="S555" s="3"/>
    </row>
    <row r="556" spans="3:19" ht="15.75" customHeight="1" x14ac:dyDescent="0.2">
      <c r="C556" s="208">
        <v>43620</v>
      </c>
      <c r="D556" s="19">
        <v>0.45208333333333334</v>
      </c>
      <c r="E556" s="3">
        <v>12</v>
      </c>
      <c r="F556" s="24">
        <v>8.58</v>
      </c>
      <c r="G556" s="3">
        <v>80.599999999999994</v>
      </c>
      <c r="H556" s="7">
        <v>12.6</v>
      </c>
      <c r="I556" s="7">
        <v>12.6</v>
      </c>
      <c r="J556" s="7"/>
      <c r="L556" s="3"/>
      <c r="M556" s="3"/>
      <c r="N556" s="3"/>
      <c r="O556" s="3"/>
      <c r="P556" s="3"/>
      <c r="Q556" s="3"/>
      <c r="R556" s="3"/>
      <c r="S556" s="3"/>
    </row>
    <row r="557" spans="3:19" ht="15.75" customHeight="1" x14ac:dyDescent="0.2">
      <c r="C557" s="208">
        <v>43620</v>
      </c>
      <c r="D557" s="19">
        <v>0.45208333333333334</v>
      </c>
      <c r="E557" s="3">
        <v>13</v>
      </c>
      <c r="F557" s="24">
        <v>8.6</v>
      </c>
      <c r="G557" s="3">
        <v>80.5</v>
      </c>
      <c r="H557" s="7">
        <v>12.4</v>
      </c>
      <c r="I557" s="7">
        <v>12.4</v>
      </c>
      <c r="J557" s="7"/>
      <c r="L557" s="3"/>
      <c r="M557" s="3"/>
      <c r="N557" s="3"/>
      <c r="O557" s="3"/>
      <c r="P557" s="3"/>
      <c r="Q557" s="3"/>
      <c r="R557" s="3"/>
      <c r="S557" s="3"/>
    </row>
    <row r="558" spans="3:19" ht="15.75" customHeight="1" x14ac:dyDescent="0.2">
      <c r="C558" s="208">
        <v>43620</v>
      </c>
      <c r="D558" s="19">
        <v>0.45208333333333334</v>
      </c>
      <c r="E558" s="3">
        <v>14</v>
      </c>
      <c r="F558" s="24">
        <v>8.68</v>
      </c>
      <c r="G558" s="3">
        <v>80</v>
      </c>
      <c r="H558" s="7">
        <v>11.8</v>
      </c>
      <c r="I558" s="7">
        <v>11.8</v>
      </c>
      <c r="J558" s="7"/>
      <c r="L558" s="3"/>
      <c r="M558" s="3"/>
      <c r="N558" s="3"/>
      <c r="O558" s="3"/>
      <c r="P558" s="3"/>
      <c r="Q558" s="3"/>
      <c r="R558" s="3"/>
      <c r="S558" s="3"/>
    </row>
    <row r="559" spans="3:19" ht="15.75" customHeight="1" x14ac:dyDescent="0.2">
      <c r="C559" s="208">
        <v>43620</v>
      </c>
      <c r="D559" s="19">
        <v>0.45208333333333334</v>
      </c>
      <c r="E559" s="3">
        <v>15</v>
      </c>
      <c r="F559" s="24">
        <v>8.7899999999999991</v>
      </c>
      <c r="G559" s="3">
        <v>80.099999999999994</v>
      </c>
      <c r="H559" s="7">
        <v>11.3</v>
      </c>
      <c r="I559" s="7">
        <v>11.3</v>
      </c>
      <c r="J559" s="7"/>
      <c r="L559" s="3"/>
      <c r="M559" s="3"/>
      <c r="N559" s="3"/>
      <c r="O559" s="3"/>
      <c r="P559" s="3"/>
      <c r="Q559" s="3"/>
      <c r="R559" s="3"/>
      <c r="S559" s="3"/>
    </row>
    <row r="560" spans="3:19" ht="15.75" customHeight="1" x14ac:dyDescent="0.2">
      <c r="C560" s="208">
        <v>43620</v>
      </c>
      <c r="D560" s="19">
        <v>0.45208333333333334</v>
      </c>
      <c r="E560" s="3">
        <v>16</v>
      </c>
      <c r="F560" s="24">
        <v>8.86</v>
      </c>
      <c r="G560" s="3">
        <v>79.7</v>
      </c>
      <c r="H560" s="17">
        <v>10.5</v>
      </c>
      <c r="I560" s="51">
        <f>AVERAGE(I544:I559)</f>
        <v>13.937500000000004</v>
      </c>
      <c r="J560" s="51"/>
      <c r="L560" s="3"/>
      <c r="M560" s="3"/>
      <c r="N560" s="3"/>
      <c r="O560" s="3"/>
      <c r="P560" s="3"/>
      <c r="Q560" s="3"/>
      <c r="R560" s="3"/>
      <c r="S560" s="3"/>
    </row>
    <row r="561" spans="3:19" ht="15.75" customHeight="1" x14ac:dyDescent="0.2">
      <c r="C561" s="208">
        <v>43620</v>
      </c>
      <c r="D561" s="19">
        <v>0.45208333333333334</v>
      </c>
      <c r="E561" s="3">
        <v>17</v>
      </c>
      <c r="F561" s="24">
        <v>8.98</v>
      </c>
      <c r="G561" s="3">
        <v>78.7</v>
      </c>
      <c r="H561" s="7">
        <v>9.5</v>
      </c>
      <c r="I561" s="7"/>
      <c r="L561" s="3"/>
      <c r="M561" s="3"/>
      <c r="N561" s="3"/>
      <c r="O561" s="3"/>
      <c r="P561" s="3"/>
      <c r="Q561" s="3"/>
      <c r="R561" s="3"/>
      <c r="S561" s="3"/>
    </row>
    <row r="562" spans="3:19" ht="15.75" customHeight="1" x14ac:dyDescent="0.2">
      <c r="C562" s="208">
        <v>43620</v>
      </c>
      <c r="D562" s="19">
        <v>0.45208333333333334</v>
      </c>
      <c r="E562" s="3">
        <v>18</v>
      </c>
      <c r="F562" s="24">
        <v>9.08</v>
      </c>
      <c r="G562" s="3">
        <v>77.8</v>
      </c>
      <c r="H562" s="7">
        <v>8.6</v>
      </c>
      <c r="I562" s="7"/>
      <c r="L562" s="3"/>
      <c r="M562" s="3"/>
      <c r="N562" s="3"/>
      <c r="O562" s="3"/>
      <c r="P562" s="3"/>
      <c r="Q562" s="3"/>
      <c r="R562" s="3"/>
      <c r="S562" s="3"/>
    </row>
    <row r="563" spans="3:19" ht="15.75" customHeight="1" x14ac:dyDescent="0.2">
      <c r="C563" s="208">
        <v>43620</v>
      </c>
      <c r="D563" s="19">
        <v>0.45208333333333334</v>
      </c>
      <c r="E563" s="3">
        <v>19</v>
      </c>
      <c r="F563" s="24">
        <v>9.07</v>
      </c>
      <c r="G563" s="3">
        <v>77.3</v>
      </c>
      <c r="H563" s="7">
        <v>8.4</v>
      </c>
      <c r="I563" s="7"/>
      <c r="L563" s="3"/>
      <c r="M563" s="3"/>
      <c r="N563" s="3"/>
      <c r="O563" s="3"/>
      <c r="P563" s="3"/>
      <c r="Q563" s="3"/>
      <c r="R563" s="3"/>
      <c r="S563" s="3"/>
    </row>
    <row r="564" spans="3:19" ht="15.75" customHeight="1" x14ac:dyDescent="0.2">
      <c r="C564" s="208">
        <v>43620</v>
      </c>
      <c r="D564" s="19">
        <v>0.45208333333333334</v>
      </c>
      <c r="E564" s="3">
        <v>20</v>
      </c>
      <c r="F564" s="24">
        <v>9.08</v>
      </c>
      <c r="G564" s="3">
        <v>76.3</v>
      </c>
      <c r="H564" s="7">
        <v>7.8</v>
      </c>
      <c r="I564" s="7"/>
      <c r="L564" s="3"/>
      <c r="M564" s="3"/>
      <c r="N564" s="3"/>
      <c r="O564" s="3"/>
      <c r="P564" s="3"/>
      <c r="Q564" s="3"/>
      <c r="R564" s="3"/>
      <c r="S564" s="3"/>
    </row>
    <row r="565" spans="3:19" ht="15.75" customHeight="1" x14ac:dyDescent="0.2">
      <c r="C565" s="208">
        <v>43620</v>
      </c>
      <c r="D565" s="19">
        <v>0.45208333333333334</v>
      </c>
      <c r="E565" s="3">
        <v>22</v>
      </c>
      <c r="F565" s="24">
        <v>9</v>
      </c>
      <c r="G565" s="3">
        <v>73.7</v>
      </c>
      <c r="H565" s="7">
        <v>6.8</v>
      </c>
      <c r="I565" s="7"/>
      <c r="L565" s="3"/>
      <c r="M565" s="3"/>
      <c r="N565" s="3"/>
      <c r="O565" s="3"/>
      <c r="P565" s="3"/>
      <c r="Q565" s="3"/>
      <c r="R565" s="3"/>
      <c r="S565" s="3"/>
    </row>
    <row r="566" spans="3:19" ht="15.75" customHeight="1" x14ac:dyDescent="0.2">
      <c r="C566" s="208">
        <v>43620</v>
      </c>
      <c r="D566" s="19">
        <v>0.45208333333333334</v>
      </c>
      <c r="E566" s="3">
        <v>24</v>
      </c>
      <c r="F566" s="24">
        <v>8.93</v>
      </c>
      <c r="G566" s="3">
        <v>72.400000000000006</v>
      </c>
      <c r="H566" s="7">
        <v>6.5</v>
      </c>
      <c r="I566" s="7"/>
      <c r="L566" s="3"/>
      <c r="M566" s="3"/>
      <c r="N566" s="3"/>
      <c r="O566" s="3"/>
      <c r="P566" s="3"/>
      <c r="Q566" s="3"/>
      <c r="R566" s="3"/>
      <c r="S566" s="3"/>
    </row>
    <row r="567" spans="3:19" ht="15.75" customHeight="1" x14ac:dyDescent="0.2">
      <c r="C567" s="208">
        <v>43620</v>
      </c>
      <c r="D567" s="19">
        <v>0.45208333333333334</v>
      </c>
      <c r="E567" s="3">
        <v>26</v>
      </c>
      <c r="F567" s="24">
        <v>8.9</v>
      </c>
      <c r="G567" s="3">
        <v>72</v>
      </c>
      <c r="H567" s="7">
        <v>6.3</v>
      </c>
      <c r="I567" s="7"/>
      <c r="L567" s="3"/>
      <c r="M567" s="3"/>
      <c r="N567" s="3"/>
      <c r="O567" s="3"/>
      <c r="P567" s="3"/>
      <c r="Q567" s="3"/>
      <c r="R567" s="3"/>
      <c r="S567" s="3"/>
    </row>
    <row r="568" spans="3:19" ht="15.75" customHeight="1" x14ac:dyDescent="0.2">
      <c r="C568" s="208">
        <v>43620</v>
      </c>
      <c r="D568" s="19">
        <v>0.45208333333333334</v>
      </c>
      <c r="E568" s="3">
        <v>28</v>
      </c>
      <c r="F568" s="24">
        <v>8.86</v>
      </c>
      <c r="G568" s="3">
        <v>71.5</v>
      </c>
      <c r="H568" s="7">
        <v>6.2</v>
      </c>
      <c r="I568" s="7"/>
      <c r="L568" s="3"/>
      <c r="M568" s="3"/>
      <c r="N568" s="3"/>
      <c r="O568" s="3"/>
      <c r="P568" s="3"/>
      <c r="Q568" s="3"/>
      <c r="R568" s="3"/>
      <c r="S568" s="3"/>
    </row>
    <row r="569" spans="3:19" ht="15.75" customHeight="1" x14ac:dyDescent="0.2">
      <c r="C569" s="208">
        <v>43620</v>
      </c>
      <c r="D569" s="19">
        <v>0.45208333333333334</v>
      </c>
      <c r="E569" s="3">
        <v>30</v>
      </c>
      <c r="F569" s="24">
        <v>8.84</v>
      </c>
      <c r="G569" s="3">
        <v>71.2</v>
      </c>
      <c r="H569" s="7">
        <v>6.1</v>
      </c>
      <c r="I569" s="7"/>
      <c r="L569" s="3"/>
      <c r="M569" s="3"/>
      <c r="N569" s="3"/>
      <c r="O569" s="3"/>
      <c r="P569" s="3"/>
      <c r="Q569" s="3"/>
      <c r="R569" s="3"/>
      <c r="S569" s="3"/>
    </row>
    <row r="570" spans="3:19" ht="15.75" customHeight="1" x14ac:dyDescent="0.2">
      <c r="C570" s="208">
        <v>43620</v>
      </c>
      <c r="D570" s="19">
        <v>0.45208333333333334</v>
      </c>
      <c r="E570" s="3">
        <v>32</v>
      </c>
      <c r="F570" s="24">
        <v>8.82</v>
      </c>
      <c r="G570" s="190">
        <v>70.8</v>
      </c>
      <c r="H570" s="7">
        <v>6</v>
      </c>
      <c r="I570" s="7"/>
      <c r="L570" s="3"/>
      <c r="M570" s="3"/>
      <c r="N570" s="3"/>
      <c r="O570" s="3"/>
      <c r="P570" s="3"/>
      <c r="Q570" s="3"/>
      <c r="R570" s="3"/>
      <c r="S570" s="3"/>
    </row>
    <row r="571" spans="3:19" ht="15.75" customHeight="1" x14ac:dyDescent="0.2">
      <c r="C571" s="208">
        <v>43620</v>
      </c>
      <c r="D571" s="19">
        <v>0.45208333333333334</v>
      </c>
      <c r="E571" s="3">
        <v>34</v>
      </c>
      <c r="F571" s="24">
        <v>8.7200000000000006</v>
      </c>
      <c r="G571" s="3">
        <v>69.7</v>
      </c>
      <c r="H571" s="7">
        <v>5.8</v>
      </c>
      <c r="I571" s="7"/>
      <c r="L571" s="3"/>
      <c r="M571" s="3"/>
      <c r="N571" s="3"/>
      <c r="O571" s="3"/>
      <c r="P571" s="3"/>
      <c r="Q571" s="3"/>
      <c r="R571" s="3"/>
      <c r="S571" s="3"/>
    </row>
    <row r="572" spans="3:19" ht="15.75" customHeight="1" x14ac:dyDescent="0.2">
      <c r="C572" s="208">
        <v>43620</v>
      </c>
      <c r="D572" s="19">
        <v>0.45208333333333334</v>
      </c>
      <c r="E572" s="3">
        <v>36</v>
      </c>
      <c r="F572" s="24">
        <v>8.76</v>
      </c>
      <c r="G572" s="3">
        <v>69</v>
      </c>
      <c r="H572" s="7">
        <v>5.7</v>
      </c>
      <c r="I572" s="7"/>
      <c r="L572" s="3"/>
      <c r="M572" s="3"/>
      <c r="N572" s="3"/>
      <c r="O572" s="3"/>
      <c r="P572" s="3"/>
      <c r="Q572" s="3"/>
      <c r="R572" s="3"/>
      <c r="S572" s="3"/>
    </row>
    <row r="573" spans="3:19" ht="15.75" customHeight="1" x14ac:dyDescent="0.2">
      <c r="C573" s="208">
        <v>43620</v>
      </c>
      <c r="D573" s="19">
        <v>0.45208333333333334</v>
      </c>
      <c r="E573" s="3">
        <v>38</v>
      </c>
      <c r="F573" s="24">
        <v>7.6</v>
      </c>
      <c r="G573" s="3">
        <v>68</v>
      </c>
      <c r="H573" s="7">
        <v>5.7</v>
      </c>
      <c r="I573" s="7"/>
      <c r="L573" s="3"/>
      <c r="M573" s="3"/>
      <c r="N573" s="3"/>
      <c r="O573" s="3"/>
      <c r="P573" s="3"/>
      <c r="Q573" s="3"/>
      <c r="R573" s="3"/>
      <c r="S573" s="3"/>
    </row>
    <row r="574" spans="3:19" ht="15.75" customHeight="1" x14ac:dyDescent="0.2">
      <c r="C574" s="208"/>
      <c r="D574" s="19"/>
      <c r="E574" s="3"/>
      <c r="F574" s="24"/>
      <c r="G574" s="3"/>
      <c r="H574" s="7"/>
      <c r="I574" s="7"/>
      <c r="L574" s="3"/>
      <c r="M574" s="3"/>
      <c r="N574" s="3"/>
      <c r="O574" s="3"/>
      <c r="P574" s="3"/>
      <c r="Q574" s="3"/>
      <c r="R574" s="3"/>
      <c r="S574" s="3"/>
    </row>
    <row r="575" spans="3:19" ht="15.75" customHeight="1" x14ac:dyDescent="0.2">
      <c r="C575" s="208"/>
      <c r="D575" s="19"/>
      <c r="E575" s="3"/>
      <c r="F575" s="24"/>
      <c r="G575" s="3"/>
      <c r="H575" s="7"/>
      <c r="I575" s="7"/>
      <c r="L575" s="3"/>
      <c r="M575" s="3"/>
      <c r="N575" s="3"/>
      <c r="O575" s="3"/>
      <c r="P575" s="3"/>
      <c r="Q575" s="3"/>
      <c r="R575" s="3"/>
      <c r="S575" s="3"/>
    </row>
    <row r="576" spans="3:19" ht="15.75" customHeight="1" x14ac:dyDescent="0.2">
      <c r="C576" s="208">
        <v>43671</v>
      </c>
      <c r="D576" s="19">
        <v>0.4055555555555555</v>
      </c>
      <c r="E576" s="3"/>
      <c r="G576" s="3"/>
      <c r="H576" s="3"/>
      <c r="I576" s="3"/>
      <c r="J576">
        <v>11</v>
      </c>
      <c r="K576">
        <v>11.5</v>
      </c>
      <c r="L576" s="3"/>
      <c r="M576" s="3"/>
      <c r="N576" s="3"/>
      <c r="O576" s="3"/>
      <c r="P576" s="3"/>
      <c r="Q576" s="3"/>
      <c r="R576" s="3"/>
      <c r="S576" s="3"/>
    </row>
    <row r="577" spans="3:19" ht="15.75" customHeight="1" x14ac:dyDescent="0.2">
      <c r="C577" s="208">
        <v>43671</v>
      </c>
      <c r="D577" s="19">
        <v>0.41388888888888892</v>
      </c>
      <c r="E577" s="3">
        <v>0.1</v>
      </c>
      <c r="F577" s="24">
        <v>7.49</v>
      </c>
      <c r="G577" s="3">
        <v>82.9</v>
      </c>
      <c r="H577" s="7">
        <v>20.3</v>
      </c>
      <c r="I577" s="7">
        <v>20.3</v>
      </c>
      <c r="J577" s="7"/>
      <c r="L577" s="3"/>
      <c r="M577" s="3"/>
      <c r="N577" s="3"/>
      <c r="O577" s="3"/>
      <c r="P577" s="3"/>
      <c r="Q577" s="3"/>
      <c r="R577" s="3"/>
      <c r="S577" s="3"/>
    </row>
    <row r="578" spans="3:19" ht="15.75" customHeight="1" x14ac:dyDescent="0.2">
      <c r="C578" s="208">
        <v>43671</v>
      </c>
      <c r="D578" s="19">
        <v>0.41388888888888892</v>
      </c>
      <c r="E578" s="3">
        <v>1</v>
      </c>
      <c r="F578" s="24">
        <v>7.48</v>
      </c>
      <c r="G578" s="3">
        <v>82.6</v>
      </c>
      <c r="H578" s="7">
        <v>20.2</v>
      </c>
      <c r="I578" s="7">
        <v>20.2</v>
      </c>
      <c r="J578" s="7"/>
      <c r="L578" s="3"/>
      <c r="M578" s="3"/>
      <c r="N578" s="3"/>
      <c r="O578" s="3"/>
      <c r="P578" s="3"/>
      <c r="Q578" s="3"/>
      <c r="R578" s="3"/>
      <c r="S578" s="3"/>
    </row>
    <row r="579" spans="3:19" ht="15.75" customHeight="1" x14ac:dyDescent="0.2">
      <c r="C579" s="208">
        <v>43671</v>
      </c>
      <c r="D579" s="19">
        <v>0.41388888888888892</v>
      </c>
      <c r="E579" s="3">
        <v>2</v>
      </c>
      <c r="F579" s="24">
        <v>7.47</v>
      </c>
      <c r="G579" s="3">
        <v>82.4</v>
      </c>
      <c r="H579" s="7">
        <v>20.2</v>
      </c>
      <c r="I579" s="7">
        <v>20.2</v>
      </c>
      <c r="J579" s="7"/>
      <c r="K579" s="47"/>
      <c r="L579" s="3"/>
      <c r="M579" s="3"/>
      <c r="N579" s="3"/>
      <c r="O579" s="3"/>
      <c r="P579" s="3"/>
      <c r="Q579" s="3"/>
      <c r="R579" s="3"/>
      <c r="S579" s="3"/>
    </row>
    <row r="580" spans="3:19" ht="15.75" customHeight="1" x14ac:dyDescent="0.2">
      <c r="C580" s="208">
        <v>43671</v>
      </c>
      <c r="D580" s="19">
        <v>0.41388888888888892</v>
      </c>
      <c r="E580" s="3">
        <v>3</v>
      </c>
      <c r="F580" s="24">
        <v>7.47</v>
      </c>
      <c r="G580" s="3">
        <v>82.3</v>
      </c>
      <c r="H580" s="7">
        <v>20.100000000000001</v>
      </c>
      <c r="I580" s="7">
        <v>20.100000000000001</v>
      </c>
      <c r="J580" s="7"/>
      <c r="L580" s="3"/>
      <c r="M580" s="3"/>
      <c r="N580" s="3"/>
      <c r="O580" s="3"/>
      <c r="P580" s="3"/>
      <c r="Q580" s="3"/>
      <c r="R580" s="3"/>
      <c r="S580" s="3"/>
    </row>
    <row r="581" spans="3:19" ht="15.75" customHeight="1" x14ac:dyDescent="0.2">
      <c r="C581" s="208">
        <v>43671</v>
      </c>
      <c r="D581" s="19">
        <v>0.41388888888888892</v>
      </c>
      <c r="E581" s="3">
        <v>4</v>
      </c>
      <c r="F581" s="24">
        <v>7.45</v>
      </c>
      <c r="G581" s="3">
        <v>82.1</v>
      </c>
      <c r="H581" s="7">
        <v>20.100000000000001</v>
      </c>
      <c r="I581" s="7">
        <v>20.100000000000001</v>
      </c>
      <c r="J581" s="7"/>
      <c r="L581" s="3"/>
      <c r="M581" s="3"/>
      <c r="N581" s="3"/>
      <c r="O581" s="3"/>
      <c r="P581" s="3"/>
      <c r="Q581" s="3"/>
      <c r="R581" s="3"/>
      <c r="S581" s="3"/>
    </row>
    <row r="582" spans="3:19" ht="15.75" customHeight="1" x14ac:dyDescent="0.2">
      <c r="C582" s="208">
        <v>43671</v>
      </c>
      <c r="D582" s="19">
        <v>0.41388888888888892</v>
      </c>
      <c r="E582" s="3">
        <v>5</v>
      </c>
      <c r="F582" s="24">
        <v>7.45</v>
      </c>
      <c r="G582" s="3">
        <v>81.900000000000006</v>
      </c>
      <c r="H582" s="7">
        <v>20</v>
      </c>
      <c r="I582" s="7">
        <v>20</v>
      </c>
      <c r="J582" s="7"/>
      <c r="L582" s="3"/>
      <c r="M582" s="3"/>
      <c r="N582" s="3"/>
      <c r="O582" s="3"/>
      <c r="P582" s="3"/>
      <c r="Q582" s="3"/>
      <c r="R582" s="3"/>
      <c r="S582" s="3"/>
    </row>
    <row r="583" spans="3:19" ht="15.75" customHeight="1" x14ac:dyDescent="0.2">
      <c r="C583" s="208">
        <v>43671</v>
      </c>
      <c r="D583" s="19">
        <v>0.41388888888888892</v>
      </c>
      <c r="E583" s="3">
        <v>6</v>
      </c>
      <c r="F583" s="24">
        <v>7.44</v>
      </c>
      <c r="G583" s="3">
        <v>81.8</v>
      </c>
      <c r="H583" s="7">
        <v>20</v>
      </c>
      <c r="I583" s="7">
        <v>20</v>
      </c>
      <c r="J583" s="7"/>
      <c r="L583" s="3"/>
      <c r="M583" s="3"/>
      <c r="N583" s="3"/>
      <c r="O583" s="3"/>
      <c r="P583" s="3"/>
      <c r="Q583" s="3"/>
      <c r="R583" s="3"/>
      <c r="S583" s="3"/>
    </row>
    <row r="584" spans="3:19" ht="15.75" customHeight="1" x14ac:dyDescent="0.2">
      <c r="C584" s="208">
        <v>43671</v>
      </c>
      <c r="D584" s="19">
        <v>0.41388888888888892</v>
      </c>
      <c r="E584" s="3">
        <v>7</v>
      </c>
      <c r="F584" s="24">
        <v>7.44</v>
      </c>
      <c r="G584" s="3">
        <v>81.7</v>
      </c>
      <c r="H584" s="7">
        <v>20</v>
      </c>
      <c r="I584" s="7">
        <v>20</v>
      </c>
      <c r="J584" s="7"/>
      <c r="L584" s="3"/>
      <c r="M584" s="3"/>
      <c r="N584" s="3"/>
      <c r="O584" s="3"/>
      <c r="P584" s="3"/>
      <c r="Q584" s="3"/>
      <c r="R584" s="3"/>
      <c r="S584" s="3"/>
    </row>
    <row r="585" spans="3:19" ht="15.75" customHeight="1" x14ac:dyDescent="0.2">
      <c r="C585" s="208">
        <v>43671</v>
      </c>
      <c r="D585" s="19">
        <v>0.41388888888888892</v>
      </c>
      <c r="E585" s="3">
        <v>8</v>
      </c>
      <c r="F585" s="24">
        <v>7.46</v>
      </c>
      <c r="G585" s="3">
        <v>81.8</v>
      </c>
      <c r="H585" s="7">
        <v>19.899999999999999</v>
      </c>
      <c r="I585" s="7">
        <v>19.899999999999999</v>
      </c>
      <c r="J585" s="7"/>
      <c r="L585" s="3"/>
      <c r="M585" s="3"/>
      <c r="N585" s="3"/>
      <c r="O585" s="3"/>
      <c r="P585" s="3"/>
      <c r="Q585" s="3"/>
      <c r="R585" s="3"/>
      <c r="S585" s="3"/>
    </row>
    <row r="586" spans="3:19" ht="15.75" customHeight="1" x14ac:dyDescent="0.2">
      <c r="C586" s="208">
        <v>43671</v>
      </c>
      <c r="D586" s="19">
        <v>0.41388888888888892</v>
      </c>
      <c r="E586" s="3">
        <v>9</v>
      </c>
      <c r="F586" s="24">
        <v>7.49</v>
      </c>
      <c r="G586" s="3">
        <v>81.7</v>
      </c>
      <c r="H586" s="7">
        <v>19.600000000000001</v>
      </c>
      <c r="I586" s="7">
        <v>19.600000000000001</v>
      </c>
      <c r="J586" s="7"/>
      <c r="L586" s="3"/>
      <c r="M586" s="3"/>
      <c r="N586" s="3"/>
      <c r="O586" s="3"/>
      <c r="P586" s="3"/>
      <c r="Q586" s="3"/>
      <c r="R586" s="3"/>
      <c r="S586" s="3"/>
    </row>
    <row r="587" spans="3:19" ht="15.75" customHeight="1" x14ac:dyDescent="0.2">
      <c r="C587" s="208">
        <v>43671</v>
      </c>
      <c r="D587" s="19">
        <v>0.41388888888888892</v>
      </c>
      <c r="E587" s="3">
        <v>10</v>
      </c>
      <c r="F587" s="24">
        <v>7.9</v>
      </c>
      <c r="G587" s="3">
        <v>83.8</v>
      </c>
      <c r="H587" s="7">
        <v>18</v>
      </c>
      <c r="I587" s="51">
        <f>AVERAGE(I577:I586)</f>
        <v>20.04</v>
      </c>
      <c r="J587" s="51"/>
      <c r="L587" s="3"/>
      <c r="M587" s="3"/>
      <c r="N587" s="3"/>
      <c r="O587" s="3"/>
      <c r="P587" s="3"/>
      <c r="Q587" s="3"/>
      <c r="R587" s="3"/>
      <c r="S587" s="3"/>
    </row>
    <row r="588" spans="3:19" ht="15.75" customHeight="1" x14ac:dyDescent="0.2">
      <c r="C588" s="208">
        <v>43671</v>
      </c>
      <c r="D588" s="19">
        <v>0.41388888888888892</v>
      </c>
      <c r="E588" s="3">
        <v>11</v>
      </c>
      <c r="F588" s="24">
        <v>8.6300000000000008</v>
      </c>
      <c r="G588" s="3">
        <v>86.9</v>
      </c>
      <c r="H588" s="7">
        <v>15.4</v>
      </c>
      <c r="I588" s="3"/>
      <c r="L588" s="3"/>
      <c r="M588" s="3"/>
      <c r="N588" s="3"/>
      <c r="O588" s="3"/>
      <c r="P588" s="3"/>
      <c r="Q588" s="3"/>
      <c r="R588" s="3"/>
      <c r="S588" s="3"/>
    </row>
    <row r="589" spans="3:19" ht="15.75" customHeight="1" x14ac:dyDescent="0.2">
      <c r="C589" s="208">
        <v>43671</v>
      </c>
      <c r="D589" s="19">
        <v>0.41388888888888892</v>
      </c>
      <c r="E589" s="3">
        <v>13</v>
      </c>
      <c r="F589" s="24">
        <v>9.4499999999999993</v>
      </c>
      <c r="G589" s="3">
        <v>85.6</v>
      </c>
      <c r="H589" s="7">
        <v>10.9</v>
      </c>
      <c r="I589" s="7"/>
      <c r="L589" s="3"/>
      <c r="M589" s="3"/>
      <c r="N589" s="3"/>
      <c r="O589" s="3"/>
      <c r="P589" s="3"/>
      <c r="Q589" s="3"/>
      <c r="R589" s="3"/>
      <c r="S589" s="3"/>
    </row>
    <row r="590" spans="3:19" ht="15.75" customHeight="1" x14ac:dyDescent="0.2">
      <c r="C590" s="208">
        <v>43671</v>
      </c>
      <c r="D590" s="19">
        <v>0.41388888888888892</v>
      </c>
      <c r="E590" s="3">
        <v>15</v>
      </c>
      <c r="F590" s="24">
        <v>9.75</v>
      </c>
      <c r="G590" s="3">
        <v>85.2</v>
      </c>
      <c r="H590" s="7">
        <v>9.5</v>
      </c>
      <c r="I590" s="7"/>
      <c r="L590" s="3"/>
      <c r="M590" s="3"/>
      <c r="N590" s="3"/>
      <c r="O590" s="3"/>
      <c r="P590" s="3"/>
      <c r="Q590" s="3"/>
      <c r="R590" s="3"/>
      <c r="S590" s="3"/>
    </row>
    <row r="591" spans="3:19" ht="15.75" customHeight="1" x14ac:dyDescent="0.2">
      <c r="C591" s="208">
        <v>43671</v>
      </c>
      <c r="D591" s="19">
        <v>0.41388888888888892</v>
      </c>
      <c r="E591" s="3">
        <v>17</v>
      </c>
      <c r="F591" s="24">
        <v>9.48</v>
      </c>
      <c r="G591" s="3">
        <v>79.5</v>
      </c>
      <c r="H591" s="7">
        <v>8</v>
      </c>
      <c r="I591" s="7"/>
      <c r="L591" s="3"/>
      <c r="M591" s="3"/>
      <c r="N591" s="3"/>
      <c r="O591" s="3"/>
      <c r="P591" s="3"/>
      <c r="Q591" s="3"/>
      <c r="R591" s="3"/>
      <c r="S591" s="3"/>
    </row>
    <row r="592" spans="3:19" ht="15.75" customHeight="1" x14ac:dyDescent="0.2">
      <c r="C592" s="208">
        <v>43671</v>
      </c>
      <c r="D592" s="19">
        <v>0.41388888888888892</v>
      </c>
      <c r="E592" s="3">
        <v>19</v>
      </c>
      <c r="F592" s="24">
        <v>9.23</v>
      </c>
      <c r="G592" s="3">
        <v>76.599999999999994</v>
      </c>
      <c r="H592" s="7">
        <v>7.5</v>
      </c>
      <c r="I592" s="7"/>
      <c r="L592" s="3"/>
      <c r="M592" s="3"/>
      <c r="N592" s="3"/>
      <c r="O592" s="3"/>
      <c r="P592" s="3"/>
      <c r="Q592" s="3"/>
      <c r="R592" s="3"/>
      <c r="S592" s="3"/>
    </row>
    <row r="593" spans="3:19" ht="15.75" customHeight="1" x14ac:dyDescent="0.2">
      <c r="C593" s="208">
        <v>43671</v>
      </c>
      <c r="D593" s="19">
        <v>0.41388888888888892</v>
      </c>
      <c r="E593" s="3">
        <v>21</v>
      </c>
      <c r="F593" s="24">
        <v>9.1199999999999992</v>
      </c>
      <c r="G593" s="3">
        <v>74.400000000000006</v>
      </c>
      <c r="H593" s="7">
        <v>6.9</v>
      </c>
      <c r="I593" s="7"/>
      <c r="L593" s="3"/>
      <c r="M593" s="3"/>
      <c r="N593" s="3"/>
      <c r="O593" s="3"/>
      <c r="P593" s="3"/>
      <c r="Q593" s="3"/>
      <c r="R593" s="3"/>
      <c r="S593" s="3"/>
    </row>
    <row r="594" spans="3:19" ht="15.75" customHeight="1" x14ac:dyDescent="0.2">
      <c r="C594" s="208">
        <v>43671</v>
      </c>
      <c r="D594" s="19">
        <v>0.41388888888888892</v>
      </c>
      <c r="E594" s="3">
        <v>23</v>
      </c>
      <c r="F594" s="24">
        <v>9.0299999999999994</v>
      </c>
      <c r="G594" s="3">
        <v>73.3</v>
      </c>
      <c r="H594" s="7">
        <v>6.5</v>
      </c>
      <c r="I594" s="7"/>
      <c r="L594" s="3"/>
      <c r="M594" s="3"/>
      <c r="N594" s="3"/>
      <c r="O594" s="3"/>
      <c r="P594" s="3"/>
      <c r="Q594" s="3"/>
      <c r="R594" s="3"/>
      <c r="S594" s="3"/>
    </row>
    <row r="595" spans="3:19" ht="15.75" customHeight="1" x14ac:dyDescent="0.2">
      <c r="C595" s="208">
        <v>43671</v>
      </c>
      <c r="D595" s="19">
        <v>0.41388888888888892</v>
      </c>
      <c r="E595" s="3">
        <v>25</v>
      </c>
      <c r="F595" s="24">
        <v>9.01</v>
      </c>
      <c r="G595" s="3">
        <v>72.900000000000006</v>
      </c>
      <c r="H595" s="7">
        <v>6.3</v>
      </c>
      <c r="I595" s="7"/>
      <c r="L595" s="3"/>
      <c r="M595" s="3"/>
      <c r="N595" s="3"/>
      <c r="O595" s="3"/>
      <c r="P595" s="3"/>
      <c r="Q595" s="3"/>
      <c r="R595" s="3"/>
      <c r="S595" s="3"/>
    </row>
    <row r="596" spans="3:19" ht="15.75" customHeight="1" x14ac:dyDescent="0.2">
      <c r="C596" s="208">
        <v>43671</v>
      </c>
      <c r="D596" s="19">
        <v>0.41388888888888892</v>
      </c>
      <c r="E596" s="3">
        <v>27</v>
      </c>
      <c r="F596" s="24">
        <v>9.0500000000000007</v>
      </c>
      <c r="G596" s="3">
        <v>73.099999999999994</v>
      </c>
      <c r="H596" s="7">
        <v>6.2</v>
      </c>
      <c r="I596" s="7"/>
      <c r="L596" s="3"/>
      <c r="M596" s="3"/>
      <c r="N596" s="3"/>
      <c r="O596" s="3"/>
      <c r="P596" s="3"/>
      <c r="Q596" s="3"/>
      <c r="R596" s="3"/>
      <c r="S596" s="3"/>
    </row>
    <row r="597" spans="3:19" ht="15.75" customHeight="1" x14ac:dyDescent="0.2">
      <c r="C597" s="208">
        <v>43671</v>
      </c>
      <c r="D597" s="19">
        <v>0.41388888888888892</v>
      </c>
      <c r="E597" s="3">
        <v>29</v>
      </c>
      <c r="F597" s="24">
        <v>8.99</v>
      </c>
      <c r="G597" s="3">
        <v>71.900000000000006</v>
      </c>
      <c r="H597" s="7">
        <v>5.9</v>
      </c>
      <c r="I597" s="7"/>
      <c r="L597" s="3"/>
      <c r="M597" s="3"/>
      <c r="N597" s="3"/>
      <c r="O597" s="3"/>
      <c r="P597" s="3"/>
      <c r="Q597" s="3"/>
      <c r="R597" s="3"/>
      <c r="S597" s="3"/>
    </row>
    <row r="598" spans="3:19" ht="15.75" customHeight="1" x14ac:dyDescent="0.2">
      <c r="C598" s="208">
        <v>43671</v>
      </c>
      <c r="D598" s="19">
        <v>0.41388888888888892</v>
      </c>
      <c r="E598" s="3">
        <v>31</v>
      </c>
      <c r="F598" s="24">
        <v>8.9</v>
      </c>
      <c r="G598" s="3">
        <v>71.099999999999994</v>
      </c>
      <c r="H598" s="7">
        <v>5.8</v>
      </c>
      <c r="I598" s="7"/>
      <c r="L598" s="3"/>
      <c r="M598" s="3"/>
      <c r="N598" s="3"/>
      <c r="O598" s="3"/>
      <c r="P598" s="3"/>
      <c r="Q598" s="3"/>
      <c r="R598" s="3"/>
      <c r="S598" s="3"/>
    </row>
    <row r="599" spans="3:19" ht="15.75" customHeight="1" x14ac:dyDescent="0.2">
      <c r="C599" s="208">
        <v>43671</v>
      </c>
      <c r="D599" s="19">
        <v>0.41388888888888892</v>
      </c>
      <c r="E599" s="3">
        <v>33</v>
      </c>
      <c r="F599" s="24">
        <v>8.81</v>
      </c>
      <c r="G599" s="3">
        <v>70.3</v>
      </c>
      <c r="H599" s="7">
        <v>5.8</v>
      </c>
      <c r="I599" s="7"/>
      <c r="L599" s="3"/>
      <c r="M599" s="3"/>
      <c r="N599" s="3"/>
      <c r="O599" s="3"/>
      <c r="P599" s="3"/>
      <c r="Q599" s="3"/>
      <c r="R599" s="3"/>
      <c r="S599" s="3"/>
    </row>
    <row r="600" spans="3:19" ht="15.75" customHeight="1" x14ac:dyDescent="0.2">
      <c r="C600" s="208">
        <v>43671</v>
      </c>
      <c r="D600" s="19">
        <v>0.41388888888888892</v>
      </c>
      <c r="E600" s="3">
        <v>35</v>
      </c>
      <c r="F600" s="24">
        <v>8.76</v>
      </c>
      <c r="G600" s="3">
        <v>69.599999999999994</v>
      </c>
      <c r="H600" s="7">
        <v>5.7</v>
      </c>
      <c r="I600" s="7"/>
      <c r="L600" s="3"/>
      <c r="M600" s="3"/>
      <c r="N600" s="3"/>
      <c r="O600" s="3"/>
      <c r="P600" s="3"/>
      <c r="Q600" s="3"/>
      <c r="R600" s="3"/>
      <c r="S600" s="3"/>
    </row>
    <row r="601" spans="3:19" ht="15.75" customHeight="1" x14ac:dyDescent="0.2">
      <c r="C601" s="208">
        <v>43671</v>
      </c>
      <c r="D601" s="19">
        <v>0.41388888888888892</v>
      </c>
      <c r="E601" s="3">
        <v>37</v>
      </c>
      <c r="F601" s="24">
        <v>8.6</v>
      </c>
      <c r="G601" s="3">
        <v>68.2</v>
      </c>
      <c r="H601" s="7">
        <v>5.6</v>
      </c>
      <c r="I601" s="7"/>
      <c r="L601" s="3"/>
      <c r="M601" s="3"/>
      <c r="N601" s="3"/>
      <c r="O601" s="3"/>
      <c r="P601" s="3"/>
      <c r="Q601" s="3"/>
      <c r="R601" s="3"/>
      <c r="S601" s="3"/>
    </row>
    <row r="602" spans="3:19" ht="15.75" customHeight="1" x14ac:dyDescent="0.2">
      <c r="C602" s="208">
        <v>43671</v>
      </c>
      <c r="D602" s="19">
        <v>0.41388888888888892</v>
      </c>
      <c r="E602" s="3">
        <v>39</v>
      </c>
      <c r="F602" s="24">
        <v>8.48</v>
      </c>
      <c r="G602" s="3">
        <v>67.3</v>
      </c>
      <c r="H602" s="7">
        <v>5.6</v>
      </c>
      <c r="I602" s="7"/>
      <c r="L602" s="3"/>
      <c r="M602" s="3"/>
      <c r="N602" s="3"/>
      <c r="O602" s="3"/>
      <c r="P602" s="3"/>
      <c r="Q602" s="3"/>
      <c r="R602" s="3"/>
      <c r="S602" s="3"/>
    </row>
    <row r="603" spans="3:19" ht="15.75" customHeight="1" x14ac:dyDescent="0.2">
      <c r="C603" s="208">
        <v>43671</v>
      </c>
      <c r="D603" s="19">
        <v>0.41388888888888892</v>
      </c>
      <c r="E603" s="3">
        <v>41</v>
      </c>
      <c r="F603" s="24">
        <v>8.36</v>
      </c>
      <c r="G603" s="3">
        <v>66.3</v>
      </c>
      <c r="H603" s="7">
        <v>5.6</v>
      </c>
      <c r="I603" s="7"/>
      <c r="L603" s="3"/>
      <c r="M603" s="3"/>
      <c r="N603" s="3"/>
      <c r="O603" s="3"/>
      <c r="P603" s="3"/>
      <c r="Q603" s="3"/>
      <c r="R603" s="3"/>
      <c r="S603" s="3"/>
    </row>
    <row r="604" spans="3:19" ht="15.75" customHeight="1" x14ac:dyDescent="0.2">
      <c r="C604" s="208">
        <v>43671</v>
      </c>
      <c r="D604" s="19">
        <v>0.41388888888888892</v>
      </c>
      <c r="E604" s="3">
        <v>43</v>
      </c>
      <c r="F604" s="24">
        <v>8.25</v>
      </c>
      <c r="G604" s="3">
        <v>65.099999999999994</v>
      </c>
      <c r="H604" s="7">
        <v>5.5</v>
      </c>
      <c r="I604" s="7"/>
      <c r="L604" s="3"/>
      <c r="M604" s="3"/>
      <c r="N604" s="3"/>
      <c r="O604" s="3"/>
      <c r="P604" s="3"/>
      <c r="Q604" s="3"/>
      <c r="R604" s="3"/>
      <c r="S604" s="3"/>
    </row>
    <row r="605" spans="3:19" ht="15.75" customHeight="1" x14ac:dyDescent="0.2">
      <c r="C605" s="208">
        <v>43671</v>
      </c>
      <c r="D605" s="19">
        <v>0.41388888888888892</v>
      </c>
      <c r="E605" s="3">
        <v>45</v>
      </c>
      <c r="F605" s="24">
        <v>7.8</v>
      </c>
      <c r="G605" s="3">
        <v>61.4</v>
      </c>
      <c r="H605" s="7">
        <v>5.6</v>
      </c>
      <c r="I605" s="7"/>
      <c r="L605" s="3"/>
      <c r="M605" s="3"/>
      <c r="N605" s="3"/>
      <c r="O605" s="3"/>
      <c r="P605" s="3"/>
      <c r="Q605" s="3"/>
      <c r="R605" s="3"/>
      <c r="S605" s="3"/>
    </row>
    <row r="606" spans="3:19" ht="15.75" customHeight="1" x14ac:dyDescent="0.2">
      <c r="C606" s="208"/>
      <c r="D606" s="19"/>
      <c r="E606" s="3"/>
      <c r="F606" s="24"/>
      <c r="G606" s="3"/>
      <c r="H606" s="7"/>
      <c r="I606" s="7"/>
      <c r="L606" s="3"/>
      <c r="M606" s="3"/>
      <c r="N606" s="3"/>
      <c r="O606" s="3"/>
      <c r="P606" s="3"/>
      <c r="Q606" s="3"/>
      <c r="R606" s="3"/>
      <c r="S606" s="3"/>
    </row>
    <row r="607" spans="3:19" ht="15.75" customHeight="1" x14ac:dyDescent="0.2">
      <c r="C607" s="208">
        <v>43705</v>
      </c>
      <c r="D607" s="19">
        <v>0.60347222222222219</v>
      </c>
      <c r="E607" s="3"/>
      <c r="F607" s="24"/>
      <c r="G607" s="3"/>
      <c r="H607" s="7"/>
      <c r="I607" s="7"/>
      <c r="J607">
        <v>9.5</v>
      </c>
      <c r="K607">
        <v>12</v>
      </c>
      <c r="L607" s="3"/>
      <c r="M607" s="3"/>
      <c r="N607" s="3"/>
      <c r="O607" s="3"/>
      <c r="P607" s="3"/>
      <c r="Q607" s="3"/>
      <c r="R607" s="3"/>
      <c r="S607" s="3"/>
    </row>
    <row r="608" spans="3:19" ht="15.75" customHeight="1" x14ac:dyDescent="0.2">
      <c r="C608" s="208">
        <v>43705</v>
      </c>
      <c r="D608" s="19">
        <v>0.60763888888888895</v>
      </c>
      <c r="E608" s="3">
        <v>0.1</v>
      </c>
      <c r="F608" s="24">
        <v>7.28</v>
      </c>
      <c r="G608" s="3">
        <v>83.6</v>
      </c>
      <c r="H608" s="7">
        <v>22.2</v>
      </c>
      <c r="I608" s="7">
        <v>22.2</v>
      </c>
      <c r="J608" s="7"/>
      <c r="L608" s="3"/>
      <c r="M608" s="3"/>
      <c r="N608" s="3"/>
      <c r="O608" s="3"/>
      <c r="P608" s="3"/>
      <c r="Q608" s="3"/>
      <c r="R608" s="3"/>
      <c r="S608" s="3"/>
    </row>
    <row r="609" spans="3:19" ht="15.75" customHeight="1" x14ac:dyDescent="0.2">
      <c r="C609" s="208">
        <v>43705</v>
      </c>
      <c r="D609" s="19">
        <v>0.60763888888888895</v>
      </c>
      <c r="E609" s="3">
        <v>1</v>
      </c>
      <c r="F609" s="24">
        <v>7.33</v>
      </c>
      <c r="G609" s="3">
        <v>83.6</v>
      </c>
      <c r="H609" s="7">
        <v>21.9</v>
      </c>
      <c r="I609" s="7">
        <v>21.9</v>
      </c>
      <c r="J609" s="7"/>
      <c r="L609" s="3"/>
      <c r="M609" s="3"/>
      <c r="N609" s="3"/>
      <c r="O609" s="3"/>
      <c r="P609" s="3"/>
      <c r="Q609" s="3"/>
      <c r="R609" s="3"/>
      <c r="S609" s="3"/>
    </row>
    <row r="610" spans="3:19" ht="15.75" customHeight="1" x14ac:dyDescent="0.2">
      <c r="C610" s="208">
        <v>43705</v>
      </c>
      <c r="D610" s="19">
        <v>0.60763888888888895</v>
      </c>
      <c r="E610" s="3">
        <v>2</v>
      </c>
      <c r="F610" s="24">
        <v>7.33</v>
      </c>
      <c r="G610" s="3">
        <v>83</v>
      </c>
      <c r="H610" s="7">
        <v>21.5</v>
      </c>
      <c r="I610" s="7">
        <v>21.5</v>
      </c>
      <c r="J610" s="7"/>
      <c r="L610" s="3"/>
      <c r="M610" s="3"/>
      <c r="N610" s="3"/>
      <c r="O610" s="3"/>
      <c r="P610" s="3"/>
      <c r="Q610" s="3"/>
      <c r="R610" s="3"/>
      <c r="S610" s="3"/>
    </row>
    <row r="611" spans="3:19" ht="15.75" customHeight="1" x14ac:dyDescent="0.2">
      <c r="C611" s="208">
        <v>43705</v>
      </c>
      <c r="D611" s="19">
        <v>0.60763888888888895</v>
      </c>
      <c r="E611" s="3">
        <v>3</v>
      </c>
      <c r="F611" s="24">
        <v>7.35</v>
      </c>
      <c r="G611" s="3">
        <v>82.7</v>
      </c>
      <c r="H611" s="7">
        <v>21.3</v>
      </c>
      <c r="I611" s="7">
        <v>21.3</v>
      </c>
      <c r="J611" s="7"/>
      <c r="L611" s="3"/>
      <c r="M611" s="3"/>
      <c r="N611" s="3"/>
      <c r="O611" s="3"/>
      <c r="P611" s="3"/>
      <c r="Q611" s="3"/>
      <c r="R611" s="3"/>
      <c r="S611" s="3"/>
    </row>
    <row r="612" spans="3:19" ht="15.75" customHeight="1" x14ac:dyDescent="0.2">
      <c r="C612" s="208">
        <v>43705</v>
      </c>
      <c r="D612" s="19">
        <v>0.60763888888888895</v>
      </c>
      <c r="E612" s="3">
        <v>4</v>
      </c>
      <c r="F612" s="24">
        <v>7.35</v>
      </c>
      <c r="G612" s="3">
        <v>82.5</v>
      </c>
      <c r="H612" s="7">
        <v>21.1</v>
      </c>
      <c r="I612" s="7">
        <v>21.1</v>
      </c>
      <c r="J612" s="7"/>
      <c r="L612" s="3"/>
      <c r="M612" s="3"/>
      <c r="N612" s="3"/>
      <c r="O612" s="3"/>
      <c r="P612" s="3"/>
      <c r="Q612" s="3"/>
      <c r="R612" s="3"/>
      <c r="S612" s="3"/>
    </row>
    <row r="613" spans="3:19" ht="15.75" customHeight="1" x14ac:dyDescent="0.2">
      <c r="C613" s="208">
        <v>43705</v>
      </c>
      <c r="D613" s="19">
        <v>0.60763888888888895</v>
      </c>
      <c r="E613" s="3">
        <v>5</v>
      </c>
      <c r="F613" s="24">
        <v>7.35</v>
      </c>
      <c r="G613" s="3">
        <v>82.4</v>
      </c>
      <c r="H613" s="7">
        <v>21</v>
      </c>
      <c r="I613" s="7">
        <v>21</v>
      </c>
      <c r="J613" s="7"/>
      <c r="L613" s="3"/>
      <c r="M613" s="3"/>
      <c r="N613" s="3"/>
      <c r="O613" s="3"/>
      <c r="P613" s="3"/>
      <c r="Q613" s="3"/>
      <c r="R613" s="3"/>
      <c r="S613" s="3"/>
    </row>
    <row r="614" spans="3:19" ht="15.75" customHeight="1" x14ac:dyDescent="0.2">
      <c r="C614" s="208">
        <v>43705</v>
      </c>
      <c r="D614" s="19">
        <v>0.60763888888888895</v>
      </c>
      <c r="E614" s="3">
        <v>6</v>
      </c>
      <c r="F614" s="24">
        <v>7.35</v>
      </c>
      <c r="G614" s="3">
        <v>82.2</v>
      </c>
      <c r="H614" s="7">
        <v>20.9</v>
      </c>
      <c r="I614" s="7">
        <v>20.9</v>
      </c>
      <c r="J614" s="7"/>
      <c r="K614" s="47"/>
      <c r="L614" s="3"/>
      <c r="M614" s="3"/>
      <c r="N614" s="3"/>
      <c r="O614" s="3"/>
      <c r="P614" s="3"/>
      <c r="Q614" s="3"/>
      <c r="R614" s="3"/>
      <c r="S614" s="3"/>
    </row>
    <row r="615" spans="3:19" ht="15.75" customHeight="1" x14ac:dyDescent="0.2">
      <c r="C615" s="208">
        <v>43705</v>
      </c>
      <c r="D615" s="19">
        <v>0.60763888888888895</v>
      </c>
      <c r="E615" s="3">
        <v>7</v>
      </c>
      <c r="F615" s="24">
        <v>7.34</v>
      </c>
      <c r="G615" s="3">
        <v>82.1</v>
      </c>
      <c r="H615" s="7">
        <v>20.9</v>
      </c>
      <c r="I615" s="7">
        <v>20.9</v>
      </c>
      <c r="J615" s="7"/>
      <c r="L615" s="3"/>
      <c r="M615" s="3"/>
      <c r="N615" s="3"/>
      <c r="O615" s="3"/>
      <c r="P615" s="3"/>
      <c r="Q615" s="3"/>
      <c r="R615" s="3"/>
      <c r="S615" s="3"/>
    </row>
    <row r="616" spans="3:19" ht="15.75" customHeight="1" x14ac:dyDescent="0.2">
      <c r="C616" s="208">
        <v>43705</v>
      </c>
      <c r="D616" s="19">
        <v>0.60763888888888895</v>
      </c>
      <c r="E616" s="3">
        <v>8</v>
      </c>
      <c r="F616" s="24">
        <v>7.35</v>
      </c>
      <c r="G616" s="3">
        <v>82.1</v>
      </c>
      <c r="H616" s="7">
        <v>20.9</v>
      </c>
      <c r="I616" s="7">
        <v>20.9</v>
      </c>
      <c r="J616" s="7"/>
      <c r="L616" s="3"/>
      <c r="M616" s="3"/>
      <c r="N616" s="3"/>
      <c r="O616" s="3"/>
      <c r="P616" s="3"/>
      <c r="Q616" s="3"/>
      <c r="R616" s="3"/>
      <c r="S616" s="3"/>
    </row>
    <row r="617" spans="3:19" ht="15.75" customHeight="1" x14ac:dyDescent="0.2">
      <c r="C617" s="208">
        <v>43705</v>
      </c>
      <c r="D617" s="19">
        <v>0.60763888888888895</v>
      </c>
      <c r="E617" s="3">
        <v>9</v>
      </c>
      <c r="F617" s="24">
        <v>7.33</v>
      </c>
      <c r="G617" s="3">
        <v>81.900000000000006</v>
      </c>
      <c r="H617" s="7">
        <v>20.8</v>
      </c>
      <c r="I617" s="7">
        <v>20.8</v>
      </c>
      <c r="J617" s="7"/>
      <c r="L617" s="3"/>
      <c r="M617" s="3"/>
      <c r="N617" s="3"/>
      <c r="O617" s="3"/>
      <c r="P617" s="3"/>
      <c r="Q617" s="3"/>
      <c r="R617" s="3"/>
      <c r="S617" s="3"/>
    </row>
    <row r="618" spans="3:19" ht="15.75" customHeight="1" x14ac:dyDescent="0.2">
      <c r="C618" s="208">
        <v>43705</v>
      </c>
      <c r="D618" s="19">
        <v>0.60763888888888895</v>
      </c>
      <c r="E618" s="3">
        <v>10</v>
      </c>
      <c r="F618" s="24">
        <v>7.99</v>
      </c>
      <c r="G618" s="3">
        <v>87.3</v>
      </c>
      <c r="H618" s="17">
        <v>19.5</v>
      </c>
      <c r="I618" s="17">
        <v>19.5</v>
      </c>
      <c r="J618" s="17"/>
      <c r="L618" s="3"/>
      <c r="M618" s="3"/>
      <c r="N618" s="3"/>
      <c r="O618" s="3"/>
      <c r="P618" s="3"/>
      <c r="Q618" s="3"/>
      <c r="R618" s="3"/>
      <c r="S618" s="3"/>
    </row>
    <row r="619" spans="3:19" ht="15.75" customHeight="1" x14ac:dyDescent="0.2">
      <c r="C619" s="208">
        <v>43705</v>
      </c>
      <c r="D619" s="19">
        <v>0.60763888888888895</v>
      </c>
      <c r="E619" s="3">
        <v>11</v>
      </c>
      <c r="F619" s="24">
        <v>9.51</v>
      </c>
      <c r="G619" s="3">
        <v>95.3</v>
      </c>
      <c r="H619" s="7">
        <v>15.4</v>
      </c>
      <c r="I619" s="51">
        <f>AVERAGE(I608:I618)</f>
        <v>21.090909090909093</v>
      </c>
      <c r="J619" s="51"/>
      <c r="L619" s="3"/>
      <c r="M619" s="3"/>
      <c r="N619" s="3"/>
      <c r="O619" s="3"/>
      <c r="P619" s="3"/>
      <c r="Q619" s="3"/>
      <c r="R619" s="3"/>
      <c r="S619" s="3"/>
    </row>
    <row r="620" spans="3:19" ht="15.75" customHeight="1" x14ac:dyDescent="0.2">
      <c r="C620" s="208">
        <v>43705</v>
      </c>
      <c r="D620" s="19">
        <v>0.60763888888888895</v>
      </c>
      <c r="E620" s="3">
        <v>12</v>
      </c>
      <c r="F620" s="24">
        <v>9.68</v>
      </c>
      <c r="G620" s="3">
        <v>93.1</v>
      </c>
      <c r="H620" s="7">
        <v>13.7</v>
      </c>
      <c r="I620" s="3"/>
      <c r="L620" s="3"/>
      <c r="M620" s="3"/>
      <c r="N620" s="3"/>
      <c r="O620" s="3"/>
      <c r="P620" s="3"/>
      <c r="Q620" s="3"/>
      <c r="R620" s="3"/>
      <c r="S620" s="3"/>
    </row>
    <row r="621" spans="3:19" ht="15.75" customHeight="1" x14ac:dyDescent="0.2">
      <c r="C621" s="208">
        <v>43705</v>
      </c>
      <c r="D621" s="19">
        <v>0.60763888888888895</v>
      </c>
      <c r="E621" s="3">
        <v>14</v>
      </c>
      <c r="F621" s="24">
        <v>9.9499999999999993</v>
      </c>
      <c r="G621" s="3">
        <v>90.4</v>
      </c>
      <c r="H621" s="7">
        <v>11.1</v>
      </c>
      <c r="I621" s="7"/>
      <c r="L621" s="3"/>
      <c r="M621" s="3"/>
      <c r="N621" s="3"/>
      <c r="O621" s="3"/>
      <c r="P621" s="3"/>
      <c r="Q621" s="3"/>
      <c r="R621" s="3"/>
      <c r="S621" s="3"/>
    </row>
    <row r="622" spans="3:19" ht="15.75" customHeight="1" x14ac:dyDescent="0.2">
      <c r="C622" s="208">
        <v>43705</v>
      </c>
      <c r="D622" s="19">
        <v>0.60763888888888895</v>
      </c>
      <c r="E622" s="3">
        <v>16</v>
      </c>
      <c r="F622" s="24">
        <v>9.92</v>
      </c>
      <c r="G622" s="3">
        <v>84.9</v>
      </c>
      <c r="H622" s="7">
        <v>8.6</v>
      </c>
      <c r="I622" s="7"/>
      <c r="L622" s="3"/>
      <c r="M622" s="3"/>
      <c r="N622" s="3"/>
      <c r="O622" s="3"/>
      <c r="P622" s="3"/>
      <c r="Q622" s="3"/>
      <c r="R622" s="3"/>
      <c r="S622" s="3"/>
    </row>
    <row r="623" spans="3:19" ht="15.75" customHeight="1" x14ac:dyDescent="0.2">
      <c r="C623" s="208">
        <v>43705</v>
      </c>
      <c r="D623" s="19">
        <v>0.60763888888888895</v>
      </c>
      <c r="E623" s="3">
        <v>18</v>
      </c>
      <c r="F623" s="24">
        <v>9.6</v>
      </c>
      <c r="G623" s="3">
        <v>79.599999999999994</v>
      </c>
      <c r="H623" s="7">
        <v>7.7</v>
      </c>
      <c r="I623" s="7"/>
      <c r="L623" s="3"/>
      <c r="M623" s="3"/>
      <c r="N623" s="3"/>
      <c r="O623" s="3"/>
      <c r="P623" s="3"/>
      <c r="Q623" s="3"/>
      <c r="R623" s="3"/>
      <c r="S623" s="3"/>
    </row>
    <row r="624" spans="3:19" ht="15.75" customHeight="1" x14ac:dyDescent="0.2">
      <c r="C624" s="208">
        <v>43705</v>
      </c>
      <c r="D624" s="19">
        <v>0.60763888888888895</v>
      </c>
      <c r="E624" s="3">
        <v>20</v>
      </c>
      <c r="F624" s="24">
        <v>9.3000000000000007</v>
      </c>
      <c r="G624" s="3">
        <v>76.900000000000006</v>
      </c>
      <c r="H624" s="7">
        <v>7.2</v>
      </c>
      <c r="I624" s="7"/>
      <c r="L624" s="3"/>
      <c r="M624" s="3"/>
      <c r="N624" s="3"/>
      <c r="O624" s="3"/>
      <c r="P624" s="3"/>
      <c r="Q624" s="3"/>
      <c r="R624" s="3"/>
      <c r="S624" s="3"/>
    </row>
    <row r="625" spans="3:19" ht="15.75" customHeight="1" x14ac:dyDescent="0.2">
      <c r="C625" s="208">
        <v>43705</v>
      </c>
      <c r="D625" s="19">
        <v>0.60763888888888895</v>
      </c>
      <c r="E625" s="3">
        <v>22</v>
      </c>
      <c r="F625" s="24">
        <v>9.14</v>
      </c>
      <c r="G625" s="3">
        <v>74.5</v>
      </c>
      <c r="H625" s="7">
        <v>6.7</v>
      </c>
      <c r="I625" s="7"/>
      <c r="L625" s="3"/>
      <c r="M625" s="3"/>
      <c r="N625" s="3"/>
      <c r="O625" s="3"/>
      <c r="P625" s="3"/>
      <c r="Q625" s="3"/>
      <c r="R625" s="3"/>
      <c r="S625" s="3"/>
    </row>
    <row r="626" spans="3:19" ht="15.75" customHeight="1" x14ac:dyDescent="0.2">
      <c r="C626" s="208">
        <v>43705</v>
      </c>
      <c r="D626" s="19">
        <v>0.60763888888888895</v>
      </c>
      <c r="E626" s="3">
        <v>24</v>
      </c>
      <c r="F626" s="24">
        <v>9.0299999999999994</v>
      </c>
      <c r="G626" s="3">
        <v>73.400000000000006</v>
      </c>
      <c r="H626" s="7">
        <v>6.5</v>
      </c>
      <c r="I626" s="7"/>
      <c r="L626" s="3"/>
      <c r="M626" s="3"/>
      <c r="N626" s="3"/>
      <c r="O626" s="3"/>
      <c r="P626" s="3"/>
      <c r="Q626" s="3"/>
      <c r="R626" s="3"/>
      <c r="S626" s="3"/>
    </row>
    <row r="627" spans="3:19" ht="15.75" customHeight="1" x14ac:dyDescent="0.2">
      <c r="C627" s="208">
        <v>43705</v>
      </c>
      <c r="D627" s="19">
        <v>0.60763888888888895</v>
      </c>
      <c r="E627" s="3">
        <v>26</v>
      </c>
      <c r="F627" s="24">
        <v>8.99</v>
      </c>
      <c r="G627" s="3">
        <v>72.8</v>
      </c>
      <c r="H627" s="7">
        <v>6.3</v>
      </c>
      <c r="I627" s="7"/>
      <c r="L627" s="3"/>
      <c r="M627" s="3"/>
      <c r="N627" s="3"/>
      <c r="O627" s="3"/>
      <c r="P627" s="3"/>
      <c r="Q627" s="3"/>
      <c r="R627" s="3"/>
      <c r="S627" s="3"/>
    </row>
    <row r="628" spans="3:19" ht="15.75" customHeight="1" x14ac:dyDescent="0.2">
      <c r="C628" s="208">
        <v>43705</v>
      </c>
      <c r="D628" s="19">
        <v>0.60763888888888895</v>
      </c>
      <c r="E628" s="3">
        <v>28</v>
      </c>
      <c r="F628" s="24">
        <v>8.92</v>
      </c>
      <c r="G628" s="3">
        <v>71.7</v>
      </c>
      <c r="H628" s="7">
        <v>6.1</v>
      </c>
      <c r="I628" s="7"/>
      <c r="L628" s="3"/>
      <c r="M628" s="3"/>
      <c r="N628" s="3"/>
      <c r="O628" s="3"/>
      <c r="P628" s="3"/>
      <c r="Q628" s="3"/>
      <c r="R628" s="3"/>
      <c r="S628" s="3"/>
    </row>
    <row r="629" spans="3:19" ht="15.75" customHeight="1" x14ac:dyDescent="0.2">
      <c r="C629" s="208">
        <v>43705</v>
      </c>
      <c r="D629" s="19">
        <v>0.60763888888888895</v>
      </c>
      <c r="E629" s="3">
        <v>30</v>
      </c>
      <c r="F629" s="24">
        <v>8.8000000000000007</v>
      </c>
      <c r="G629" s="3">
        <v>70.599999999999994</v>
      </c>
      <c r="H629" s="7">
        <v>6</v>
      </c>
      <c r="I629" s="7"/>
      <c r="L629" s="3"/>
      <c r="M629" s="3"/>
      <c r="N629" s="3"/>
      <c r="O629" s="3"/>
      <c r="P629" s="3"/>
      <c r="Q629" s="3"/>
      <c r="R629" s="3"/>
      <c r="S629" s="3"/>
    </row>
    <row r="630" spans="3:19" ht="15.75" customHeight="1" x14ac:dyDescent="0.2">
      <c r="C630" s="208">
        <v>43705</v>
      </c>
      <c r="D630" s="19">
        <v>0.60763888888888895</v>
      </c>
      <c r="E630" s="3">
        <v>32</v>
      </c>
      <c r="F630" s="24">
        <v>8.69</v>
      </c>
      <c r="G630" s="3">
        <v>69.5</v>
      </c>
      <c r="H630" s="7">
        <v>5.9</v>
      </c>
      <c r="I630" s="7"/>
      <c r="L630" s="3"/>
      <c r="M630" s="3"/>
      <c r="N630" s="3"/>
      <c r="O630" s="3"/>
      <c r="P630" s="3"/>
      <c r="Q630" s="3"/>
      <c r="R630" s="3"/>
      <c r="S630" s="3"/>
    </row>
    <row r="631" spans="3:19" ht="15.75" customHeight="1" x14ac:dyDescent="0.2">
      <c r="C631" s="208">
        <v>43705</v>
      </c>
      <c r="D631" s="19">
        <v>0.60763888888888895</v>
      </c>
      <c r="E631" s="3">
        <v>34</v>
      </c>
      <c r="F631" s="24">
        <v>8.6300000000000008</v>
      </c>
      <c r="G631" s="3">
        <v>69</v>
      </c>
      <c r="H631" s="7">
        <v>5.8</v>
      </c>
      <c r="I631" s="7"/>
      <c r="L631" s="3"/>
      <c r="M631" s="3"/>
      <c r="N631" s="3"/>
      <c r="O631" s="3"/>
      <c r="P631" s="3"/>
      <c r="Q631" s="3"/>
      <c r="R631" s="3"/>
      <c r="S631" s="3"/>
    </row>
    <row r="632" spans="3:19" ht="15.75" customHeight="1" x14ac:dyDescent="0.2">
      <c r="C632" s="208">
        <v>43705</v>
      </c>
      <c r="D632" s="19">
        <v>0.60763888888888895</v>
      </c>
      <c r="E632" s="3">
        <v>36</v>
      </c>
      <c r="F632" s="24">
        <v>8.58</v>
      </c>
      <c r="G632" s="3">
        <v>68.3</v>
      </c>
      <c r="H632" s="7">
        <v>5.7</v>
      </c>
      <c r="I632" s="7"/>
      <c r="L632" s="3"/>
      <c r="M632" s="3"/>
      <c r="N632" s="3"/>
      <c r="O632" s="3"/>
      <c r="P632" s="3"/>
      <c r="Q632" s="3"/>
      <c r="R632" s="3"/>
      <c r="S632" s="3"/>
    </row>
    <row r="633" spans="3:19" ht="15.75" customHeight="1" x14ac:dyDescent="0.2">
      <c r="C633" s="208">
        <v>43705</v>
      </c>
      <c r="D633" s="19">
        <v>0.60763888888888895</v>
      </c>
      <c r="E633" s="3">
        <v>38</v>
      </c>
      <c r="F633" s="24">
        <v>8.49</v>
      </c>
      <c r="G633" s="3">
        <v>67.5</v>
      </c>
      <c r="H633" s="7">
        <v>5.7</v>
      </c>
      <c r="I633" s="7"/>
      <c r="L633" s="3"/>
      <c r="M633" s="3"/>
      <c r="N633" s="3"/>
      <c r="O633" s="3"/>
      <c r="P633" s="3"/>
      <c r="Q633" s="3"/>
      <c r="R633" s="3"/>
      <c r="S633" s="3"/>
    </row>
    <row r="634" spans="3:19" ht="15.75" customHeight="1" x14ac:dyDescent="0.2">
      <c r="C634" s="208">
        <v>43705</v>
      </c>
      <c r="D634" s="19">
        <v>0.60763888888888895</v>
      </c>
      <c r="E634" s="3">
        <v>40</v>
      </c>
      <c r="F634" s="24">
        <v>8.3699999999999992</v>
      </c>
      <c r="G634" s="3">
        <v>66.2</v>
      </c>
      <c r="H634" s="7">
        <v>5.7</v>
      </c>
      <c r="I634" s="7"/>
      <c r="L634" s="3"/>
      <c r="M634" s="3"/>
      <c r="N634" s="3"/>
      <c r="O634" s="3"/>
      <c r="P634" s="3"/>
      <c r="Q634" s="3"/>
      <c r="R634" s="3"/>
      <c r="S634" s="3"/>
    </row>
    <row r="635" spans="3:19" ht="15.75" customHeight="1" x14ac:dyDescent="0.2">
      <c r="C635" s="208">
        <v>43705</v>
      </c>
      <c r="D635" s="19">
        <v>0.60763888888888895</v>
      </c>
      <c r="E635" s="3">
        <v>42</v>
      </c>
      <c r="F635" s="24">
        <v>8.17</v>
      </c>
      <c r="G635" s="3">
        <v>64.5</v>
      </c>
      <c r="H635" s="7">
        <v>5.6</v>
      </c>
      <c r="I635" s="7"/>
      <c r="L635" s="3"/>
      <c r="M635" s="3"/>
      <c r="N635" s="3"/>
      <c r="O635" s="3"/>
      <c r="P635" s="3"/>
      <c r="Q635" s="3"/>
      <c r="R635" s="3"/>
      <c r="S635" s="3"/>
    </row>
    <row r="636" spans="3:19" ht="15.75" customHeight="1" x14ac:dyDescent="0.2">
      <c r="C636" s="208">
        <v>43705</v>
      </c>
      <c r="D636" s="19">
        <v>0.60763888888888895</v>
      </c>
      <c r="E636" s="3">
        <v>44</v>
      </c>
      <c r="F636" s="24">
        <v>7.96</v>
      </c>
      <c r="G636" s="3">
        <v>63.1</v>
      </c>
      <c r="H636" s="7">
        <v>5.6</v>
      </c>
      <c r="I636" s="7"/>
      <c r="L636" s="3"/>
      <c r="M636" s="3"/>
      <c r="N636" s="3"/>
      <c r="O636" s="3"/>
      <c r="P636" s="3"/>
      <c r="Q636" s="3"/>
      <c r="R636" s="3"/>
      <c r="S636" s="3"/>
    </row>
    <row r="637" spans="3:19" ht="15.75" customHeight="1" x14ac:dyDescent="0.2">
      <c r="C637" s="208"/>
      <c r="D637" s="19"/>
      <c r="E637" s="3"/>
      <c r="F637" s="24"/>
      <c r="G637" s="3"/>
      <c r="H637" s="7"/>
      <c r="I637" s="7"/>
      <c r="L637" s="3"/>
      <c r="M637" s="3"/>
      <c r="N637" s="3"/>
      <c r="O637" s="3"/>
      <c r="P637" s="3"/>
      <c r="Q637" s="3"/>
      <c r="R637" s="3"/>
      <c r="S637" s="3"/>
    </row>
    <row r="638" spans="3:19" ht="15.75" customHeight="1" x14ac:dyDescent="0.2">
      <c r="C638" s="208">
        <v>43732</v>
      </c>
      <c r="D638" s="19">
        <v>0.51388888888888895</v>
      </c>
      <c r="E638" s="3"/>
      <c r="F638" s="24"/>
      <c r="G638" s="3"/>
      <c r="H638" s="7"/>
      <c r="I638" s="7"/>
      <c r="J638">
        <v>7.5</v>
      </c>
      <c r="K638">
        <v>10.5</v>
      </c>
      <c r="L638" s="3"/>
      <c r="M638" s="3"/>
      <c r="N638" s="3"/>
      <c r="O638" s="3"/>
      <c r="P638" s="3"/>
      <c r="Q638" s="3"/>
      <c r="R638" s="3"/>
      <c r="S638" s="3"/>
    </row>
    <row r="639" spans="3:19" ht="15.75" customHeight="1" x14ac:dyDescent="0.2">
      <c r="C639" s="208">
        <v>43732</v>
      </c>
      <c r="D639" s="19">
        <v>0.53333333333333333</v>
      </c>
      <c r="E639" s="3">
        <v>0.1</v>
      </c>
      <c r="F639" s="24">
        <v>8.0299999999999994</v>
      </c>
      <c r="G639" s="3">
        <v>84.1</v>
      </c>
      <c r="H639" s="7">
        <v>17.600000000000001</v>
      </c>
      <c r="I639" s="7">
        <v>17.600000000000001</v>
      </c>
      <c r="J639" s="7"/>
      <c r="L639" s="3"/>
      <c r="M639" s="3"/>
      <c r="N639" s="3"/>
      <c r="O639" s="3"/>
      <c r="P639" s="3"/>
      <c r="Q639" s="3"/>
      <c r="R639" s="3"/>
      <c r="S639" s="3"/>
    </row>
    <row r="640" spans="3:19" ht="15.75" customHeight="1" x14ac:dyDescent="0.2">
      <c r="C640" s="208">
        <v>43732</v>
      </c>
      <c r="D640" s="19">
        <v>0.53333333333333333</v>
      </c>
      <c r="E640" s="3">
        <v>1</v>
      </c>
      <c r="F640" s="24">
        <v>8.01</v>
      </c>
      <c r="G640" s="3">
        <v>83.9</v>
      </c>
      <c r="H640" s="7">
        <v>17.600000000000001</v>
      </c>
      <c r="I640" s="7">
        <v>17.600000000000001</v>
      </c>
      <c r="J640" s="7"/>
      <c r="L640" s="3"/>
      <c r="M640" s="3"/>
      <c r="N640" s="3"/>
      <c r="O640" s="3"/>
      <c r="P640" s="3"/>
      <c r="Q640" s="3"/>
      <c r="R640" s="3"/>
      <c r="S640" s="3"/>
    </row>
    <row r="641" spans="3:19" ht="15.75" customHeight="1" x14ac:dyDescent="0.2">
      <c r="C641" s="208">
        <v>43732</v>
      </c>
      <c r="D641" s="19">
        <v>0.53333333333333333</v>
      </c>
      <c r="E641" s="3">
        <v>2</v>
      </c>
      <c r="F641" s="24">
        <v>8</v>
      </c>
      <c r="G641" s="3">
        <v>83.8</v>
      </c>
      <c r="H641" s="7">
        <v>17.600000000000001</v>
      </c>
      <c r="I641" s="7">
        <v>17.600000000000001</v>
      </c>
      <c r="J641" s="7"/>
      <c r="L641" s="3"/>
      <c r="M641" s="3"/>
      <c r="N641" s="3"/>
      <c r="O641" s="3"/>
      <c r="P641" s="3"/>
      <c r="Q641" s="3"/>
      <c r="R641" s="3"/>
      <c r="S641" s="3"/>
    </row>
    <row r="642" spans="3:19" ht="15.75" customHeight="1" x14ac:dyDescent="0.2">
      <c r="C642" s="208">
        <v>43732</v>
      </c>
      <c r="D642" s="19">
        <v>0.53333333333333333</v>
      </c>
      <c r="E642" s="3">
        <v>3</v>
      </c>
      <c r="F642" s="24">
        <v>7.99</v>
      </c>
      <c r="G642" s="3">
        <v>83.7</v>
      </c>
      <c r="H642" s="7">
        <v>17.600000000000001</v>
      </c>
      <c r="I642" s="7">
        <v>17.600000000000001</v>
      </c>
      <c r="J642" s="7"/>
      <c r="L642" s="3"/>
      <c r="M642" s="3"/>
      <c r="N642" s="3"/>
      <c r="O642" s="3"/>
      <c r="P642" s="3"/>
      <c r="Q642" s="3"/>
      <c r="R642" s="3"/>
      <c r="S642" s="3"/>
    </row>
    <row r="643" spans="3:19" ht="15.75" customHeight="1" x14ac:dyDescent="0.2">
      <c r="C643" s="208">
        <v>43732</v>
      </c>
      <c r="D643" s="19">
        <v>0.53333333333333333</v>
      </c>
      <c r="E643" s="3">
        <v>4</v>
      </c>
      <c r="F643" s="24">
        <v>7.97</v>
      </c>
      <c r="G643" s="3">
        <v>83.5</v>
      </c>
      <c r="H643" s="7">
        <v>17.600000000000001</v>
      </c>
      <c r="I643" s="7">
        <v>17.600000000000001</v>
      </c>
      <c r="J643" s="7"/>
      <c r="L643" s="3"/>
      <c r="M643" s="3"/>
      <c r="N643" s="3"/>
      <c r="O643" s="3"/>
      <c r="P643" s="3"/>
      <c r="Q643" s="3"/>
      <c r="R643" s="3"/>
      <c r="S643" s="3"/>
    </row>
    <row r="644" spans="3:19" ht="15.75" customHeight="1" x14ac:dyDescent="0.2">
      <c r="C644" s="208">
        <v>43732</v>
      </c>
      <c r="D644" s="19">
        <v>0.53333333333333333</v>
      </c>
      <c r="E644" s="3">
        <v>5</v>
      </c>
      <c r="F644" s="24">
        <v>7.96</v>
      </c>
      <c r="G644" s="3">
        <v>83.4</v>
      </c>
      <c r="H644" s="7">
        <v>17.600000000000001</v>
      </c>
      <c r="I644" s="7">
        <v>17.600000000000001</v>
      </c>
      <c r="J644" s="7"/>
      <c r="L644" s="3"/>
      <c r="M644" s="3"/>
      <c r="N644" s="3"/>
      <c r="O644" s="3"/>
      <c r="P644" s="3"/>
      <c r="Q644" s="3"/>
      <c r="R644" s="3"/>
      <c r="S644" s="3"/>
    </row>
    <row r="645" spans="3:19" ht="15.75" customHeight="1" x14ac:dyDescent="0.2">
      <c r="C645" s="208">
        <v>43732</v>
      </c>
      <c r="D645" s="19">
        <v>0.53333333333333333</v>
      </c>
      <c r="E645" s="3">
        <v>6</v>
      </c>
      <c r="F645" s="24">
        <v>7.95</v>
      </c>
      <c r="G645" s="3">
        <v>83.3</v>
      </c>
      <c r="H645" s="7">
        <v>17.600000000000001</v>
      </c>
      <c r="I645" s="7">
        <v>17.600000000000001</v>
      </c>
      <c r="J645" s="7"/>
      <c r="L645" s="3"/>
      <c r="M645" s="3"/>
      <c r="N645" s="3"/>
      <c r="O645" s="3"/>
      <c r="P645" s="3"/>
      <c r="Q645" s="3"/>
      <c r="R645" s="3"/>
      <c r="S645" s="3"/>
    </row>
    <row r="646" spans="3:19" ht="15.75" customHeight="1" x14ac:dyDescent="0.2">
      <c r="C646" s="208">
        <v>43732</v>
      </c>
      <c r="D646" s="19">
        <v>0.53333333333333333</v>
      </c>
      <c r="E646" s="3">
        <v>7</v>
      </c>
      <c r="F646" s="24">
        <v>7.94</v>
      </c>
      <c r="G646" s="3">
        <v>83.2</v>
      </c>
      <c r="H646" s="7">
        <v>17.600000000000001</v>
      </c>
      <c r="I646" s="7">
        <v>17.600000000000001</v>
      </c>
      <c r="J646" s="7"/>
      <c r="K646" s="47"/>
      <c r="L646" s="3"/>
      <c r="M646" s="3"/>
      <c r="N646" s="3"/>
      <c r="O646" s="3"/>
      <c r="P646" s="3"/>
      <c r="Q646" s="3"/>
      <c r="R646" s="3"/>
      <c r="S646" s="3"/>
    </row>
    <row r="647" spans="3:19" ht="15.75" customHeight="1" x14ac:dyDescent="0.2">
      <c r="C647" s="208">
        <v>43732</v>
      </c>
      <c r="D647" s="19">
        <v>0.53333333333333333</v>
      </c>
      <c r="E647" s="3">
        <v>8</v>
      </c>
      <c r="F647" s="24">
        <v>7.92</v>
      </c>
      <c r="G647" s="3">
        <v>83</v>
      </c>
      <c r="H647" s="7">
        <v>17.600000000000001</v>
      </c>
      <c r="I647" s="7">
        <v>17.600000000000001</v>
      </c>
      <c r="J647" s="7"/>
      <c r="L647" s="3"/>
      <c r="M647" s="3"/>
      <c r="N647" s="3"/>
      <c r="O647" s="3"/>
      <c r="P647" s="3"/>
      <c r="Q647" s="3"/>
      <c r="R647" s="3"/>
      <c r="S647" s="3"/>
    </row>
    <row r="648" spans="3:19" ht="15.75" customHeight="1" x14ac:dyDescent="0.2">
      <c r="C648" s="208">
        <v>43732</v>
      </c>
      <c r="D648" s="19">
        <v>0.53333333333333333</v>
      </c>
      <c r="E648" s="3">
        <v>9</v>
      </c>
      <c r="F648" s="24">
        <v>7.91</v>
      </c>
      <c r="G648" s="3">
        <v>82.9</v>
      </c>
      <c r="H648" s="7">
        <v>17.600000000000001</v>
      </c>
      <c r="I648" s="7">
        <v>17.600000000000001</v>
      </c>
      <c r="J648" s="7"/>
      <c r="L648" s="3"/>
      <c r="M648" s="3"/>
      <c r="N648" s="3"/>
      <c r="O648" s="3"/>
      <c r="P648" s="3"/>
      <c r="Q648" s="3"/>
      <c r="R648" s="3"/>
      <c r="S648" s="3"/>
    </row>
    <row r="649" spans="3:19" ht="15.75" customHeight="1" x14ac:dyDescent="0.2">
      <c r="C649" s="208">
        <v>43732</v>
      </c>
      <c r="D649" s="19">
        <v>0.53333333333333333</v>
      </c>
      <c r="E649" s="3">
        <v>10</v>
      </c>
      <c r="F649" s="24">
        <v>7.9</v>
      </c>
      <c r="G649" s="3">
        <v>82.7</v>
      </c>
      <c r="H649" s="7">
        <v>17.600000000000001</v>
      </c>
      <c r="I649" s="7">
        <v>17.600000000000001</v>
      </c>
      <c r="J649" s="7"/>
      <c r="L649" s="3"/>
      <c r="M649" s="3"/>
      <c r="N649" s="3"/>
      <c r="O649" s="3"/>
      <c r="P649" s="3"/>
      <c r="Q649" s="3"/>
      <c r="R649" s="3"/>
      <c r="S649" s="3"/>
    </row>
    <row r="650" spans="3:19" ht="15.75" customHeight="1" x14ac:dyDescent="0.2">
      <c r="C650" s="208">
        <v>43732</v>
      </c>
      <c r="D650" s="19">
        <v>0.53333333333333333</v>
      </c>
      <c r="E650" s="3">
        <v>11</v>
      </c>
      <c r="F650" s="24">
        <v>7.88</v>
      </c>
      <c r="G650" s="3">
        <v>82.6</v>
      </c>
      <c r="H650" s="7">
        <v>17.600000000000001</v>
      </c>
      <c r="I650" s="7">
        <v>17.600000000000001</v>
      </c>
      <c r="J650" s="7"/>
      <c r="L650" s="3"/>
      <c r="M650" s="3"/>
      <c r="N650" s="3"/>
      <c r="O650" s="3"/>
      <c r="P650" s="3"/>
      <c r="Q650" s="3"/>
      <c r="R650" s="3"/>
      <c r="S650" s="3"/>
    </row>
    <row r="651" spans="3:19" ht="15.75" customHeight="1" x14ac:dyDescent="0.2">
      <c r="C651" s="208">
        <v>43732</v>
      </c>
      <c r="D651" s="19">
        <v>0.53333333333333333</v>
      </c>
      <c r="E651" s="3">
        <v>12</v>
      </c>
      <c r="F651" s="24">
        <v>7.87</v>
      </c>
      <c r="G651" s="3">
        <v>82.4</v>
      </c>
      <c r="H651" s="7">
        <v>17.600000000000001</v>
      </c>
      <c r="I651" s="7">
        <v>17.600000000000001</v>
      </c>
      <c r="J651" s="7"/>
      <c r="L651" s="3"/>
      <c r="M651" s="3"/>
      <c r="N651" s="3"/>
      <c r="O651" s="3"/>
      <c r="P651" s="3"/>
      <c r="Q651" s="3"/>
      <c r="R651" s="3"/>
      <c r="S651" s="3"/>
    </row>
    <row r="652" spans="3:19" ht="15.75" customHeight="1" x14ac:dyDescent="0.2">
      <c r="C652" s="208">
        <v>43732</v>
      </c>
      <c r="D652" s="19">
        <v>0.53333333333333333</v>
      </c>
      <c r="E652" s="3">
        <v>13</v>
      </c>
      <c r="F652" s="24">
        <v>7.85</v>
      </c>
      <c r="G652" s="3">
        <v>82.2</v>
      </c>
      <c r="H652" s="7">
        <v>17.600000000000001</v>
      </c>
      <c r="I652" s="7">
        <v>17.600000000000001</v>
      </c>
      <c r="J652" s="7"/>
      <c r="L652" s="3"/>
      <c r="M652" s="3"/>
      <c r="N652" s="3"/>
      <c r="O652" s="3"/>
      <c r="P652" s="3"/>
      <c r="Q652" s="3"/>
      <c r="R652" s="3"/>
      <c r="S652" s="3"/>
    </row>
    <row r="653" spans="3:19" ht="15.75" customHeight="1" x14ac:dyDescent="0.2">
      <c r="C653" s="208">
        <v>43732</v>
      </c>
      <c r="D653" s="19">
        <v>0.53333333333333333</v>
      </c>
      <c r="E653" s="3">
        <v>14</v>
      </c>
      <c r="F653" s="24">
        <v>7.84</v>
      </c>
      <c r="G653" s="3">
        <v>82.1</v>
      </c>
      <c r="H653" s="7">
        <v>17.600000000000001</v>
      </c>
      <c r="I653" s="7">
        <v>17.600000000000001</v>
      </c>
      <c r="J653" s="7"/>
      <c r="L653" s="3"/>
      <c r="M653" s="3"/>
      <c r="N653" s="3"/>
      <c r="O653" s="3"/>
      <c r="P653" s="3"/>
      <c r="Q653" s="3"/>
      <c r="R653" s="3"/>
      <c r="S653" s="3"/>
    </row>
    <row r="654" spans="3:19" ht="15.75" customHeight="1" x14ac:dyDescent="0.2">
      <c r="C654" s="208">
        <v>43732</v>
      </c>
      <c r="D654" s="19">
        <v>0.53333333333333333</v>
      </c>
      <c r="E654" s="3">
        <v>15</v>
      </c>
      <c r="F654" s="24">
        <v>7.82</v>
      </c>
      <c r="G654" s="3">
        <v>81.900000000000006</v>
      </c>
      <c r="H654" s="7">
        <v>17.600000000000001</v>
      </c>
      <c r="I654" s="7">
        <v>17.600000000000001</v>
      </c>
      <c r="J654" s="7"/>
      <c r="L654" s="3"/>
      <c r="M654" s="3"/>
      <c r="N654" s="3"/>
      <c r="O654" s="3"/>
      <c r="P654" s="3"/>
      <c r="Q654" s="3"/>
      <c r="R654" s="3"/>
      <c r="S654" s="3"/>
    </row>
    <row r="655" spans="3:19" ht="15.75" customHeight="1" x14ac:dyDescent="0.2">
      <c r="C655" s="208">
        <v>43732</v>
      </c>
      <c r="D655" s="19">
        <v>0.53333333333333333</v>
      </c>
      <c r="E655" s="3">
        <v>16</v>
      </c>
      <c r="F655" s="24">
        <v>7.81</v>
      </c>
      <c r="G655" s="3">
        <v>81.5</v>
      </c>
      <c r="H655" s="7">
        <v>17.5</v>
      </c>
      <c r="I655" s="7">
        <v>17.5</v>
      </c>
      <c r="J655" s="17"/>
      <c r="L655" s="3"/>
      <c r="M655" s="3"/>
      <c r="N655" s="3"/>
      <c r="O655" s="3"/>
      <c r="P655" s="3"/>
      <c r="Q655" s="3"/>
      <c r="R655" s="3"/>
      <c r="S655" s="3"/>
    </row>
    <row r="656" spans="3:19" ht="15.75" customHeight="1" x14ac:dyDescent="0.2">
      <c r="C656" s="208">
        <v>43732</v>
      </c>
      <c r="D656" s="19">
        <v>0.53333333333333333</v>
      </c>
      <c r="E656" s="3">
        <v>17</v>
      </c>
      <c r="F656" s="24">
        <v>8.81</v>
      </c>
      <c r="G656" s="3">
        <v>78.599999999999994</v>
      </c>
      <c r="H656" s="7">
        <v>10.199999999999999</v>
      </c>
      <c r="I656" s="51">
        <f>AVERAGE(I639:I655)</f>
        <v>17.594117647058823</v>
      </c>
      <c r="J656" s="51"/>
      <c r="L656" s="3"/>
      <c r="M656" s="3"/>
      <c r="N656" s="3"/>
      <c r="O656" s="3"/>
      <c r="P656" s="3"/>
      <c r="Q656" s="3"/>
      <c r="R656" s="3"/>
      <c r="S656" s="3"/>
    </row>
    <row r="657" spans="3:19" ht="15.75" customHeight="1" x14ac:dyDescent="0.2">
      <c r="C657" s="208">
        <v>43732</v>
      </c>
      <c r="D657" s="19">
        <v>0.53333333333333333</v>
      </c>
      <c r="E657" s="3">
        <v>18</v>
      </c>
      <c r="F657" s="24">
        <v>9.02</v>
      </c>
      <c r="G657" s="3">
        <v>78.3</v>
      </c>
      <c r="H657" s="7">
        <v>9.1999999999999993</v>
      </c>
      <c r="I657" s="7"/>
      <c r="L657" s="3"/>
      <c r="M657" s="3"/>
      <c r="N657" s="3"/>
      <c r="O657" s="3"/>
      <c r="P657" s="3"/>
      <c r="Q657" s="3"/>
      <c r="R657" s="3"/>
      <c r="S657" s="3"/>
    </row>
    <row r="658" spans="3:19" ht="15.75" customHeight="1" x14ac:dyDescent="0.2">
      <c r="C658" s="208">
        <v>43732</v>
      </c>
      <c r="D658" s="19">
        <v>0.53333333333333333</v>
      </c>
      <c r="E658" s="3">
        <v>20</v>
      </c>
      <c r="F658" s="24">
        <v>8.8699999999999992</v>
      </c>
      <c r="G658" s="3">
        <v>74.3</v>
      </c>
      <c r="H658" s="7">
        <v>8</v>
      </c>
      <c r="I658" s="7"/>
      <c r="L658" s="3"/>
      <c r="M658" s="3"/>
      <c r="N658" s="3"/>
      <c r="O658" s="3"/>
      <c r="P658" s="3"/>
      <c r="Q658" s="3"/>
      <c r="R658" s="3"/>
      <c r="S658" s="3"/>
    </row>
    <row r="659" spans="3:19" ht="15.75" customHeight="1" x14ac:dyDescent="0.2">
      <c r="C659" s="208">
        <v>43732</v>
      </c>
      <c r="D659" s="19">
        <v>0.53333333333333333</v>
      </c>
      <c r="E659" s="3">
        <v>22</v>
      </c>
      <c r="F659" s="24">
        <v>8.75</v>
      </c>
      <c r="G659" s="3">
        <v>72.599999999999994</v>
      </c>
      <c r="H659" s="7">
        <v>7.4</v>
      </c>
      <c r="I659" s="7"/>
      <c r="L659" s="3"/>
      <c r="M659" s="3"/>
      <c r="N659" s="3"/>
      <c r="O659" s="3"/>
      <c r="P659" s="3"/>
      <c r="Q659" s="3"/>
      <c r="R659" s="3"/>
      <c r="S659" s="3"/>
    </row>
    <row r="660" spans="3:19" ht="15.75" customHeight="1" x14ac:dyDescent="0.2">
      <c r="C660" s="208">
        <v>43732</v>
      </c>
      <c r="D660" s="19">
        <v>0.53333333333333333</v>
      </c>
      <c r="E660" s="3">
        <v>24</v>
      </c>
      <c r="F660" s="24">
        <v>8.7200000000000006</v>
      </c>
      <c r="G660" s="3">
        <v>72.099999999999994</v>
      </c>
      <c r="H660" s="7">
        <v>7.2</v>
      </c>
      <c r="I660" s="7"/>
      <c r="L660" s="3"/>
      <c r="M660" s="3"/>
      <c r="N660" s="3"/>
      <c r="O660" s="3"/>
      <c r="P660" s="3"/>
      <c r="Q660" s="3"/>
      <c r="R660" s="3"/>
      <c r="S660" s="3"/>
    </row>
    <row r="661" spans="3:19" ht="15.75" customHeight="1" x14ac:dyDescent="0.2">
      <c r="C661" s="208">
        <v>43732</v>
      </c>
      <c r="D661" s="19">
        <v>0.53333333333333333</v>
      </c>
      <c r="E661" s="3">
        <v>26</v>
      </c>
      <c r="F661" s="24">
        <v>8.61</v>
      </c>
      <c r="G661" s="3">
        <v>70.7</v>
      </c>
      <c r="H661" s="7">
        <v>6.9</v>
      </c>
      <c r="I661" s="7"/>
      <c r="L661" s="3"/>
      <c r="M661" s="3"/>
      <c r="N661" s="3"/>
      <c r="O661" s="3"/>
      <c r="P661" s="3"/>
      <c r="Q661" s="3"/>
      <c r="R661" s="3"/>
      <c r="S661" s="3"/>
    </row>
    <row r="662" spans="3:19" ht="15.75" customHeight="1" x14ac:dyDescent="0.2">
      <c r="C662" s="208">
        <v>43732</v>
      </c>
      <c r="D662" s="19">
        <v>0.53333333333333333</v>
      </c>
      <c r="E662" s="3">
        <v>28</v>
      </c>
      <c r="F662" s="24">
        <v>8.56</v>
      </c>
      <c r="G662" s="3">
        <v>69.8</v>
      </c>
      <c r="H662" s="7">
        <v>6.6</v>
      </c>
      <c r="I662" s="7"/>
      <c r="L662" s="3"/>
      <c r="M662" s="3"/>
      <c r="N662" s="3"/>
      <c r="O662" s="3"/>
      <c r="P662" s="3"/>
      <c r="Q662" s="3"/>
      <c r="R662" s="3"/>
      <c r="S662" s="3"/>
    </row>
    <row r="663" spans="3:19" ht="15.75" customHeight="1" x14ac:dyDescent="0.2">
      <c r="C663" s="208">
        <v>43732</v>
      </c>
      <c r="D663" s="19">
        <v>0.53333333333333333</v>
      </c>
      <c r="E663" s="3">
        <v>30</v>
      </c>
      <c r="F663" s="24">
        <v>8.5500000000000007</v>
      </c>
      <c r="G663" s="3">
        <v>69.099999999999994</v>
      </c>
      <c r="H663" s="7">
        <v>6.3</v>
      </c>
      <c r="I663" s="7"/>
      <c r="L663" s="3"/>
      <c r="M663" s="3"/>
      <c r="N663" s="3"/>
      <c r="O663" s="3"/>
      <c r="P663" s="3"/>
      <c r="Q663" s="3"/>
      <c r="R663" s="3"/>
      <c r="S663" s="3"/>
    </row>
    <row r="664" spans="3:19" ht="15.75" customHeight="1" x14ac:dyDescent="0.2">
      <c r="C664" s="208">
        <v>43732</v>
      </c>
      <c r="D664" s="19">
        <v>0.53333333333333333</v>
      </c>
      <c r="E664" s="3">
        <v>32</v>
      </c>
      <c r="F664" s="24">
        <v>8.5299999999999994</v>
      </c>
      <c r="G664" s="3">
        <v>68.8</v>
      </c>
      <c r="H664" s="7">
        <v>6.2</v>
      </c>
      <c r="I664" s="7"/>
      <c r="L664" s="3"/>
      <c r="M664" s="3"/>
      <c r="N664" s="3"/>
      <c r="O664" s="3"/>
      <c r="P664" s="3"/>
      <c r="Q664" s="3"/>
      <c r="R664" s="3"/>
      <c r="S664" s="3"/>
    </row>
    <row r="665" spans="3:19" ht="15.75" customHeight="1" x14ac:dyDescent="0.2">
      <c r="C665" s="208">
        <v>43732</v>
      </c>
      <c r="D665" s="19">
        <v>0.53333333333333333</v>
      </c>
      <c r="E665" s="3">
        <v>34</v>
      </c>
      <c r="F665" s="24">
        <v>8.4700000000000006</v>
      </c>
      <c r="G665" s="3">
        <v>68</v>
      </c>
      <c r="H665" s="7">
        <v>6</v>
      </c>
      <c r="I665" s="7"/>
      <c r="L665" s="3"/>
      <c r="M665" s="3"/>
      <c r="N665" s="3"/>
      <c r="O665" s="3"/>
      <c r="P665" s="3"/>
      <c r="Q665" s="3"/>
      <c r="R665" s="3"/>
      <c r="S665" s="3"/>
    </row>
    <row r="666" spans="3:19" ht="15.75" customHeight="1" x14ac:dyDescent="0.2">
      <c r="C666" s="208">
        <v>43732</v>
      </c>
      <c r="D666" s="19">
        <v>0.53333333333333333</v>
      </c>
      <c r="E666" s="3">
        <v>36</v>
      </c>
      <c r="F666" s="24">
        <v>8.43</v>
      </c>
      <c r="G666" s="3">
        <v>67.5</v>
      </c>
      <c r="H666" s="7">
        <v>5.9</v>
      </c>
      <c r="I666" s="7"/>
      <c r="L666" s="3"/>
      <c r="M666" s="3"/>
      <c r="N666" s="3"/>
      <c r="O666" s="3"/>
      <c r="P666" s="3"/>
      <c r="Q666" s="3"/>
      <c r="R666" s="3"/>
      <c r="S666" s="3"/>
    </row>
    <row r="667" spans="3:19" ht="15.75" customHeight="1" x14ac:dyDescent="0.2">
      <c r="C667" s="208">
        <v>43732</v>
      </c>
      <c r="D667" s="19">
        <v>0.53333333333333333</v>
      </c>
      <c r="E667" s="3">
        <v>38</v>
      </c>
      <c r="F667" s="24">
        <v>8.3800000000000008</v>
      </c>
      <c r="G667" s="3">
        <v>66.599999999999994</v>
      </c>
      <c r="H667" s="7">
        <v>5.9</v>
      </c>
      <c r="I667" s="7"/>
      <c r="L667" s="3"/>
      <c r="M667" s="3"/>
      <c r="N667" s="3"/>
      <c r="O667" s="3"/>
      <c r="P667" s="3"/>
      <c r="Q667" s="3"/>
      <c r="R667" s="3"/>
      <c r="S667" s="3"/>
    </row>
    <row r="668" spans="3:19" ht="15.75" customHeight="1" x14ac:dyDescent="0.2">
      <c r="C668" s="208">
        <v>43732</v>
      </c>
      <c r="D668" s="19">
        <v>0.53333333333333333</v>
      </c>
      <c r="E668" s="3">
        <v>40</v>
      </c>
      <c r="F668" s="24">
        <v>8.25</v>
      </c>
      <c r="G668" s="3">
        <v>65.8</v>
      </c>
      <c r="H668" s="7">
        <v>5.8</v>
      </c>
      <c r="I668" s="7"/>
      <c r="L668" s="3"/>
      <c r="M668" s="3"/>
      <c r="N668" s="3"/>
      <c r="O668" s="3"/>
      <c r="P668" s="3"/>
      <c r="Q668" s="3"/>
      <c r="R668" s="3"/>
      <c r="S668" s="3"/>
    </row>
    <row r="669" spans="3:19" ht="15.75" customHeight="1" x14ac:dyDescent="0.2">
      <c r="C669" s="208">
        <v>43732</v>
      </c>
      <c r="D669" s="19">
        <v>0.53333333333333333</v>
      </c>
      <c r="E669" s="3">
        <v>42</v>
      </c>
      <c r="F669" s="24">
        <v>8.07</v>
      </c>
      <c r="G669" s="3">
        <v>63.6</v>
      </c>
      <c r="H669" s="7">
        <v>5.8</v>
      </c>
      <c r="I669" s="7"/>
      <c r="L669" s="3"/>
      <c r="M669" s="3"/>
      <c r="N669" s="3"/>
      <c r="O669" s="3"/>
      <c r="P669" s="3"/>
      <c r="Q669" s="3"/>
      <c r="R669" s="3"/>
      <c r="S669" s="3"/>
    </row>
    <row r="670" spans="3:19" ht="15.75" customHeight="1" x14ac:dyDescent="0.2">
      <c r="C670" s="208">
        <v>43732</v>
      </c>
      <c r="D670" s="19">
        <v>0.53333333333333333</v>
      </c>
      <c r="E670" s="3">
        <v>44</v>
      </c>
      <c r="F670" s="24">
        <v>7.44</v>
      </c>
      <c r="G670" s="3">
        <v>58.6</v>
      </c>
      <c r="H670" s="7">
        <v>5.8</v>
      </c>
      <c r="I670" s="7"/>
      <c r="L670" s="3"/>
      <c r="M670" s="3"/>
      <c r="N670" s="3"/>
      <c r="O670" s="3"/>
      <c r="P670" s="3"/>
      <c r="Q670" s="3"/>
      <c r="R670" s="3"/>
      <c r="S670" s="3"/>
    </row>
    <row r="671" spans="3:19" ht="15.75" customHeight="1" x14ac:dyDescent="0.2">
      <c r="C671" s="208"/>
      <c r="D671" s="19"/>
      <c r="E671" s="3"/>
      <c r="G671" s="3"/>
      <c r="H671" s="7"/>
      <c r="I671" s="7"/>
      <c r="L671" s="3"/>
      <c r="M671" s="3"/>
      <c r="N671" s="3"/>
      <c r="O671" s="3"/>
      <c r="P671" s="3"/>
      <c r="Q671" s="3"/>
      <c r="R671" s="3"/>
      <c r="S671" s="3"/>
    </row>
    <row r="672" spans="3:19" ht="15.75" customHeight="1" x14ac:dyDescent="0.2">
      <c r="C672" s="208">
        <v>43270</v>
      </c>
      <c r="D672" s="19">
        <v>0.37847222222222227</v>
      </c>
      <c r="G672" s="3"/>
      <c r="H672" s="3"/>
      <c r="I672" s="3"/>
      <c r="J672">
        <v>6.5</v>
      </c>
      <c r="K672">
        <v>8.5</v>
      </c>
      <c r="L672" s="3"/>
      <c r="M672" s="3"/>
      <c r="N672" s="3"/>
      <c r="O672" s="3"/>
      <c r="P672" s="3"/>
      <c r="Q672" s="3"/>
      <c r="R672" s="3"/>
      <c r="S672" s="3"/>
    </row>
    <row r="673" spans="3:19" ht="15.75" customHeight="1" x14ac:dyDescent="0.2">
      <c r="C673" s="208">
        <v>43270</v>
      </c>
      <c r="D673" s="19">
        <v>0.3888888888888889</v>
      </c>
      <c r="E673" s="3">
        <v>0.1</v>
      </c>
      <c r="F673" s="24">
        <v>8.4600000000000009</v>
      </c>
      <c r="G673" s="3">
        <v>84.1</v>
      </c>
      <c r="H673" s="7">
        <v>15</v>
      </c>
      <c r="I673" s="7">
        <v>15</v>
      </c>
      <c r="J673" s="7"/>
      <c r="L673" s="3"/>
      <c r="M673" s="3"/>
      <c r="N673" s="3"/>
      <c r="O673" s="3"/>
      <c r="P673" s="3"/>
      <c r="Q673" s="3"/>
      <c r="R673" s="3"/>
      <c r="S673" s="3"/>
    </row>
    <row r="674" spans="3:19" ht="15.75" customHeight="1" x14ac:dyDescent="0.2">
      <c r="C674" s="208">
        <v>43270</v>
      </c>
      <c r="D674" s="19">
        <v>0.3888888888888889</v>
      </c>
      <c r="E674" s="3">
        <v>1</v>
      </c>
      <c r="F674" s="24">
        <v>8.5299999999999994</v>
      </c>
      <c r="G674" s="3">
        <v>84.1</v>
      </c>
      <c r="H674" s="3">
        <v>14.7</v>
      </c>
      <c r="I674" s="3">
        <v>14.7</v>
      </c>
      <c r="J674" s="3"/>
      <c r="L674" s="3"/>
      <c r="M674" s="3"/>
      <c r="N674" s="3"/>
      <c r="O674" s="3"/>
      <c r="P674" s="3"/>
      <c r="Q674" s="3"/>
      <c r="R674" s="3"/>
      <c r="S674" s="3"/>
    </row>
    <row r="675" spans="3:19" ht="15.75" customHeight="1" x14ac:dyDescent="0.2">
      <c r="C675" s="208">
        <v>43270</v>
      </c>
      <c r="D675" s="19">
        <v>0.3888888888888889</v>
      </c>
      <c r="E675" s="3">
        <v>2</v>
      </c>
      <c r="F675" s="24">
        <v>8.59</v>
      </c>
      <c r="G675" s="3">
        <v>83.7</v>
      </c>
      <c r="H675" s="3">
        <v>14.2</v>
      </c>
      <c r="I675" s="3">
        <v>14.2</v>
      </c>
      <c r="J675" s="3"/>
      <c r="L675" s="3"/>
      <c r="M675" s="3"/>
      <c r="N675" s="3"/>
      <c r="O675" s="3"/>
      <c r="P675" s="3"/>
      <c r="Q675" s="3"/>
      <c r="R675" s="3"/>
      <c r="S675" s="3"/>
    </row>
    <row r="676" spans="3:19" ht="15.75" customHeight="1" x14ac:dyDescent="0.2">
      <c r="C676" s="208">
        <v>43270</v>
      </c>
      <c r="D676" s="19">
        <v>0.3888888888888889</v>
      </c>
      <c r="E676" s="3">
        <v>3</v>
      </c>
      <c r="F676" s="24">
        <v>8.64</v>
      </c>
      <c r="G676" s="3">
        <v>83.2</v>
      </c>
      <c r="H676" s="3">
        <v>13.6</v>
      </c>
      <c r="I676" s="3">
        <v>13.6</v>
      </c>
      <c r="J676" s="3"/>
      <c r="L676" s="3"/>
      <c r="M676" s="3"/>
      <c r="N676" s="3"/>
      <c r="O676" s="3"/>
      <c r="P676" s="3"/>
      <c r="Q676" s="3"/>
      <c r="R676" s="3"/>
      <c r="S676" s="3"/>
    </row>
    <row r="677" spans="3:19" ht="15.75" customHeight="1" x14ac:dyDescent="0.2">
      <c r="C677" s="208">
        <v>43270</v>
      </c>
      <c r="D677" s="19">
        <v>0.3888888888888889</v>
      </c>
      <c r="E677" s="3">
        <v>4</v>
      </c>
      <c r="F677" s="24">
        <v>8.69</v>
      </c>
      <c r="G677" s="3">
        <v>83.3</v>
      </c>
      <c r="H677" s="3">
        <v>13.4</v>
      </c>
      <c r="I677" s="3">
        <v>13.4</v>
      </c>
      <c r="J677" s="3"/>
      <c r="L677" s="3"/>
      <c r="M677" s="3"/>
      <c r="N677" s="3"/>
      <c r="O677" s="3"/>
      <c r="P677" s="3"/>
      <c r="Q677" s="3"/>
      <c r="R677" s="3"/>
      <c r="S677" s="3"/>
    </row>
    <row r="678" spans="3:19" ht="15.75" customHeight="1" x14ac:dyDescent="0.2">
      <c r="C678" s="208">
        <v>43270</v>
      </c>
      <c r="D678" s="19">
        <v>0.3888888888888889</v>
      </c>
      <c r="E678" s="3">
        <v>5</v>
      </c>
      <c r="F678" s="24">
        <v>8.75</v>
      </c>
      <c r="G678" s="3">
        <v>83.2</v>
      </c>
      <c r="H678" s="3">
        <v>13.1</v>
      </c>
      <c r="I678" s="3">
        <v>13.1</v>
      </c>
      <c r="J678" s="3"/>
      <c r="L678" s="3"/>
      <c r="M678" s="3"/>
      <c r="N678" s="3"/>
      <c r="O678" s="3"/>
      <c r="P678" s="3"/>
      <c r="Q678" s="3"/>
      <c r="R678" s="3"/>
      <c r="S678" s="3"/>
    </row>
    <row r="679" spans="3:19" ht="15.75" customHeight="1" x14ac:dyDescent="0.2">
      <c r="C679" s="208">
        <v>43270</v>
      </c>
      <c r="D679" s="19">
        <v>0.3888888888888889</v>
      </c>
      <c r="E679" s="3">
        <v>6</v>
      </c>
      <c r="F679" s="24">
        <v>8.76</v>
      </c>
      <c r="G679" s="3">
        <v>83</v>
      </c>
      <c r="H679" s="3">
        <v>12.9</v>
      </c>
      <c r="I679" s="3">
        <v>12.9</v>
      </c>
      <c r="J679" s="3"/>
      <c r="L679" s="3"/>
      <c r="M679" s="3"/>
      <c r="N679" s="3"/>
      <c r="O679" s="3"/>
      <c r="P679" s="3"/>
      <c r="Q679" s="3"/>
      <c r="R679" s="3"/>
      <c r="S679" s="3"/>
    </row>
    <row r="680" spans="3:19" ht="15.75" customHeight="1" x14ac:dyDescent="0.2">
      <c r="C680" s="208">
        <v>43270</v>
      </c>
      <c r="D680" s="19">
        <v>0.3888888888888889</v>
      </c>
      <c r="E680" s="3">
        <v>7</v>
      </c>
      <c r="F680" s="24">
        <v>8.86</v>
      </c>
      <c r="G680" s="3">
        <v>82.5</v>
      </c>
      <c r="H680" s="3">
        <v>12.1</v>
      </c>
      <c r="I680" s="3">
        <v>12.1</v>
      </c>
      <c r="J680" s="3"/>
      <c r="L680" s="3"/>
      <c r="M680" s="3"/>
      <c r="N680" s="3"/>
      <c r="O680" s="3"/>
      <c r="P680" s="3"/>
      <c r="Q680" s="3"/>
      <c r="R680" s="3"/>
      <c r="S680" s="3"/>
    </row>
    <row r="681" spans="3:19" ht="15.75" customHeight="1" x14ac:dyDescent="0.2">
      <c r="C681" s="208">
        <v>43270</v>
      </c>
      <c r="D681" s="19">
        <v>0.3888888888888889</v>
      </c>
      <c r="E681" s="3">
        <v>8</v>
      </c>
      <c r="F681" s="24">
        <v>9.07</v>
      </c>
      <c r="G681" s="3">
        <v>81.7</v>
      </c>
      <c r="H681" s="3">
        <v>10.7</v>
      </c>
      <c r="I681" s="17">
        <f>AVERAGE(I673:I680)</f>
        <v>13.625</v>
      </c>
      <c r="J681" s="17"/>
      <c r="L681" s="3"/>
      <c r="M681" s="3"/>
      <c r="N681" s="3"/>
      <c r="O681" s="3"/>
      <c r="P681" s="3"/>
      <c r="Q681" s="3"/>
      <c r="R681" s="3"/>
      <c r="S681" s="3"/>
    </row>
    <row r="682" spans="3:19" ht="15.75" customHeight="1" x14ac:dyDescent="0.2">
      <c r="C682" s="208">
        <v>43270</v>
      </c>
      <c r="D682" s="19">
        <v>0.3888888888888889</v>
      </c>
      <c r="E682" s="3">
        <v>10</v>
      </c>
      <c r="F682" s="24">
        <v>9.16</v>
      </c>
      <c r="G682" s="3">
        <v>80.2</v>
      </c>
      <c r="H682" s="3">
        <v>9.5</v>
      </c>
      <c r="I682" s="3"/>
      <c r="L682" s="3"/>
      <c r="M682" s="3"/>
      <c r="N682" s="3"/>
      <c r="O682" s="3"/>
      <c r="P682" s="3"/>
      <c r="Q682" s="3"/>
      <c r="R682" s="3"/>
      <c r="S682" s="3"/>
    </row>
    <row r="683" spans="3:19" ht="15.75" customHeight="1" x14ac:dyDescent="0.2">
      <c r="C683" s="208">
        <v>43270</v>
      </c>
      <c r="D683" s="19">
        <v>0.3888888888888889</v>
      </c>
      <c r="E683" s="3">
        <v>12</v>
      </c>
      <c r="F683" s="24">
        <v>9.18</v>
      </c>
      <c r="G683" s="3">
        <v>76.8</v>
      </c>
      <c r="H683" s="3">
        <v>7.7</v>
      </c>
      <c r="I683" s="3"/>
      <c r="L683" s="3"/>
      <c r="M683" s="3"/>
      <c r="N683" s="3"/>
      <c r="O683" s="3"/>
      <c r="P683" s="3"/>
      <c r="Q683" s="3"/>
      <c r="R683" s="3"/>
      <c r="S683" s="3"/>
    </row>
    <row r="684" spans="3:19" ht="15.75" customHeight="1" x14ac:dyDescent="0.2">
      <c r="C684" s="208">
        <v>43270</v>
      </c>
      <c r="D684" s="19">
        <v>0.3888888888888889</v>
      </c>
      <c r="E684" s="3">
        <v>14</v>
      </c>
      <c r="F684" s="24">
        <v>9.26</v>
      </c>
      <c r="G684" s="3">
        <v>75.900000000000006</v>
      </c>
      <c r="H684" s="3">
        <v>6.8</v>
      </c>
      <c r="I684" s="3"/>
      <c r="L684" s="3"/>
      <c r="M684" s="3"/>
      <c r="N684" s="3"/>
      <c r="O684" s="3"/>
      <c r="P684" s="3"/>
      <c r="Q684" s="3"/>
      <c r="R684" s="3"/>
      <c r="S684" s="3"/>
    </row>
    <row r="685" spans="3:19" ht="15.75" customHeight="1" x14ac:dyDescent="0.2">
      <c r="C685" s="208">
        <v>43270</v>
      </c>
      <c r="D685" s="19">
        <v>0.3888888888888889</v>
      </c>
      <c r="E685" s="3">
        <v>16</v>
      </c>
      <c r="F685" s="24">
        <v>9.2899999999999991</v>
      </c>
      <c r="G685" s="3">
        <v>75.599999999999994</v>
      </c>
      <c r="H685" s="3">
        <v>6.5</v>
      </c>
      <c r="I685" s="3"/>
      <c r="L685" s="3"/>
      <c r="M685" s="3"/>
      <c r="N685" s="3"/>
      <c r="O685" s="3"/>
      <c r="P685" s="3"/>
      <c r="Q685" s="3"/>
      <c r="R685" s="3"/>
      <c r="S685" s="3"/>
    </row>
    <row r="686" spans="3:19" ht="15.75" customHeight="1" x14ac:dyDescent="0.2">
      <c r="C686" s="208">
        <v>43270</v>
      </c>
      <c r="D686" s="19">
        <v>0.3888888888888889</v>
      </c>
      <c r="E686" s="3">
        <v>18</v>
      </c>
      <c r="F686" s="24">
        <v>9.2799999999999994</v>
      </c>
      <c r="G686" s="3">
        <v>74.599999999999994</v>
      </c>
      <c r="H686" s="3">
        <v>6.1</v>
      </c>
      <c r="I686" s="3"/>
      <c r="L686" s="3"/>
      <c r="M686" s="3"/>
      <c r="N686" s="3"/>
      <c r="O686" s="3"/>
      <c r="P686" s="3"/>
      <c r="Q686" s="3"/>
      <c r="R686" s="3"/>
      <c r="S686" s="3"/>
    </row>
    <row r="687" spans="3:19" ht="15.75" customHeight="1" x14ac:dyDescent="0.2">
      <c r="C687" s="208">
        <v>43270</v>
      </c>
      <c r="D687" s="19">
        <v>0.3888888888888889</v>
      </c>
      <c r="E687" s="3">
        <v>20</v>
      </c>
      <c r="F687" s="24">
        <v>9.23</v>
      </c>
      <c r="G687" s="3">
        <v>74</v>
      </c>
      <c r="H687" s="3">
        <v>5.9</v>
      </c>
      <c r="I687" s="3"/>
      <c r="L687" s="3"/>
      <c r="M687" s="3"/>
      <c r="N687" s="3"/>
      <c r="O687" s="3"/>
      <c r="P687" s="3"/>
      <c r="Q687" s="3"/>
      <c r="R687" s="3"/>
      <c r="S687" s="3"/>
    </row>
    <row r="688" spans="3:19" ht="15.75" customHeight="1" x14ac:dyDescent="0.2">
      <c r="C688" s="208">
        <v>43270</v>
      </c>
      <c r="D688" s="19">
        <v>0.3888888888888889</v>
      </c>
      <c r="E688" s="3">
        <v>22</v>
      </c>
      <c r="F688" s="24">
        <v>9.23</v>
      </c>
      <c r="G688" s="3">
        <v>73.5</v>
      </c>
      <c r="H688" s="3">
        <v>5.7</v>
      </c>
      <c r="I688" s="3"/>
      <c r="L688" s="3"/>
      <c r="M688" s="3"/>
      <c r="N688" s="3"/>
      <c r="O688" s="3"/>
      <c r="P688" s="3"/>
      <c r="Q688" s="3"/>
      <c r="R688" s="3"/>
      <c r="S688" s="3"/>
    </row>
    <row r="689" spans="3:19" ht="15.75" customHeight="1" x14ac:dyDescent="0.2">
      <c r="C689" s="208">
        <v>43270</v>
      </c>
      <c r="D689" s="19">
        <v>0.3888888888888889</v>
      </c>
      <c r="E689" s="3">
        <v>24</v>
      </c>
      <c r="F689" s="24">
        <v>9.1999999999999993</v>
      </c>
      <c r="G689" s="3">
        <v>73</v>
      </c>
      <c r="H689" s="3">
        <v>5.6</v>
      </c>
      <c r="I689" s="3"/>
      <c r="L689" s="3"/>
      <c r="M689" s="3"/>
      <c r="N689" s="3"/>
      <c r="O689" s="3"/>
      <c r="P689" s="3"/>
      <c r="Q689" s="3"/>
      <c r="R689" s="3"/>
      <c r="S689" s="3"/>
    </row>
    <row r="690" spans="3:19" ht="15.75" customHeight="1" x14ac:dyDescent="0.2">
      <c r="C690" s="208">
        <v>43270</v>
      </c>
      <c r="D690" s="19">
        <v>0.3888888888888889</v>
      </c>
      <c r="E690" s="3">
        <v>26</v>
      </c>
      <c r="F690" s="24">
        <v>9.18</v>
      </c>
      <c r="G690" s="3">
        <v>72.8</v>
      </c>
      <c r="H690" s="3">
        <v>5.5</v>
      </c>
      <c r="I690" s="3"/>
      <c r="L690" s="3"/>
      <c r="M690" s="3"/>
      <c r="N690" s="3"/>
      <c r="O690" s="3"/>
      <c r="P690" s="3"/>
      <c r="Q690" s="3"/>
      <c r="R690" s="3"/>
      <c r="S690" s="3"/>
    </row>
    <row r="691" spans="3:19" ht="15.75" customHeight="1" x14ac:dyDescent="0.2">
      <c r="C691" s="208">
        <v>43270</v>
      </c>
      <c r="D691" s="19">
        <v>0.3888888888888889</v>
      </c>
      <c r="E691" s="3">
        <v>28</v>
      </c>
      <c r="F691" s="24">
        <v>9.17</v>
      </c>
      <c r="G691" s="3">
        <v>72.599999999999994</v>
      </c>
      <c r="H691" s="3">
        <v>5.4</v>
      </c>
      <c r="I691" s="3"/>
      <c r="L691" s="3"/>
      <c r="M691" s="3"/>
      <c r="N691" s="3"/>
      <c r="O691" s="3"/>
      <c r="P691" s="3"/>
      <c r="Q691" s="3"/>
      <c r="R691" s="3"/>
      <c r="S691" s="3"/>
    </row>
    <row r="692" spans="3:19" ht="15.75" customHeight="1" x14ac:dyDescent="0.2">
      <c r="C692" s="208">
        <v>43270</v>
      </c>
      <c r="D692" s="19">
        <v>0.3888888888888889</v>
      </c>
      <c r="E692" s="3">
        <v>30</v>
      </c>
      <c r="F692" s="24">
        <v>9.14</v>
      </c>
      <c r="G692" s="3">
        <v>72.3</v>
      </c>
      <c r="H692" s="3">
        <v>5.4</v>
      </c>
      <c r="I692" s="3"/>
      <c r="L692" s="3"/>
      <c r="M692" s="3"/>
      <c r="N692" s="3"/>
      <c r="O692" s="3"/>
      <c r="P692" s="3"/>
      <c r="Q692" s="3"/>
      <c r="R692" s="3"/>
      <c r="S692" s="3"/>
    </row>
    <row r="693" spans="3:19" ht="15.75" customHeight="1" x14ac:dyDescent="0.2">
      <c r="C693" s="208">
        <v>43270</v>
      </c>
      <c r="D693" s="19">
        <v>0.3888888888888889</v>
      </c>
      <c r="E693" s="3">
        <v>32</v>
      </c>
      <c r="F693" s="24">
        <v>9.11</v>
      </c>
      <c r="G693" s="3">
        <v>71.900000000000006</v>
      </c>
      <c r="H693" s="3">
        <v>5.3</v>
      </c>
      <c r="I693" s="3"/>
      <c r="L693" s="3"/>
      <c r="M693" s="3"/>
      <c r="N693" s="3"/>
      <c r="O693" s="3"/>
      <c r="P693" s="3"/>
      <c r="Q693" s="3"/>
      <c r="R693" s="3"/>
      <c r="S693" s="3"/>
    </row>
    <row r="694" spans="3:19" ht="15.75" customHeight="1" x14ac:dyDescent="0.2">
      <c r="C694" s="208">
        <v>43270</v>
      </c>
      <c r="D694" s="19">
        <v>0.3888888888888889</v>
      </c>
      <c r="E694" s="3">
        <v>34</v>
      </c>
      <c r="F694" s="24">
        <v>9.08</v>
      </c>
      <c r="G694" s="3">
        <v>71.7</v>
      </c>
      <c r="H694" s="3">
        <v>5.3</v>
      </c>
      <c r="I694" s="3"/>
      <c r="L694" s="3"/>
      <c r="M694" s="3"/>
      <c r="N694" s="3"/>
      <c r="O694" s="3"/>
      <c r="P694" s="3"/>
      <c r="Q694" s="3"/>
      <c r="R694" s="3"/>
      <c r="S694" s="3"/>
    </row>
    <row r="695" spans="3:19" ht="15.75" customHeight="1" x14ac:dyDescent="0.2">
      <c r="C695" s="208">
        <v>43270</v>
      </c>
      <c r="D695" s="19">
        <v>0.3888888888888889</v>
      </c>
      <c r="E695" s="3">
        <v>36</v>
      </c>
      <c r="F695" s="24">
        <v>9.02</v>
      </c>
      <c r="G695" s="3">
        <v>70.8</v>
      </c>
      <c r="H695" s="3">
        <v>5.2</v>
      </c>
      <c r="I695" s="3"/>
      <c r="L695" s="3"/>
      <c r="M695" s="3"/>
      <c r="N695" s="3"/>
      <c r="O695" s="3"/>
      <c r="P695" s="3"/>
      <c r="Q695" s="3"/>
      <c r="R695" s="3"/>
      <c r="S695" s="3"/>
    </row>
    <row r="696" spans="3:19" ht="15.75" customHeight="1" x14ac:dyDescent="0.2">
      <c r="C696" s="208"/>
      <c r="D696" s="3"/>
      <c r="E696" s="3"/>
      <c r="G696" s="3"/>
      <c r="H696" s="3"/>
      <c r="I696" s="3"/>
      <c r="L696" s="3"/>
      <c r="M696" s="3"/>
      <c r="N696" s="3"/>
      <c r="O696" s="3"/>
      <c r="P696" s="3"/>
      <c r="Q696" s="3"/>
      <c r="R696" s="3"/>
      <c r="S696" s="3"/>
    </row>
    <row r="697" spans="3:19" ht="15.75" customHeight="1" x14ac:dyDescent="0.2">
      <c r="C697" s="208">
        <v>43304</v>
      </c>
      <c r="D697" s="19">
        <v>0.3923611111111111</v>
      </c>
      <c r="E697" s="3"/>
      <c r="G697" s="3"/>
      <c r="H697" s="3"/>
      <c r="I697" s="3"/>
      <c r="J697">
        <v>11</v>
      </c>
      <c r="K697">
        <v>13</v>
      </c>
      <c r="L697" s="3"/>
      <c r="M697" s="3"/>
      <c r="N697" s="3"/>
      <c r="O697" s="3"/>
      <c r="P697" s="3"/>
      <c r="Q697" s="3"/>
      <c r="R697" s="3"/>
      <c r="S697" s="3"/>
    </row>
    <row r="698" spans="3:19" ht="15.75" customHeight="1" x14ac:dyDescent="0.2">
      <c r="C698" s="208">
        <v>43304</v>
      </c>
      <c r="D698" s="19">
        <v>0.40277777777777773</v>
      </c>
      <c r="E698" s="3">
        <v>0.1</v>
      </c>
      <c r="F698" s="24">
        <v>7.19</v>
      </c>
      <c r="G698" s="3">
        <v>83.3</v>
      </c>
      <c r="H698" s="3">
        <v>22.7</v>
      </c>
      <c r="I698" s="3">
        <v>22.7</v>
      </c>
      <c r="J698" s="3"/>
      <c r="L698" s="3"/>
      <c r="M698" s="3"/>
      <c r="N698" s="3"/>
      <c r="O698" s="3"/>
      <c r="P698" s="3"/>
      <c r="Q698" s="3"/>
      <c r="R698" s="3"/>
      <c r="S698" s="3"/>
    </row>
    <row r="699" spans="3:19" ht="15.75" customHeight="1" x14ac:dyDescent="0.2">
      <c r="C699" s="208">
        <v>43304</v>
      </c>
      <c r="D699" s="19">
        <v>0.40277777777777773</v>
      </c>
      <c r="E699" s="3">
        <v>1</v>
      </c>
      <c r="F699" s="24">
        <v>7.22</v>
      </c>
      <c r="G699" s="3">
        <v>83.4</v>
      </c>
      <c r="H699" s="3">
        <v>22.5</v>
      </c>
      <c r="I699" s="3">
        <v>22.5</v>
      </c>
      <c r="J699" s="3"/>
      <c r="L699" s="3"/>
      <c r="M699" s="3"/>
      <c r="N699" s="3"/>
      <c r="O699" s="3"/>
      <c r="P699" s="3"/>
      <c r="Q699" s="3"/>
      <c r="R699" s="3"/>
      <c r="S699" s="3"/>
    </row>
    <row r="700" spans="3:19" ht="15.75" customHeight="1" x14ac:dyDescent="0.2">
      <c r="C700" s="208">
        <v>43304</v>
      </c>
      <c r="D700" s="19">
        <v>0.40277777777777773</v>
      </c>
      <c r="E700" s="3">
        <v>2</v>
      </c>
      <c r="F700" s="24">
        <v>7.23</v>
      </c>
      <c r="G700" s="3">
        <v>83.3</v>
      </c>
      <c r="H700" s="3">
        <v>22.4</v>
      </c>
      <c r="I700" s="3">
        <v>22.4</v>
      </c>
      <c r="J700" s="3"/>
      <c r="L700" s="3"/>
      <c r="M700" s="3"/>
      <c r="N700" s="3"/>
      <c r="O700" s="3"/>
      <c r="P700" s="3"/>
      <c r="Q700" s="3"/>
      <c r="R700" s="3"/>
      <c r="S700" s="3"/>
    </row>
    <row r="701" spans="3:19" ht="15.75" customHeight="1" x14ac:dyDescent="0.2">
      <c r="C701" s="208">
        <v>43304</v>
      </c>
      <c r="D701" s="19">
        <v>0.40277777777777773</v>
      </c>
      <c r="E701" s="3">
        <v>3</v>
      </c>
      <c r="F701" s="24">
        <v>7.23</v>
      </c>
      <c r="G701" s="3">
        <v>83.2</v>
      </c>
      <c r="H701" s="3">
        <v>22.3</v>
      </c>
      <c r="I701" s="3">
        <v>22.3</v>
      </c>
      <c r="J701" s="3"/>
      <c r="L701" s="3"/>
      <c r="M701" s="3"/>
      <c r="N701" s="3"/>
      <c r="O701" s="3"/>
      <c r="P701" s="3"/>
      <c r="Q701" s="3"/>
      <c r="R701" s="3"/>
      <c r="S701" s="3"/>
    </row>
    <row r="702" spans="3:19" ht="15.75" customHeight="1" x14ac:dyDescent="0.2">
      <c r="C702" s="208">
        <v>43304</v>
      </c>
      <c r="D702" s="19">
        <v>0.40277777777777773</v>
      </c>
      <c r="E702" s="3">
        <v>4</v>
      </c>
      <c r="F702" s="24">
        <v>7.23</v>
      </c>
      <c r="G702" s="3">
        <v>83</v>
      </c>
      <c r="H702" s="3">
        <v>22.2</v>
      </c>
      <c r="I702" s="3">
        <v>22.2</v>
      </c>
      <c r="J702" s="3"/>
      <c r="L702" s="3"/>
      <c r="M702" s="3"/>
      <c r="N702" s="3"/>
      <c r="O702" s="3"/>
      <c r="P702" s="3"/>
      <c r="Q702" s="3"/>
      <c r="R702" s="3"/>
      <c r="S702" s="3"/>
    </row>
    <row r="703" spans="3:19" ht="15.75" customHeight="1" x14ac:dyDescent="0.2">
      <c r="C703" s="208">
        <v>43304</v>
      </c>
      <c r="D703" s="19">
        <v>0.40277777777777773</v>
      </c>
      <c r="E703" s="3">
        <v>5</v>
      </c>
      <c r="F703" s="24">
        <v>7.22</v>
      </c>
      <c r="G703" s="3">
        <v>82.8</v>
      </c>
      <c r="H703" s="3">
        <v>22.2</v>
      </c>
      <c r="I703" s="3">
        <v>22.2</v>
      </c>
      <c r="J703" s="3"/>
      <c r="L703" s="3"/>
      <c r="M703" s="3"/>
      <c r="N703" s="3"/>
      <c r="O703" s="3"/>
      <c r="P703" s="3"/>
      <c r="Q703" s="3"/>
      <c r="R703" s="3"/>
      <c r="S703" s="3"/>
    </row>
    <row r="704" spans="3:19" ht="15.75" customHeight="1" x14ac:dyDescent="0.2">
      <c r="C704" s="208">
        <v>43304</v>
      </c>
      <c r="D704" s="19">
        <v>0.40277777777777773</v>
      </c>
      <c r="E704" s="3">
        <v>6</v>
      </c>
      <c r="F704" s="24">
        <v>7.21</v>
      </c>
      <c r="G704" s="3">
        <v>82.6</v>
      </c>
      <c r="H704" s="3">
        <v>22.1</v>
      </c>
      <c r="I704" s="3">
        <v>22.1</v>
      </c>
      <c r="J704" s="3"/>
      <c r="L704" s="3"/>
      <c r="M704" s="3"/>
      <c r="N704" s="3"/>
      <c r="O704" s="3"/>
      <c r="P704" s="3"/>
      <c r="Q704" s="3"/>
      <c r="R704" s="3"/>
      <c r="S704" s="3"/>
    </row>
    <row r="705" spans="3:19" ht="15.75" customHeight="1" x14ac:dyDescent="0.2">
      <c r="C705" s="208">
        <v>43304</v>
      </c>
      <c r="D705" s="19">
        <v>0.40277777777777773</v>
      </c>
      <c r="E705" s="3">
        <v>7</v>
      </c>
      <c r="F705" s="24">
        <v>7.25</v>
      </c>
      <c r="G705" s="3">
        <v>82.7</v>
      </c>
      <c r="H705" s="3">
        <v>21.8</v>
      </c>
      <c r="I705" s="3">
        <v>21.8</v>
      </c>
      <c r="J705" s="3"/>
      <c r="L705" s="3"/>
      <c r="M705" s="3"/>
      <c r="N705" s="3"/>
      <c r="O705" s="3"/>
      <c r="P705" s="3"/>
      <c r="Q705" s="3"/>
      <c r="R705" s="3"/>
      <c r="S705" s="3"/>
    </row>
    <row r="706" spans="3:19" ht="15.75" customHeight="1" x14ac:dyDescent="0.2">
      <c r="C706" s="208">
        <v>43304</v>
      </c>
      <c r="D706" s="19">
        <v>0.40277777777777773</v>
      </c>
      <c r="E706" s="3">
        <v>8</v>
      </c>
      <c r="F706" s="24">
        <v>8.18</v>
      </c>
      <c r="G706" s="3">
        <v>86.7</v>
      </c>
      <c r="H706" s="3">
        <v>18.100000000000001</v>
      </c>
      <c r="I706" s="17">
        <f>AVERAGE(I698:I705)</f>
        <v>22.274999999999999</v>
      </c>
      <c r="J706" s="17"/>
      <c r="L706" s="3"/>
      <c r="M706" s="3"/>
      <c r="N706" s="3"/>
      <c r="O706" s="3"/>
      <c r="P706" s="3"/>
      <c r="Q706" s="3"/>
      <c r="R706" s="3"/>
      <c r="S706" s="3"/>
    </row>
    <row r="707" spans="3:19" ht="15.75" customHeight="1" x14ac:dyDescent="0.2">
      <c r="C707" s="208">
        <v>43304</v>
      </c>
      <c r="D707" s="19">
        <v>0.40277777777777773</v>
      </c>
      <c r="E707" s="3">
        <v>10</v>
      </c>
      <c r="F707" s="24">
        <v>8.7899999999999991</v>
      </c>
      <c r="G707" s="3">
        <v>85.6</v>
      </c>
      <c r="H707" s="7">
        <v>14</v>
      </c>
      <c r="I707" s="3"/>
      <c r="L707" s="3"/>
      <c r="M707" s="3"/>
      <c r="N707" s="3"/>
      <c r="O707" s="3"/>
      <c r="P707" s="3"/>
      <c r="Q707" s="3"/>
      <c r="R707" s="3"/>
      <c r="S707" s="3"/>
    </row>
    <row r="708" spans="3:19" ht="15.75" customHeight="1" x14ac:dyDescent="0.2">
      <c r="C708" s="208">
        <v>43304</v>
      </c>
      <c r="D708" s="19">
        <v>0.40277777777777773</v>
      </c>
      <c r="E708" s="3">
        <v>12</v>
      </c>
      <c r="F708" s="24">
        <v>9.0399999999999991</v>
      </c>
      <c r="G708" s="3">
        <v>81.599999999999994</v>
      </c>
      <c r="H708" s="3">
        <v>10.8</v>
      </c>
      <c r="I708" s="3"/>
      <c r="L708" s="3"/>
      <c r="M708" s="3"/>
      <c r="N708" s="3"/>
      <c r="O708" s="3"/>
      <c r="P708" s="3"/>
      <c r="Q708" s="3"/>
      <c r="R708" s="3"/>
      <c r="S708" s="3"/>
    </row>
    <row r="709" spans="3:19" ht="15.75" customHeight="1" x14ac:dyDescent="0.2">
      <c r="C709" s="208">
        <v>43304</v>
      </c>
      <c r="D709" s="19">
        <v>0.40277777777777773</v>
      </c>
      <c r="E709" s="3">
        <v>14</v>
      </c>
      <c r="F709" s="24">
        <v>9.06</v>
      </c>
      <c r="G709" s="3">
        <v>78.5</v>
      </c>
      <c r="H709" s="3">
        <v>9.1</v>
      </c>
      <c r="I709" s="3"/>
      <c r="L709" s="3"/>
      <c r="M709" s="3"/>
      <c r="N709" s="3"/>
      <c r="O709" s="3"/>
      <c r="P709" s="3"/>
      <c r="Q709" s="3"/>
      <c r="R709" s="3"/>
      <c r="S709" s="3"/>
    </row>
    <row r="710" spans="3:19" ht="15.75" customHeight="1" x14ac:dyDescent="0.2">
      <c r="C710" s="208">
        <v>43304</v>
      </c>
      <c r="D710" s="19">
        <v>0.40277777777777773</v>
      </c>
      <c r="E710" s="3">
        <v>16</v>
      </c>
      <c r="F710" s="24">
        <v>9.16</v>
      </c>
      <c r="G710" s="3">
        <v>76.400000000000006</v>
      </c>
      <c r="H710" s="3">
        <v>7.5</v>
      </c>
      <c r="I710" s="3"/>
      <c r="L710" s="3"/>
      <c r="M710" s="3"/>
      <c r="N710" s="3"/>
      <c r="O710" s="3"/>
      <c r="P710" s="3"/>
      <c r="Q710" s="3"/>
      <c r="R710" s="3"/>
      <c r="S710" s="3"/>
    </row>
    <row r="711" spans="3:19" ht="15.75" customHeight="1" x14ac:dyDescent="0.2">
      <c r="C711" s="208">
        <v>43304</v>
      </c>
      <c r="D711" s="19">
        <v>0.40277777777777773</v>
      </c>
      <c r="E711" s="3">
        <v>18</v>
      </c>
      <c r="F711" s="24">
        <v>9.1300000000000008</v>
      </c>
      <c r="G711" s="3">
        <v>74.599999999999994</v>
      </c>
      <c r="H711" s="3">
        <v>6.9</v>
      </c>
      <c r="I711" s="3"/>
      <c r="L711" s="3"/>
      <c r="M711" s="3"/>
      <c r="N711" s="3"/>
      <c r="O711" s="3"/>
      <c r="P711" s="3"/>
      <c r="Q711" s="3"/>
      <c r="R711" s="3"/>
      <c r="S711" s="3"/>
    </row>
    <row r="712" spans="3:19" ht="15.75" customHeight="1" x14ac:dyDescent="0.2">
      <c r="C712" s="208">
        <v>43304</v>
      </c>
      <c r="D712" s="19">
        <v>0.40277777777777773</v>
      </c>
      <c r="E712" s="3">
        <v>20</v>
      </c>
      <c r="F712" s="24">
        <v>9.1</v>
      </c>
      <c r="G712" s="3">
        <v>73.599999999999994</v>
      </c>
      <c r="H712" s="3">
        <v>6.3</v>
      </c>
      <c r="I712" s="3"/>
      <c r="L712" s="3"/>
      <c r="M712" s="3"/>
      <c r="N712" s="3"/>
      <c r="O712" s="3"/>
      <c r="P712" s="3"/>
      <c r="Q712" s="3"/>
      <c r="R712" s="3"/>
      <c r="S712" s="3"/>
    </row>
    <row r="713" spans="3:19" ht="15.75" customHeight="1" x14ac:dyDescent="0.2">
      <c r="C713" s="208">
        <v>43304</v>
      </c>
      <c r="D713" s="19">
        <v>0.40277777777777773</v>
      </c>
      <c r="E713" s="3">
        <v>22</v>
      </c>
      <c r="F713" s="24">
        <v>9.09</v>
      </c>
      <c r="G713" s="3">
        <v>72.900000000000006</v>
      </c>
      <c r="H713" s="7">
        <v>6</v>
      </c>
      <c r="I713" s="3"/>
      <c r="L713" s="3"/>
      <c r="M713" s="3"/>
      <c r="N713" s="3"/>
      <c r="O713" s="3"/>
      <c r="P713" s="3"/>
      <c r="Q713" s="3"/>
      <c r="R713" s="3"/>
      <c r="S713" s="3"/>
    </row>
    <row r="714" spans="3:19" ht="15.75" customHeight="1" x14ac:dyDescent="0.2">
      <c r="C714" s="208">
        <v>43304</v>
      </c>
      <c r="D714" s="19">
        <v>0.40277777777777773</v>
      </c>
      <c r="E714" s="3">
        <v>24</v>
      </c>
      <c r="F714" s="24">
        <v>9.06</v>
      </c>
      <c r="G714" s="3">
        <v>72.3</v>
      </c>
      <c r="H714" s="3">
        <v>5.8</v>
      </c>
      <c r="I714" s="3"/>
      <c r="L714" s="3"/>
      <c r="M714" s="3"/>
      <c r="N714" s="3"/>
      <c r="O714" s="3"/>
      <c r="P714" s="3"/>
      <c r="Q714" s="3"/>
      <c r="R714" s="3"/>
      <c r="S714" s="3"/>
    </row>
    <row r="715" spans="3:19" ht="15.75" customHeight="1" x14ac:dyDescent="0.2">
      <c r="C715" s="208">
        <v>43304</v>
      </c>
      <c r="D715" s="19">
        <v>0.40277777777777773</v>
      </c>
      <c r="E715" s="3">
        <v>26</v>
      </c>
      <c r="F715" s="24">
        <v>9</v>
      </c>
      <c r="G715" s="3">
        <v>71.900000000000006</v>
      </c>
      <c r="H715" s="3">
        <v>5.8</v>
      </c>
      <c r="I715" s="3"/>
      <c r="L715" s="3"/>
      <c r="M715" s="3"/>
      <c r="N715" s="3"/>
      <c r="O715" s="3"/>
      <c r="P715" s="3"/>
      <c r="Q715" s="3"/>
      <c r="R715" s="3"/>
      <c r="S715" s="3"/>
    </row>
    <row r="716" spans="3:19" ht="15.75" customHeight="1" x14ac:dyDescent="0.2">
      <c r="C716" s="208">
        <v>43304</v>
      </c>
      <c r="D716" s="19">
        <v>0.40277777777777773</v>
      </c>
      <c r="E716" s="3">
        <v>28</v>
      </c>
      <c r="F716" s="24">
        <v>9</v>
      </c>
      <c r="G716" s="3">
        <v>71.8</v>
      </c>
      <c r="H716" s="3">
        <v>5.7</v>
      </c>
      <c r="I716" s="3"/>
      <c r="L716" s="3"/>
      <c r="M716" s="3"/>
      <c r="N716" s="3"/>
      <c r="O716" s="3"/>
      <c r="P716" s="3"/>
      <c r="Q716" s="3"/>
      <c r="R716" s="3"/>
      <c r="S716" s="3"/>
    </row>
    <row r="717" spans="3:19" ht="15.75" customHeight="1" x14ac:dyDescent="0.2">
      <c r="C717" s="208">
        <v>43304</v>
      </c>
      <c r="D717" s="19">
        <v>0.40277777777777773</v>
      </c>
      <c r="E717" s="3">
        <v>30</v>
      </c>
      <c r="F717" s="24">
        <v>9</v>
      </c>
      <c r="G717" s="3">
        <v>71.599999999999994</v>
      </c>
      <c r="H717" s="3">
        <v>5.6</v>
      </c>
      <c r="I717" s="3"/>
      <c r="L717" s="3"/>
      <c r="M717" s="3"/>
      <c r="N717" s="3"/>
      <c r="O717" s="3"/>
      <c r="P717" s="3"/>
      <c r="Q717" s="3"/>
      <c r="R717" s="3"/>
      <c r="S717" s="3"/>
    </row>
    <row r="718" spans="3:19" ht="15.75" customHeight="1" x14ac:dyDescent="0.2">
      <c r="C718" s="208">
        <v>43304</v>
      </c>
      <c r="D718" s="19">
        <v>0.40277777777777773</v>
      </c>
      <c r="E718" s="3">
        <v>32</v>
      </c>
      <c r="F718" s="24">
        <v>8.99</v>
      </c>
      <c r="G718" s="3">
        <v>71.3</v>
      </c>
      <c r="H718" s="3">
        <v>5.5</v>
      </c>
      <c r="I718" s="3"/>
      <c r="L718" s="3"/>
      <c r="M718" s="3"/>
      <c r="N718" s="3"/>
      <c r="O718" s="3"/>
      <c r="P718" s="3"/>
      <c r="Q718" s="3"/>
      <c r="R718" s="3"/>
      <c r="S718" s="3"/>
    </row>
    <row r="719" spans="3:19" ht="15.75" customHeight="1" x14ac:dyDescent="0.2">
      <c r="C719" s="208">
        <v>43304</v>
      </c>
      <c r="D719" s="19">
        <v>0.40277777777777773</v>
      </c>
      <c r="E719" s="3">
        <v>34</v>
      </c>
      <c r="F719" s="24">
        <v>8.98</v>
      </c>
      <c r="G719" s="3">
        <v>71.099999999999994</v>
      </c>
      <c r="H719" s="3">
        <v>5.4</v>
      </c>
      <c r="I719" s="3"/>
      <c r="L719" s="3"/>
      <c r="M719" s="3"/>
      <c r="N719" s="3"/>
      <c r="O719" s="3"/>
      <c r="P719" s="3"/>
      <c r="Q719" s="3"/>
      <c r="R719" s="3"/>
      <c r="S719" s="3"/>
    </row>
    <row r="720" spans="3:19" ht="15.75" customHeight="1" x14ac:dyDescent="0.2">
      <c r="C720" s="208">
        <v>43304</v>
      </c>
      <c r="D720" s="19">
        <v>0.40277777777777773</v>
      </c>
      <c r="E720" s="3">
        <v>36</v>
      </c>
      <c r="F720" s="24">
        <v>8.9600000000000009</v>
      </c>
      <c r="G720" s="3">
        <v>70.8</v>
      </c>
      <c r="H720" s="3">
        <v>5.4</v>
      </c>
      <c r="I720" s="3"/>
      <c r="L720" s="3"/>
      <c r="M720" s="3"/>
      <c r="N720" s="3"/>
      <c r="O720" s="3"/>
      <c r="P720" s="3"/>
      <c r="Q720" s="3"/>
      <c r="R720" s="3"/>
      <c r="S720" s="3"/>
    </row>
    <row r="721" spans="3:19" ht="15.75" customHeight="1" x14ac:dyDescent="0.2">
      <c r="C721" s="208">
        <v>43304</v>
      </c>
      <c r="D721" s="19">
        <v>0.40277777777777773</v>
      </c>
      <c r="E721" s="3">
        <v>38</v>
      </c>
      <c r="F721" s="24">
        <v>8.91</v>
      </c>
      <c r="G721" s="3">
        <v>70.400000000000006</v>
      </c>
      <c r="H721" s="3">
        <v>5.4</v>
      </c>
      <c r="I721" s="3"/>
      <c r="L721" s="3"/>
      <c r="M721" s="3"/>
      <c r="N721" s="3"/>
      <c r="O721" s="3"/>
      <c r="P721" s="3"/>
      <c r="Q721" s="3"/>
      <c r="R721" s="3"/>
      <c r="S721" s="3"/>
    </row>
    <row r="722" spans="3:19" ht="15.75" customHeight="1" x14ac:dyDescent="0.2">
      <c r="C722" s="208">
        <v>43304</v>
      </c>
      <c r="D722" s="19">
        <v>0.40277777777777773</v>
      </c>
      <c r="E722" s="3">
        <v>40</v>
      </c>
      <c r="F722" s="24">
        <v>8.8699999999999992</v>
      </c>
      <c r="G722" s="3">
        <v>70.099999999999994</v>
      </c>
      <c r="H722" s="3">
        <v>5.4</v>
      </c>
      <c r="I722" s="3"/>
      <c r="L722" s="3"/>
      <c r="M722" s="3"/>
      <c r="N722" s="3"/>
      <c r="O722" s="3"/>
      <c r="P722" s="3"/>
      <c r="Q722" s="3"/>
      <c r="R722" s="3"/>
      <c r="S722" s="3"/>
    </row>
    <row r="723" spans="3:19" ht="15.75" customHeight="1" x14ac:dyDescent="0.2">
      <c r="C723" s="208">
        <v>43304</v>
      </c>
      <c r="D723" s="19">
        <v>0.40277777777777773</v>
      </c>
      <c r="E723" s="3">
        <v>42</v>
      </c>
      <c r="F723" s="24">
        <v>8.81</v>
      </c>
      <c r="G723" s="3">
        <v>69.599999999999994</v>
      </c>
      <c r="H723" s="3">
        <v>5.3</v>
      </c>
      <c r="I723" s="3"/>
      <c r="L723" s="3"/>
      <c r="M723" s="3"/>
      <c r="N723" s="3"/>
      <c r="O723" s="3"/>
      <c r="P723" s="3"/>
      <c r="Q723" s="3"/>
      <c r="R723" s="3"/>
      <c r="S723" s="3"/>
    </row>
    <row r="724" spans="3:19" ht="15.75" customHeight="1" x14ac:dyDescent="0.2">
      <c r="C724" s="208">
        <v>43304</v>
      </c>
      <c r="D724" s="19">
        <v>0.40277777777777773</v>
      </c>
      <c r="E724" s="3">
        <v>44</v>
      </c>
      <c r="F724" s="24">
        <v>8.58</v>
      </c>
      <c r="G724" s="3">
        <v>67.8</v>
      </c>
      <c r="H724" s="3">
        <v>5.4</v>
      </c>
      <c r="I724" s="3"/>
      <c r="L724" s="3"/>
      <c r="M724" s="3"/>
      <c r="N724" s="3"/>
      <c r="O724" s="3"/>
      <c r="P724" s="3"/>
      <c r="Q724" s="3"/>
      <c r="R724" s="3"/>
      <c r="S724" s="3"/>
    </row>
    <row r="725" spans="3:19" ht="15.75" customHeight="1" x14ac:dyDescent="0.2">
      <c r="C725" s="208">
        <v>43304</v>
      </c>
      <c r="D725" s="19">
        <v>0.40277777777777773</v>
      </c>
      <c r="E725" s="3">
        <v>46</v>
      </c>
      <c r="F725" s="24">
        <v>8.4700000000000006</v>
      </c>
      <c r="G725" s="3">
        <v>66.900000000000006</v>
      </c>
      <c r="H725" s="3">
        <v>5.4</v>
      </c>
      <c r="I725" s="3"/>
      <c r="L725" s="3"/>
      <c r="M725" s="3"/>
      <c r="N725" s="3"/>
      <c r="O725" s="3"/>
      <c r="P725" s="3"/>
      <c r="Q725" s="3"/>
      <c r="R725" s="3"/>
      <c r="S725" s="3"/>
    </row>
    <row r="726" spans="3:19" ht="15.75" customHeight="1" x14ac:dyDescent="0.2">
      <c r="C726" s="208">
        <v>43304</v>
      </c>
      <c r="D726" s="19">
        <v>0.40277777777777773</v>
      </c>
      <c r="E726" s="3">
        <v>48</v>
      </c>
      <c r="F726" s="24">
        <v>8.31</v>
      </c>
      <c r="G726" s="3">
        <v>65.7</v>
      </c>
      <c r="H726" s="3">
        <v>5.4</v>
      </c>
      <c r="I726" s="3"/>
      <c r="L726" s="3"/>
      <c r="M726" s="3"/>
      <c r="N726" s="3"/>
      <c r="O726" s="3"/>
      <c r="P726" s="3"/>
      <c r="Q726" s="3"/>
      <c r="R726" s="3"/>
      <c r="S726" s="3"/>
    </row>
    <row r="727" spans="3:19" ht="15.75" customHeight="1" x14ac:dyDescent="0.2">
      <c r="C727" s="208"/>
      <c r="D727" s="56"/>
      <c r="E727" s="3"/>
      <c r="G727" s="3"/>
      <c r="H727" s="3"/>
      <c r="I727" s="3"/>
      <c r="L727" s="3"/>
      <c r="M727" s="3"/>
      <c r="N727" s="3"/>
      <c r="O727" s="3"/>
      <c r="P727" s="3"/>
      <c r="Q727" s="3"/>
      <c r="R727" s="3"/>
      <c r="S727" s="3"/>
    </row>
    <row r="728" spans="3:19" ht="15.75" customHeight="1" x14ac:dyDescent="0.2">
      <c r="C728" s="208">
        <v>43334</v>
      </c>
      <c r="D728" s="19">
        <v>0.39583333333333331</v>
      </c>
      <c r="E728" s="3"/>
      <c r="G728" s="3"/>
      <c r="H728" s="3"/>
      <c r="I728" s="3"/>
      <c r="J728">
        <v>12</v>
      </c>
      <c r="K728">
        <v>14.5</v>
      </c>
      <c r="L728" s="3"/>
      <c r="M728" s="3"/>
      <c r="N728" s="3"/>
      <c r="O728" s="3"/>
      <c r="P728" s="3"/>
      <c r="Q728" s="3"/>
      <c r="R728" s="3"/>
      <c r="S728" s="3"/>
    </row>
    <row r="729" spans="3:19" ht="15.75" customHeight="1" x14ac:dyDescent="0.2">
      <c r="C729" s="208">
        <v>43334</v>
      </c>
      <c r="D729" s="19">
        <v>0.40277777777777773</v>
      </c>
      <c r="E729" s="3">
        <v>0.1</v>
      </c>
      <c r="F729" s="24">
        <v>6.96</v>
      </c>
      <c r="G729" s="3">
        <v>77.900000000000006</v>
      </c>
      <c r="H729" s="3">
        <v>20.9</v>
      </c>
      <c r="I729" s="3">
        <v>20.9</v>
      </c>
      <c r="J729" s="3"/>
      <c r="L729" s="3"/>
      <c r="M729" s="3"/>
      <c r="N729" s="3"/>
      <c r="O729" s="3"/>
      <c r="P729" s="3"/>
      <c r="Q729" s="3"/>
      <c r="R729" s="3"/>
      <c r="S729" s="3"/>
    </row>
    <row r="730" spans="3:19" ht="15.75" customHeight="1" x14ac:dyDescent="0.2">
      <c r="C730" s="208">
        <v>43334</v>
      </c>
      <c r="D730" s="19">
        <v>0.40277777777777773</v>
      </c>
      <c r="E730" s="3">
        <v>1</v>
      </c>
      <c r="F730" s="24">
        <v>6.97</v>
      </c>
      <c r="G730" s="3">
        <v>77.900000000000006</v>
      </c>
      <c r="H730" s="3">
        <v>20.8</v>
      </c>
      <c r="I730" s="3">
        <v>20.8</v>
      </c>
      <c r="J730" s="3"/>
      <c r="L730" s="3"/>
      <c r="M730" s="3"/>
      <c r="N730" s="3"/>
      <c r="O730" s="3"/>
      <c r="P730" s="3"/>
      <c r="Q730" s="3"/>
      <c r="R730" s="3"/>
      <c r="S730" s="3"/>
    </row>
    <row r="731" spans="3:19" ht="15.75" customHeight="1" x14ac:dyDescent="0.2">
      <c r="C731" s="208">
        <v>43334</v>
      </c>
      <c r="D731" s="19">
        <v>0.40277777777777773</v>
      </c>
      <c r="E731" s="3">
        <v>2</v>
      </c>
      <c r="F731" s="24">
        <v>6.96</v>
      </c>
      <c r="G731" s="3">
        <v>77.7</v>
      </c>
      <c r="H731" s="3">
        <v>20.8</v>
      </c>
      <c r="I731" s="3">
        <v>20.8</v>
      </c>
      <c r="J731" s="3"/>
      <c r="L731" s="3"/>
      <c r="M731" s="3"/>
      <c r="N731" s="3"/>
      <c r="O731" s="3"/>
      <c r="P731" s="3"/>
      <c r="Q731" s="3"/>
      <c r="R731" s="3"/>
      <c r="S731" s="3"/>
    </row>
    <row r="732" spans="3:19" ht="15.75" customHeight="1" x14ac:dyDescent="0.2">
      <c r="C732" s="208">
        <v>43334</v>
      </c>
      <c r="D732" s="19">
        <v>0.40277777777777773</v>
      </c>
      <c r="E732" s="3">
        <v>3</v>
      </c>
      <c r="F732" s="24">
        <v>6.95</v>
      </c>
      <c r="G732" s="3">
        <v>77.599999999999994</v>
      </c>
      <c r="H732" s="3">
        <v>20.8</v>
      </c>
      <c r="I732" s="3">
        <v>20.8</v>
      </c>
      <c r="J732" s="3"/>
      <c r="L732" s="3"/>
      <c r="M732" s="3"/>
      <c r="N732" s="3"/>
      <c r="O732" s="3"/>
      <c r="P732" s="3"/>
      <c r="Q732" s="3"/>
      <c r="R732" s="3"/>
      <c r="S732" s="3"/>
    </row>
    <row r="733" spans="3:19" ht="15.75" customHeight="1" x14ac:dyDescent="0.2">
      <c r="C733" s="208">
        <v>43334</v>
      </c>
      <c r="D733" s="19">
        <v>0.40277777777777773</v>
      </c>
      <c r="E733" s="3">
        <v>4</v>
      </c>
      <c r="F733" s="24">
        <v>6.95</v>
      </c>
      <c r="G733" s="3">
        <v>77.5</v>
      </c>
      <c r="H733" s="3">
        <v>20.7</v>
      </c>
      <c r="I733" s="3">
        <v>20.7</v>
      </c>
      <c r="J733" s="3"/>
      <c r="L733" s="3"/>
      <c r="M733" s="3"/>
      <c r="N733" s="3"/>
      <c r="O733" s="3"/>
      <c r="P733" s="3"/>
      <c r="Q733" s="3"/>
      <c r="R733" s="3"/>
      <c r="S733" s="3"/>
    </row>
    <row r="734" spans="3:19" ht="15.75" customHeight="1" x14ac:dyDescent="0.2">
      <c r="C734" s="208">
        <v>43334</v>
      </c>
      <c r="D734" s="19">
        <v>0.40277777777777773</v>
      </c>
      <c r="E734" s="3">
        <v>5</v>
      </c>
      <c r="F734" s="24">
        <v>6.93</v>
      </c>
      <c r="G734" s="3">
        <v>77.3</v>
      </c>
      <c r="H734" s="3">
        <v>20.7</v>
      </c>
      <c r="I734" s="3">
        <v>20.7</v>
      </c>
      <c r="J734" s="3"/>
      <c r="L734" s="3"/>
      <c r="M734" s="3"/>
      <c r="N734" s="3"/>
      <c r="O734" s="3"/>
      <c r="P734" s="3"/>
      <c r="Q734" s="3"/>
      <c r="R734" s="3"/>
      <c r="S734" s="3"/>
    </row>
    <row r="735" spans="3:19" ht="15.75" customHeight="1" x14ac:dyDescent="0.2">
      <c r="C735" s="208">
        <v>43334</v>
      </c>
      <c r="D735" s="19">
        <v>0.40277777777777773</v>
      </c>
      <c r="E735" s="3">
        <v>6</v>
      </c>
      <c r="F735" s="24">
        <v>6.96</v>
      </c>
      <c r="G735" s="3">
        <v>77.2</v>
      </c>
      <c r="H735" s="3">
        <v>20.399999999999999</v>
      </c>
      <c r="I735" s="3">
        <v>20.399999999999999</v>
      </c>
      <c r="J735" s="3"/>
      <c r="L735" s="3"/>
      <c r="M735" s="3"/>
      <c r="N735" s="3"/>
      <c r="O735" s="3"/>
      <c r="P735" s="3"/>
      <c r="Q735" s="3"/>
      <c r="R735" s="3"/>
      <c r="S735" s="3"/>
    </row>
    <row r="736" spans="3:19" ht="15.75" customHeight="1" x14ac:dyDescent="0.2">
      <c r="C736" s="208">
        <v>43334</v>
      </c>
      <c r="D736" s="19">
        <v>0.40277777777777773</v>
      </c>
      <c r="E736" s="3">
        <v>7</v>
      </c>
      <c r="F736" s="24">
        <v>6.99</v>
      </c>
      <c r="G736" s="3">
        <v>77.400000000000006</v>
      </c>
      <c r="H736" s="3">
        <v>20.3</v>
      </c>
      <c r="I736" s="3">
        <v>20.3</v>
      </c>
      <c r="J736" s="3"/>
      <c r="L736" s="3"/>
      <c r="M736" s="3"/>
      <c r="N736" s="3"/>
      <c r="O736" s="3"/>
      <c r="P736" s="3"/>
      <c r="Q736" s="3"/>
      <c r="R736" s="3"/>
      <c r="S736" s="3"/>
    </row>
    <row r="737" spans="3:19" ht="15.75" customHeight="1" x14ac:dyDescent="0.2">
      <c r="C737" s="208">
        <v>43334</v>
      </c>
      <c r="D737" s="19">
        <v>0.40277777777777773</v>
      </c>
      <c r="E737" s="3">
        <v>8</v>
      </c>
      <c r="F737" s="24">
        <v>6.98</v>
      </c>
      <c r="G737" s="3">
        <v>77.2</v>
      </c>
      <c r="H737" s="3">
        <v>20.3</v>
      </c>
      <c r="I737" s="3">
        <v>20.3</v>
      </c>
      <c r="J737" s="3"/>
      <c r="L737" s="3"/>
      <c r="M737" s="3"/>
      <c r="N737" s="3"/>
      <c r="O737" s="3"/>
      <c r="P737" s="3"/>
      <c r="Q737" s="3"/>
      <c r="R737" s="3"/>
      <c r="S737" s="3"/>
    </row>
    <row r="738" spans="3:19" ht="15.75" customHeight="1" x14ac:dyDescent="0.2">
      <c r="C738" s="208">
        <v>43334</v>
      </c>
      <c r="D738" s="19">
        <v>0.40277777777777773</v>
      </c>
      <c r="E738" s="3">
        <v>9</v>
      </c>
      <c r="F738" s="24">
        <v>6.98</v>
      </c>
      <c r="G738" s="3">
        <v>77.2</v>
      </c>
      <c r="H738" s="3">
        <v>20.3</v>
      </c>
      <c r="I738" s="3">
        <v>20.3</v>
      </c>
      <c r="J738" s="3"/>
      <c r="L738" s="3"/>
      <c r="M738" s="3"/>
      <c r="N738" s="3"/>
      <c r="O738" s="3"/>
      <c r="P738" s="3"/>
      <c r="Q738" s="3"/>
      <c r="R738" s="3"/>
      <c r="S738" s="3"/>
    </row>
    <row r="739" spans="3:19" ht="15.75" customHeight="1" x14ac:dyDescent="0.2">
      <c r="C739" s="208">
        <v>43334</v>
      </c>
      <c r="D739" s="19">
        <v>0.40277777777777773</v>
      </c>
      <c r="E739" s="3">
        <v>10</v>
      </c>
      <c r="F739" s="24">
        <v>7.13</v>
      </c>
      <c r="G739" s="3">
        <v>77.900000000000006</v>
      </c>
      <c r="H739" s="3">
        <v>19.7</v>
      </c>
      <c r="I739" s="3">
        <v>19.7</v>
      </c>
      <c r="J739" s="3"/>
      <c r="L739" s="3"/>
      <c r="M739" s="3"/>
      <c r="N739" s="3"/>
      <c r="O739" s="3"/>
      <c r="P739" s="3"/>
      <c r="Q739" s="3"/>
      <c r="R739" s="3"/>
      <c r="S739" s="3"/>
    </row>
    <row r="740" spans="3:19" ht="15.75" customHeight="1" x14ac:dyDescent="0.2">
      <c r="C740" s="208">
        <v>43334</v>
      </c>
      <c r="D740" s="19">
        <v>0.40277777777777773</v>
      </c>
      <c r="E740" s="3">
        <v>11</v>
      </c>
      <c r="F740" s="24">
        <v>7.83</v>
      </c>
      <c r="G740" s="3">
        <v>80.7</v>
      </c>
      <c r="H740" s="3">
        <v>16.600000000000001</v>
      </c>
      <c r="I740" s="17">
        <f>AVERAGE(I729:I739)</f>
        <v>20.518181818181819</v>
      </c>
      <c r="J740" s="17"/>
      <c r="L740" s="3"/>
      <c r="M740" s="3"/>
      <c r="N740" s="3"/>
      <c r="O740" s="3"/>
      <c r="P740" s="3"/>
      <c r="Q740" s="3"/>
      <c r="R740" s="3"/>
      <c r="S740" s="3"/>
    </row>
    <row r="741" spans="3:19" ht="15.75" customHeight="1" x14ac:dyDescent="0.2">
      <c r="C741" s="208">
        <v>43334</v>
      </c>
      <c r="D741" s="19">
        <v>0.40277777777777773</v>
      </c>
      <c r="E741" s="3">
        <v>12</v>
      </c>
      <c r="F741" s="24">
        <v>8.06</v>
      </c>
      <c r="G741" s="3">
        <v>80.400000000000006</v>
      </c>
      <c r="H741" s="3">
        <v>15.4</v>
      </c>
      <c r="I741" s="3"/>
      <c r="L741" s="3"/>
      <c r="M741" s="3"/>
      <c r="N741" s="3"/>
      <c r="O741" s="3"/>
      <c r="P741" s="3"/>
      <c r="Q741" s="3"/>
      <c r="R741" s="3"/>
      <c r="S741" s="3"/>
    </row>
    <row r="742" spans="3:19" ht="15.75" customHeight="1" x14ac:dyDescent="0.2">
      <c r="C742" s="208">
        <v>43334</v>
      </c>
      <c r="D742" s="19">
        <v>0.40277777777777773</v>
      </c>
      <c r="E742" s="3">
        <v>13</v>
      </c>
      <c r="F742" s="24">
        <v>8.34</v>
      </c>
      <c r="G742" s="3">
        <v>77</v>
      </c>
      <c r="H742" s="3">
        <v>11.8</v>
      </c>
      <c r="I742" s="3"/>
      <c r="L742" s="3"/>
      <c r="M742" s="3"/>
      <c r="N742" s="3"/>
      <c r="O742" s="3"/>
      <c r="P742" s="3"/>
      <c r="Q742" s="3"/>
      <c r="R742" s="3"/>
      <c r="S742" s="3"/>
    </row>
    <row r="743" spans="3:19" ht="15.75" customHeight="1" x14ac:dyDescent="0.2">
      <c r="C743" s="208">
        <v>43334</v>
      </c>
      <c r="D743" s="19">
        <v>0.40277777777777773</v>
      </c>
      <c r="E743" s="3">
        <v>15</v>
      </c>
      <c r="F743" s="24">
        <v>8.33</v>
      </c>
      <c r="G743" s="3">
        <v>71.400000000000006</v>
      </c>
      <c r="H743" s="3">
        <v>8.6</v>
      </c>
      <c r="I743" s="3"/>
      <c r="L743" s="3"/>
      <c r="M743" s="3"/>
      <c r="N743" s="3"/>
      <c r="O743" s="3"/>
      <c r="P743" s="3"/>
      <c r="Q743" s="3"/>
      <c r="R743" s="3"/>
      <c r="S743" s="3"/>
    </row>
    <row r="744" spans="3:19" ht="15.75" customHeight="1" x14ac:dyDescent="0.2">
      <c r="C744" s="208">
        <v>43334</v>
      </c>
      <c r="D744" s="19">
        <v>0.40277777777777773</v>
      </c>
      <c r="E744" s="3">
        <v>17</v>
      </c>
      <c r="F744" s="24">
        <v>8.4700000000000006</v>
      </c>
      <c r="G744" s="3">
        <v>70.599999999999994</v>
      </c>
      <c r="H744" s="3">
        <v>7.6</v>
      </c>
      <c r="I744" s="3"/>
      <c r="L744" s="3"/>
      <c r="M744" s="3"/>
      <c r="N744" s="3"/>
      <c r="O744" s="3"/>
      <c r="P744" s="3"/>
      <c r="Q744" s="3"/>
      <c r="R744" s="3"/>
      <c r="S744" s="3"/>
    </row>
    <row r="745" spans="3:19" ht="15.75" customHeight="1" x14ac:dyDescent="0.2">
      <c r="C745" s="208">
        <v>43334</v>
      </c>
      <c r="D745" s="19">
        <v>0.40277777777777773</v>
      </c>
      <c r="E745" s="3">
        <v>19</v>
      </c>
      <c r="F745" s="24">
        <v>8.4700000000000006</v>
      </c>
      <c r="G745" s="3">
        <v>69.2</v>
      </c>
      <c r="H745" s="3">
        <v>6.8</v>
      </c>
      <c r="I745" s="3"/>
      <c r="L745" s="3"/>
      <c r="M745" s="3"/>
      <c r="N745" s="3"/>
      <c r="O745" s="3"/>
      <c r="P745" s="3"/>
      <c r="Q745" s="3"/>
      <c r="R745" s="3"/>
      <c r="S745" s="3"/>
    </row>
    <row r="746" spans="3:19" ht="15.75" customHeight="1" x14ac:dyDescent="0.2">
      <c r="C746" s="208">
        <v>43334</v>
      </c>
      <c r="D746" s="19">
        <v>0.40277777777777773</v>
      </c>
      <c r="E746" s="3">
        <v>21</v>
      </c>
      <c r="F746" s="24">
        <v>8.3800000000000008</v>
      </c>
      <c r="G746" s="3">
        <v>67.599999999999994</v>
      </c>
      <c r="H746" s="3">
        <v>6.4</v>
      </c>
      <c r="I746" s="3"/>
      <c r="L746" s="3"/>
      <c r="M746" s="3"/>
      <c r="N746" s="3"/>
      <c r="O746" s="3"/>
      <c r="P746" s="3"/>
      <c r="Q746" s="3"/>
      <c r="R746" s="3"/>
      <c r="S746" s="3"/>
    </row>
    <row r="747" spans="3:19" ht="15.75" customHeight="1" x14ac:dyDescent="0.2">
      <c r="C747" s="208">
        <v>43334</v>
      </c>
      <c r="D747" s="19">
        <v>0.40277777777777773</v>
      </c>
      <c r="E747" s="3">
        <v>23</v>
      </c>
      <c r="F747" s="24">
        <v>8.26</v>
      </c>
      <c r="G747" s="3">
        <v>66.7</v>
      </c>
      <c r="H747" s="3">
        <v>6.2</v>
      </c>
      <c r="I747" s="3"/>
      <c r="L747" s="3"/>
      <c r="M747" s="3"/>
      <c r="N747" s="3"/>
      <c r="O747" s="3"/>
      <c r="P747" s="3"/>
      <c r="Q747" s="3"/>
      <c r="R747" s="3"/>
      <c r="S747" s="3"/>
    </row>
    <row r="748" spans="3:19" ht="15.75" customHeight="1" x14ac:dyDescent="0.2">
      <c r="C748" s="208">
        <v>43334</v>
      </c>
      <c r="D748" s="19">
        <v>0.40277777777777773</v>
      </c>
      <c r="E748" s="3">
        <v>25</v>
      </c>
      <c r="F748" s="24">
        <v>8.2100000000000009</v>
      </c>
      <c r="G748" s="3">
        <v>66.099999999999994</v>
      </c>
      <c r="H748" s="3">
        <v>6.1</v>
      </c>
      <c r="I748" s="3"/>
      <c r="L748" s="3"/>
      <c r="M748" s="3"/>
      <c r="N748" s="3"/>
      <c r="O748" s="3"/>
      <c r="P748" s="3"/>
      <c r="Q748" s="3"/>
      <c r="R748" s="3"/>
      <c r="S748" s="3"/>
    </row>
    <row r="749" spans="3:19" ht="15.75" customHeight="1" x14ac:dyDescent="0.2">
      <c r="C749" s="208">
        <v>43334</v>
      </c>
      <c r="D749" s="19">
        <v>0.40277777777777773</v>
      </c>
      <c r="E749" s="3">
        <v>27</v>
      </c>
      <c r="F749" s="24">
        <v>8.2100000000000009</v>
      </c>
      <c r="G749" s="3">
        <v>66</v>
      </c>
      <c r="H749" s="7">
        <v>6</v>
      </c>
      <c r="I749" s="3"/>
      <c r="L749" s="3"/>
      <c r="M749" s="3"/>
      <c r="N749" s="3"/>
      <c r="O749" s="3"/>
      <c r="P749" s="3"/>
      <c r="Q749" s="3"/>
      <c r="R749" s="3"/>
      <c r="S749" s="3"/>
    </row>
    <row r="750" spans="3:19" ht="15.75" customHeight="1" x14ac:dyDescent="0.2">
      <c r="C750" s="208">
        <v>43334</v>
      </c>
      <c r="D750" s="19">
        <v>0.40277777777777773</v>
      </c>
      <c r="E750" s="3">
        <v>29</v>
      </c>
      <c r="F750" s="24">
        <v>8.2100000000000009</v>
      </c>
      <c r="G750" s="3">
        <v>65.8</v>
      </c>
      <c r="H750" s="3">
        <v>5.9</v>
      </c>
      <c r="I750" s="3"/>
      <c r="L750" s="3"/>
      <c r="M750" s="3"/>
      <c r="N750" s="3"/>
      <c r="O750" s="3"/>
      <c r="P750" s="3"/>
      <c r="Q750" s="3"/>
      <c r="R750" s="3"/>
      <c r="S750" s="3"/>
    </row>
    <row r="751" spans="3:19" ht="15.75" customHeight="1" x14ac:dyDescent="0.2">
      <c r="C751" s="208">
        <v>43334</v>
      </c>
      <c r="D751" s="19">
        <v>0.40277777777777773</v>
      </c>
      <c r="E751" s="3">
        <v>31</v>
      </c>
      <c r="F751" s="24">
        <v>8.2200000000000006</v>
      </c>
      <c r="G751" s="3">
        <v>65.599999999999994</v>
      </c>
      <c r="H751" s="3">
        <v>5.8</v>
      </c>
      <c r="I751" s="3"/>
      <c r="L751" s="3"/>
      <c r="M751" s="3"/>
      <c r="N751" s="3"/>
      <c r="O751" s="3"/>
      <c r="P751" s="3"/>
      <c r="Q751" s="3"/>
      <c r="R751" s="3"/>
      <c r="S751" s="3"/>
    </row>
    <row r="752" spans="3:19" ht="15.75" customHeight="1" x14ac:dyDescent="0.2">
      <c r="C752" s="208">
        <v>43334</v>
      </c>
      <c r="D752" s="19">
        <v>0.40277777777777773</v>
      </c>
      <c r="E752" s="3">
        <v>33</v>
      </c>
      <c r="F752" s="24">
        <v>8.16</v>
      </c>
      <c r="G752" s="3">
        <v>65</v>
      </c>
      <c r="H752" s="3">
        <v>5.7</v>
      </c>
      <c r="I752" s="3"/>
      <c r="L752" s="3"/>
      <c r="M752" s="3"/>
      <c r="N752" s="3"/>
      <c r="O752" s="3"/>
      <c r="P752" s="3"/>
      <c r="Q752" s="3"/>
      <c r="R752" s="3"/>
      <c r="S752" s="3"/>
    </row>
    <row r="753" spans="3:19" ht="15.75" customHeight="1" x14ac:dyDescent="0.2">
      <c r="C753" s="208">
        <v>43334</v>
      </c>
      <c r="D753" s="19">
        <v>0.40277777777777773</v>
      </c>
      <c r="E753" s="3">
        <v>35</v>
      </c>
      <c r="F753" s="24">
        <v>8.1</v>
      </c>
      <c r="G753" s="3">
        <v>64.400000000000006</v>
      </c>
      <c r="H753" s="3">
        <v>5.6</v>
      </c>
      <c r="I753" s="3"/>
      <c r="L753" s="3"/>
      <c r="M753" s="3"/>
      <c r="N753" s="3"/>
      <c r="O753" s="3"/>
      <c r="P753" s="3"/>
      <c r="Q753" s="3"/>
      <c r="R753" s="3"/>
      <c r="S753" s="3"/>
    </row>
    <row r="754" spans="3:19" ht="15.75" customHeight="1" x14ac:dyDescent="0.2">
      <c r="C754" s="208">
        <v>43334</v>
      </c>
      <c r="D754" s="19">
        <v>0.40277777777777773</v>
      </c>
      <c r="E754" s="3">
        <v>37</v>
      </c>
      <c r="F754" s="24">
        <v>8.06</v>
      </c>
      <c r="G754" s="3">
        <v>64.099999999999994</v>
      </c>
      <c r="H754" s="3">
        <v>5.6</v>
      </c>
      <c r="I754" s="3"/>
      <c r="L754" s="3"/>
      <c r="M754" s="3"/>
      <c r="N754" s="3"/>
      <c r="O754" s="3"/>
      <c r="P754" s="3"/>
      <c r="Q754" s="3"/>
      <c r="R754" s="3"/>
      <c r="S754" s="3"/>
    </row>
    <row r="755" spans="3:19" ht="15.75" customHeight="1" x14ac:dyDescent="0.2">
      <c r="C755" s="208">
        <v>43334</v>
      </c>
      <c r="D755" s="19">
        <v>0.40277777777777773</v>
      </c>
      <c r="E755" s="3">
        <v>39</v>
      </c>
      <c r="F755" s="24">
        <v>8.0500000000000007</v>
      </c>
      <c r="G755" s="3">
        <v>63.8</v>
      </c>
      <c r="H755" s="3">
        <v>5.5</v>
      </c>
      <c r="I755" s="3"/>
      <c r="L755" s="3"/>
      <c r="M755" s="3"/>
      <c r="N755" s="3"/>
      <c r="O755" s="3"/>
      <c r="P755" s="3"/>
      <c r="Q755" s="3"/>
      <c r="R755" s="3"/>
      <c r="S755" s="3"/>
    </row>
    <row r="756" spans="3:19" ht="15.75" customHeight="1" x14ac:dyDescent="0.2">
      <c r="C756" s="208">
        <v>43334</v>
      </c>
      <c r="D756" s="19">
        <v>0.40277777777777773</v>
      </c>
      <c r="E756" s="3">
        <v>41</v>
      </c>
      <c r="F756" s="24">
        <v>8.01</v>
      </c>
      <c r="G756" s="3">
        <v>63.5</v>
      </c>
      <c r="H756" s="3">
        <v>5.5</v>
      </c>
      <c r="I756" s="3"/>
      <c r="L756" s="3"/>
      <c r="M756" s="3"/>
      <c r="N756" s="3"/>
      <c r="O756" s="3"/>
      <c r="P756" s="3"/>
      <c r="Q756" s="3"/>
      <c r="R756" s="3"/>
      <c r="S756" s="3"/>
    </row>
    <row r="757" spans="3:19" ht="15.75" customHeight="1" x14ac:dyDescent="0.2">
      <c r="C757" s="208">
        <v>43334</v>
      </c>
      <c r="D757" s="19">
        <v>0.40277777777777773</v>
      </c>
      <c r="E757" s="3">
        <v>43</v>
      </c>
      <c r="F757" s="24">
        <v>7.91</v>
      </c>
      <c r="G757" s="3">
        <v>62.3</v>
      </c>
      <c r="H757" s="3">
        <v>5.4</v>
      </c>
      <c r="I757" s="3"/>
      <c r="L757" s="3"/>
      <c r="M757" s="3"/>
      <c r="N757" s="3"/>
      <c r="O757" s="3"/>
      <c r="P757" s="3"/>
      <c r="Q757" s="3"/>
      <c r="R757" s="3"/>
      <c r="S757" s="3"/>
    </row>
    <row r="758" spans="3:19" ht="15.75" customHeight="1" x14ac:dyDescent="0.2">
      <c r="C758" s="208"/>
      <c r="D758" s="56"/>
      <c r="E758" s="3"/>
      <c r="G758" s="3"/>
      <c r="H758" s="3"/>
      <c r="I758" s="3"/>
      <c r="L758" s="3"/>
      <c r="M758" s="3"/>
      <c r="N758" s="3"/>
      <c r="O758" s="3"/>
      <c r="P758" s="3"/>
      <c r="Q758" s="3"/>
      <c r="R758" s="3"/>
      <c r="S758" s="3"/>
    </row>
    <row r="759" spans="3:19" ht="15.75" customHeight="1" x14ac:dyDescent="0.2">
      <c r="C759" s="208">
        <v>43366</v>
      </c>
      <c r="D759" s="19">
        <v>0.44097222222222227</v>
      </c>
      <c r="E759" s="3"/>
      <c r="G759" s="3"/>
      <c r="H759" s="3"/>
      <c r="I759" s="3"/>
      <c r="J759">
        <v>6</v>
      </c>
      <c r="K759">
        <v>10</v>
      </c>
      <c r="L759" s="3"/>
      <c r="M759" s="3"/>
      <c r="N759" s="3"/>
      <c r="O759" s="3"/>
      <c r="P759" s="3"/>
      <c r="Q759" s="3"/>
      <c r="R759" s="3"/>
      <c r="S759" s="3"/>
    </row>
    <row r="760" spans="3:19" ht="15.75" customHeight="1" x14ac:dyDescent="0.2">
      <c r="C760" s="208">
        <v>43366</v>
      </c>
      <c r="D760" s="19">
        <v>0.44791666666666669</v>
      </c>
      <c r="E760" s="3">
        <v>0.1</v>
      </c>
      <c r="F760" s="24">
        <v>8.15</v>
      </c>
      <c r="G760" s="3">
        <v>83.1</v>
      </c>
      <c r="H760" s="3">
        <v>16.399999999999999</v>
      </c>
      <c r="I760" s="3">
        <v>16.399999999999999</v>
      </c>
      <c r="J760" s="3"/>
      <c r="L760" s="3"/>
      <c r="M760" s="3"/>
      <c r="N760" s="3"/>
      <c r="O760" s="3"/>
      <c r="P760" s="3"/>
      <c r="Q760" s="3"/>
      <c r="R760" s="3"/>
      <c r="S760" s="3"/>
    </row>
    <row r="761" spans="3:19" ht="15.75" customHeight="1" x14ac:dyDescent="0.2">
      <c r="C761" s="208">
        <v>43366</v>
      </c>
      <c r="D761" s="19">
        <v>0.44791666666666669</v>
      </c>
      <c r="E761" s="3">
        <v>1</v>
      </c>
      <c r="F761" s="24">
        <v>8.06</v>
      </c>
      <c r="G761" s="3">
        <v>82.5</v>
      </c>
      <c r="H761" s="3">
        <v>16.5</v>
      </c>
      <c r="I761" s="3">
        <v>16.5</v>
      </c>
      <c r="J761" s="3"/>
      <c r="L761" s="3"/>
      <c r="M761" s="3"/>
      <c r="N761" s="3"/>
      <c r="O761" s="3"/>
      <c r="P761" s="3"/>
      <c r="Q761" s="3"/>
      <c r="R761" s="3"/>
      <c r="S761" s="3"/>
    </row>
    <row r="762" spans="3:19" ht="15.75" customHeight="1" x14ac:dyDescent="0.2">
      <c r="C762" s="208">
        <v>43366</v>
      </c>
      <c r="D762" s="19">
        <v>0.44791666666666669</v>
      </c>
      <c r="E762" s="3">
        <v>2</v>
      </c>
      <c r="F762" s="24">
        <v>8.02</v>
      </c>
      <c r="G762" s="3">
        <v>82.3</v>
      </c>
      <c r="H762" s="3">
        <v>16.600000000000001</v>
      </c>
      <c r="I762" s="3">
        <v>16.600000000000001</v>
      </c>
      <c r="J762" s="3"/>
      <c r="L762" s="3"/>
      <c r="M762" s="3"/>
      <c r="N762" s="3"/>
      <c r="O762" s="3"/>
      <c r="P762" s="3"/>
      <c r="Q762" s="3"/>
      <c r="R762" s="3"/>
      <c r="S762" s="3"/>
    </row>
    <row r="763" spans="3:19" ht="15.75" customHeight="1" x14ac:dyDescent="0.2">
      <c r="C763" s="208">
        <v>43366</v>
      </c>
      <c r="D763" s="19">
        <v>0.44791666666666669</v>
      </c>
      <c r="E763" s="3">
        <v>3</v>
      </c>
      <c r="F763" s="24">
        <v>8.01</v>
      </c>
      <c r="G763" s="3">
        <v>82.1</v>
      </c>
      <c r="H763" s="3">
        <v>16.600000000000001</v>
      </c>
      <c r="I763" s="3">
        <v>16.600000000000001</v>
      </c>
      <c r="J763" s="3"/>
      <c r="L763" s="3"/>
      <c r="M763" s="3"/>
      <c r="N763" s="3"/>
      <c r="O763" s="3"/>
      <c r="P763" s="3"/>
      <c r="Q763" s="3"/>
      <c r="R763" s="3"/>
      <c r="S763" s="3"/>
    </row>
    <row r="764" spans="3:19" ht="15.75" customHeight="1" x14ac:dyDescent="0.2">
      <c r="C764" s="208">
        <v>43366</v>
      </c>
      <c r="D764" s="19">
        <v>0.44791666666666669</v>
      </c>
      <c r="E764" s="3">
        <v>4</v>
      </c>
      <c r="F764" s="24">
        <v>7.99</v>
      </c>
      <c r="G764" s="3">
        <v>82</v>
      </c>
      <c r="H764" s="3">
        <v>16.600000000000001</v>
      </c>
      <c r="I764" s="3">
        <v>16.600000000000001</v>
      </c>
      <c r="J764" s="3"/>
      <c r="L764" s="3"/>
      <c r="M764" s="3"/>
      <c r="N764" s="3"/>
      <c r="O764" s="3"/>
      <c r="P764" s="3"/>
      <c r="Q764" s="3"/>
      <c r="R764" s="3"/>
      <c r="S764" s="3"/>
    </row>
    <row r="765" spans="3:19" ht="15.75" customHeight="1" x14ac:dyDescent="0.2">
      <c r="C765" s="208">
        <v>43366</v>
      </c>
      <c r="D765" s="19">
        <v>0.44791666666666669</v>
      </c>
      <c r="E765" s="3">
        <v>5</v>
      </c>
      <c r="F765" s="24">
        <v>7.98</v>
      </c>
      <c r="G765" s="3">
        <v>81.8</v>
      </c>
      <c r="H765" s="3">
        <v>16.600000000000001</v>
      </c>
      <c r="I765" s="3">
        <v>16.600000000000001</v>
      </c>
      <c r="J765" s="3"/>
      <c r="L765" s="3"/>
      <c r="M765" s="3"/>
      <c r="N765" s="3"/>
      <c r="O765" s="3"/>
      <c r="P765" s="3"/>
      <c r="Q765" s="3"/>
      <c r="R765" s="3"/>
      <c r="S765" s="3"/>
    </row>
    <row r="766" spans="3:19" ht="15.75" customHeight="1" x14ac:dyDescent="0.2">
      <c r="C766" s="208">
        <v>43366</v>
      </c>
      <c r="D766" s="19">
        <v>0.44791666666666669</v>
      </c>
      <c r="E766" s="3">
        <v>6</v>
      </c>
      <c r="F766" s="24">
        <v>7.96</v>
      </c>
      <c r="G766" s="3">
        <v>81.7</v>
      </c>
      <c r="H766" s="3">
        <v>16.600000000000001</v>
      </c>
      <c r="I766" s="3">
        <v>16.600000000000001</v>
      </c>
      <c r="J766" s="3"/>
      <c r="L766" s="3"/>
      <c r="M766" s="3"/>
      <c r="N766" s="3"/>
      <c r="O766" s="3"/>
      <c r="P766" s="3"/>
      <c r="Q766" s="3"/>
      <c r="R766" s="3"/>
      <c r="S766" s="3"/>
    </row>
    <row r="767" spans="3:19" ht="15.75" customHeight="1" x14ac:dyDescent="0.2">
      <c r="C767" s="208">
        <v>43366</v>
      </c>
      <c r="D767" s="19">
        <v>0.44791666666666669</v>
      </c>
      <c r="E767" s="3">
        <v>7</v>
      </c>
      <c r="F767" s="24">
        <v>7.95</v>
      </c>
      <c r="G767" s="3">
        <v>81.5</v>
      </c>
      <c r="H767" s="3">
        <v>16.600000000000001</v>
      </c>
      <c r="I767" s="3">
        <v>16.600000000000001</v>
      </c>
      <c r="J767" s="3"/>
      <c r="L767" s="3"/>
      <c r="M767" s="3"/>
      <c r="N767" s="3"/>
      <c r="O767" s="3"/>
      <c r="P767" s="3"/>
      <c r="Q767" s="3"/>
      <c r="R767" s="3"/>
      <c r="S767" s="3"/>
    </row>
    <row r="768" spans="3:19" ht="15.75" customHeight="1" x14ac:dyDescent="0.2">
      <c r="C768" s="208">
        <v>43366</v>
      </c>
      <c r="D768" s="19">
        <v>0.44791666666666669</v>
      </c>
      <c r="E768" s="3">
        <v>8</v>
      </c>
      <c r="F768" s="24">
        <v>7.94</v>
      </c>
      <c r="G768" s="3">
        <v>81.400000000000006</v>
      </c>
      <c r="H768" s="3">
        <v>16.600000000000001</v>
      </c>
      <c r="I768" s="3">
        <v>16.600000000000001</v>
      </c>
      <c r="J768" s="3"/>
      <c r="L768" s="3"/>
      <c r="M768" s="3"/>
      <c r="N768" s="3"/>
      <c r="O768" s="3"/>
      <c r="P768" s="3"/>
      <c r="Q768" s="3"/>
      <c r="R768" s="3"/>
      <c r="S768" s="3"/>
    </row>
    <row r="769" spans="3:19" ht="15.75" customHeight="1" x14ac:dyDescent="0.2">
      <c r="C769" s="208">
        <v>43366</v>
      </c>
      <c r="D769" s="19">
        <v>0.44791666666666669</v>
      </c>
      <c r="E769" s="3">
        <v>9</v>
      </c>
      <c r="F769" s="24">
        <v>7.92</v>
      </c>
      <c r="G769" s="3">
        <v>81.3</v>
      </c>
      <c r="H769" s="3">
        <v>16.600000000000001</v>
      </c>
      <c r="I769" s="3">
        <v>16.600000000000001</v>
      </c>
      <c r="J769" s="3"/>
      <c r="L769" s="3"/>
      <c r="M769" s="3"/>
      <c r="N769" s="3"/>
      <c r="O769" s="3"/>
      <c r="P769" s="3"/>
      <c r="Q769" s="3"/>
      <c r="R769" s="3"/>
      <c r="S769" s="3"/>
    </row>
    <row r="770" spans="3:19" ht="15.75" customHeight="1" x14ac:dyDescent="0.2">
      <c r="C770" s="208">
        <v>43366</v>
      </c>
      <c r="D770" s="19">
        <v>0.44791666666666669</v>
      </c>
      <c r="E770" s="3">
        <v>10</v>
      </c>
      <c r="F770" s="24">
        <v>7.91</v>
      </c>
      <c r="G770" s="3">
        <v>81.2</v>
      </c>
      <c r="H770" s="3">
        <v>16.600000000000001</v>
      </c>
      <c r="I770" s="3">
        <v>16.600000000000001</v>
      </c>
      <c r="J770" s="3"/>
      <c r="L770" s="3"/>
      <c r="M770" s="3"/>
      <c r="N770" s="3"/>
      <c r="O770" s="3"/>
      <c r="P770" s="3"/>
      <c r="Q770" s="3"/>
      <c r="R770" s="3"/>
      <c r="S770" s="3"/>
    </row>
    <row r="771" spans="3:19" ht="15.75" customHeight="1" x14ac:dyDescent="0.2">
      <c r="C771" s="208">
        <v>43366</v>
      </c>
      <c r="D771" s="19">
        <v>0.44791666666666669</v>
      </c>
      <c r="E771" s="3">
        <v>11</v>
      </c>
      <c r="F771" s="24">
        <v>7.9</v>
      </c>
      <c r="G771" s="3">
        <v>81</v>
      </c>
      <c r="H771" s="3">
        <v>16.600000000000001</v>
      </c>
      <c r="I771" s="3">
        <v>16.600000000000001</v>
      </c>
      <c r="J771" s="3"/>
      <c r="L771" s="3"/>
      <c r="M771" s="3"/>
      <c r="N771" s="3"/>
      <c r="O771" s="3"/>
      <c r="P771" s="3"/>
      <c r="Q771" s="3"/>
      <c r="R771" s="3"/>
      <c r="S771" s="3"/>
    </row>
    <row r="772" spans="3:19" ht="15.75" customHeight="1" x14ac:dyDescent="0.2">
      <c r="C772" s="208">
        <v>43366</v>
      </c>
      <c r="D772" s="19">
        <v>0.44791666666666669</v>
      </c>
      <c r="E772" s="3">
        <v>12</v>
      </c>
      <c r="F772" s="24">
        <v>7.88</v>
      </c>
      <c r="G772" s="3">
        <v>80.900000000000006</v>
      </c>
      <c r="H772" s="3">
        <v>16.600000000000001</v>
      </c>
      <c r="I772" s="3">
        <v>16.600000000000001</v>
      </c>
      <c r="J772" s="3"/>
      <c r="L772" s="3"/>
      <c r="M772" s="3"/>
      <c r="N772" s="3"/>
      <c r="O772" s="3"/>
      <c r="P772" s="3"/>
      <c r="Q772" s="3"/>
      <c r="R772" s="3"/>
      <c r="S772" s="3"/>
    </row>
    <row r="773" spans="3:19" ht="15.75" customHeight="1" x14ac:dyDescent="0.2">
      <c r="C773" s="208">
        <v>43366</v>
      </c>
      <c r="D773" s="19">
        <v>0.44791666666666669</v>
      </c>
      <c r="E773" s="3">
        <v>13</v>
      </c>
      <c r="F773" s="24">
        <v>7.88</v>
      </c>
      <c r="G773" s="3">
        <v>80.8</v>
      </c>
      <c r="H773" s="3">
        <v>16.600000000000001</v>
      </c>
      <c r="I773" s="3">
        <v>16.600000000000001</v>
      </c>
      <c r="J773" s="3"/>
      <c r="L773" s="3"/>
      <c r="M773" s="3"/>
      <c r="N773" s="3"/>
      <c r="O773" s="3"/>
      <c r="P773" s="3"/>
      <c r="Q773" s="3"/>
      <c r="R773" s="3"/>
      <c r="S773" s="3"/>
    </row>
    <row r="774" spans="3:19" ht="15.75" customHeight="1" x14ac:dyDescent="0.2">
      <c r="C774" s="208">
        <v>43366</v>
      </c>
      <c r="D774" s="19">
        <v>0.44791666666666669</v>
      </c>
      <c r="E774" s="3">
        <v>14</v>
      </c>
      <c r="F774" s="24">
        <v>7.88</v>
      </c>
      <c r="G774" s="3">
        <v>80.7</v>
      </c>
      <c r="H774" s="3">
        <v>16.5</v>
      </c>
      <c r="I774" s="3">
        <v>16.5</v>
      </c>
      <c r="J774" s="3"/>
      <c r="L774" s="3"/>
      <c r="M774" s="3"/>
      <c r="N774" s="3"/>
      <c r="O774" s="3"/>
      <c r="P774" s="3"/>
      <c r="Q774" s="3"/>
      <c r="R774" s="3"/>
      <c r="S774" s="3"/>
    </row>
    <row r="775" spans="3:19" ht="15.75" customHeight="1" x14ac:dyDescent="0.2">
      <c r="C775" s="208">
        <v>43366</v>
      </c>
      <c r="D775" s="19">
        <v>0.44791666666666669</v>
      </c>
      <c r="E775" s="3">
        <v>15</v>
      </c>
      <c r="F775" s="24">
        <v>7.86</v>
      </c>
      <c r="G775" s="3">
        <v>80.5</v>
      </c>
      <c r="H775" s="3">
        <v>16.5</v>
      </c>
      <c r="I775" s="3">
        <v>16.5</v>
      </c>
      <c r="J775" s="3"/>
      <c r="L775" s="3"/>
      <c r="M775" s="3"/>
      <c r="N775" s="3"/>
      <c r="O775" s="3"/>
      <c r="P775" s="3"/>
      <c r="Q775" s="3"/>
      <c r="R775" s="3"/>
      <c r="S775" s="3"/>
    </row>
    <row r="776" spans="3:19" ht="15.75" customHeight="1" x14ac:dyDescent="0.2">
      <c r="C776" s="208">
        <v>43366</v>
      </c>
      <c r="D776" s="19">
        <v>0.44791666666666669</v>
      </c>
      <c r="E776" s="3">
        <v>16</v>
      </c>
      <c r="F776" s="24">
        <v>8.0500000000000007</v>
      </c>
      <c r="G776" s="3">
        <v>81.099999999999994</v>
      </c>
      <c r="H776" s="3">
        <v>15.7</v>
      </c>
      <c r="I776" s="3">
        <v>15.7</v>
      </c>
      <c r="J776" s="3"/>
      <c r="L776" s="3"/>
      <c r="M776" s="3"/>
      <c r="N776" s="3"/>
      <c r="O776" s="3"/>
      <c r="P776" s="3"/>
      <c r="Q776" s="3"/>
      <c r="R776" s="3"/>
      <c r="S776" s="3"/>
    </row>
    <row r="777" spans="3:19" ht="15.75" customHeight="1" x14ac:dyDescent="0.2">
      <c r="C777" s="208">
        <v>43366</v>
      </c>
      <c r="D777" s="19">
        <v>0.44791666666666669</v>
      </c>
      <c r="E777" s="3">
        <v>17</v>
      </c>
      <c r="F777" s="24">
        <v>8.1999999999999993</v>
      </c>
      <c r="G777" s="3">
        <v>77.900000000000006</v>
      </c>
      <c r="H777" s="7">
        <v>13</v>
      </c>
      <c r="I777" s="17">
        <f>AVERAGE(I760:I776)</f>
        <v>16.517647058823524</v>
      </c>
      <c r="J777" s="17"/>
      <c r="L777" s="3"/>
      <c r="M777" s="3"/>
      <c r="N777" s="3"/>
      <c r="O777" s="3"/>
      <c r="P777" s="3"/>
      <c r="Q777" s="3"/>
      <c r="R777" s="3"/>
      <c r="S777" s="3"/>
    </row>
    <row r="778" spans="3:19" ht="15.75" customHeight="1" x14ac:dyDescent="0.2">
      <c r="C778" s="208">
        <v>43366</v>
      </c>
      <c r="D778" s="19">
        <v>0.44791666666666669</v>
      </c>
      <c r="E778" s="3">
        <v>19</v>
      </c>
      <c r="F778" s="24">
        <v>8.32</v>
      </c>
      <c r="G778" s="3">
        <v>71.599999999999994</v>
      </c>
      <c r="H778" s="7">
        <v>8.8000000000000007</v>
      </c>
      <c r="I778" s="3"/>
      <c r="L778" s="3"/>
      <c r="M778" s="3"/>
      <c r="N778" s="3"/>
      <c r="O778" s="3"/>
      <c r="P778" s="3"/>
      <c r="Q778" s="3"/>
      <c r="R778" s="3"/>
      <c r="S778" s="3"/>
    </row>
    <row r="779" spans="3:19" ht="15.75" customHeight="1" x14ac:dyDescent="0.2">
      <c r="C779" s="208">
        <v>43366</v>
      </c>
      <c r="D779" s="19">
        <v>0.44791666666666669</v>
      </c>
      <c r="E779" s="3">
        <v>21</v>
      </c>
      <c r="F779" s="24">
        <v>8.4</v>
      </c>
      <c r="G779" s="3">
        <v>69.5</v>
      </c>
      <c r="H779" s="7">
        <v>7.3</v>
      </c>
      <c r="I779" s="3"/>
      <c r="L779" s="3"/>
      <c r="M779" s="3"/>
      <c r="N779" s="3"/>
      <c r="O779" s="3"/>
      <c r="P779" s="3"/>
      <c r="Q779" s="3"/>
      <c r="R779" s="3"/>
      <c r="S779" s="3"/>
    </row>
    <row r="780" spans="3:19" ht="15.75" customHeight="1" x14ac:dyDescent="0.2">
      <c r="C780" s="208">
        <v>43366</v>
      </c>
      <c r="D780" s="19">
        <v>0.44791666666666669</v>
      </c>
      <c r="E780" s="3">
        <v>23</v>
      </c>
      <c r="F780" s="24">
        <v>8.42</v>
      </c>
      <c r="G780" s="3">
        <v>69</v>
      </c>
      <c r="H780" s="7">
        <v>6.8</v>
      </c>
      <c r="I780" s="3"/>
      <c r="L780" s="3"/>
      <c r="M780" s="3"/>
      <c r="N780" s="3"/>
      <c r="O780" s="3"/>
      <c r="P780" s="3"/>
      <c r="Q780" s="3"/>
      <c r="R780" s="3"/>
      <c r="S780" s="3"/>
    </row>
    <row r="781" spans="3:19" ht="15.75" customHeight="1" x14ac:dyDescent="0.2">
      <c r="C781" s="208">
        <v>43366</v>
      </c>
      <c r="D781" s="19">
        <v>0.44791666666666669</v>
      </c>
      <c r="E781" s="3">
        <v>25</v>
      </c>
      <c r="F781" s="24">
        <v>8.52</v>
      </c>
      <c r="G781" s="3">
        <v>69.2</v>
      </c>
      <c r="H781" s="7">
        <v>6.4</v>
      </c>
      <c r="I781" s="3"/>
      <c r="L781" s="3"/>
      <c r="M781" s="3"/>
      <c r="N781" s="3"/>
      <c r="O781" s="3"/>
      <c r="P781" s="3"/>
      <c r="Q781" s="3"/>
      <c r="R781" s="3"/>
      <c r="S781" s="3"/>
    </row>
    <row r="782" spans="3:19" ht="15.75" customHeight="1" x14ac:dyDescent="0.2">
      <c r="C782" s="208">
        <v>43366</v>
      </c>
      <c r="D782" s="19">
        <v>0.44791666666666669</v>
      </c>
      <c r="E782" s="3">
        <v>27</v>
      </c>
      <c r="F782" s="24">
        <v>8.5399999999999991</v>
      </c>
      <c r="G782" s="3">
        <v>69</v>
      </c>
      <c r="H782" s="3">
        <v>6.2</v>
      </c>
      <c r="I782" s="3"/>
      <c r="L782" s="3"/>
      <c r="M782" s="3"/>
      <c r="N782" s="3"/>
      <c r="O782" s="3"/>
      <c r="P782" s="3"/>
      <c r="Q782" s="3"/>
      <c r="R782" s="3"/>
      <c r="S782" s="3"/>
    </row>
    <row r="783" spans="3:19" ht="15.75" customHeight="1" x14ac:dyDescent="0.2">
      <c r="C783" s="208">
        <v>43366</v>
      </c>
      <c r="D783" s="19">
        <v>0.44791666666666669</v>
      </c>
      <c r="E783" s="3">
        <v>29</v>
      </c>
      <c r="F783" s="24">
        <v>8.58</v>
      </c>
      <c r="G783" s="3">
        <v>69</v>
      </c>
      <c r="H783" s="7">
        <v>6</v>
      </c>
      <c r="I783" s="3"/>
      <c r="L783" s="3"/>
      <c r="M783" s="3"/>
      <c r="N783" s="3"/>
      <c r="O783" s="3"/>
      <c r="P783" s="3"/>
      <c r="Q783" s="3"/>
      <c r="R783" s="3"/>
      <c r="S783" s="3"/>
    </row>
    <row r="784" spans="3:19" ht="15.75" customHeight="1" x14ac:dyDescent="0.2">
      <c r="C784" s="208">
        <v>43366</v>
      </c>
      <c r="D784" s="19">
        <v>0.44791666666666669</v>
      </c>
      <c r="E784" s="3">
        <v>31</v>
      </c>
      <c r="F784" s="24">
        <v>8.57</v>
      </c>
      <c r="G784" s="3">
        <v>68.599999999999994</v>
      </c>
      <c r="H784" s="3">
        <v>5.9</v>
      </c>
      <c r="I784" s="3"/>
      <c r="L784" s="3"/>
      <c r="M784" s="3"/>
      <c r="N784" s="3"/>
      <c r="O784" s="3"/>
      <c r="P784" s="3"/>
      <c r="Q784" s="3"/>
      <c r="R784" s="3"/>
      <c r="S784" s="3"/>
    </row>
    <row r="785" spans="3:30" ht="15.75" customHeight="1" x14ac:dyDescent="0.2">
      <c r="C785" s="208">
        <v>43366</v>
      </c>
      <c r="D785" s="19">
        <v>0.44791666666666669</v>
      </c>
      <c r="E785" s="3">
        <v>33</v>
      </c>
      <c r="F785" s="24">
        <v>8.52</v>
      </c>
      <c r="G785" s="3">
        <v>68</v>
      </c>
      <c r="H785" s="3">
        <v>5.8</v>
      </c>
      <c r="I785" s="3"/>
      <c r="L785" s="3"/>
      <c r="M785" s="3"/>
      <c r="N785" s="3"/>
      <c r="O785" s="3"/>
      <c r="P785" s="3"/>
      <c r="Q785" s="3"/>
      <c r="R785" s="3"/>
      <c r="S785" s="3"/>
    </row>
    <row r="786" spans="3:30" ht="15.75" customHeight="1" x14ac:dyDescent="0.2">
      <c r="C786" s="208">
        <v>43366</v>
      </c>
      <c r="D786" s="19">
        <v>0.44791666666666669</v>
      </c>
      <c r="E786" s="3">
        <v>35</v>
      </c>
      <c r="F786" s="24">
        <v>8.4600000000000009</v>
      </c>
      <c r="G786" s="3">
        <v>67.400000000000006</v>
      </c>
      <c r="H786" s="3">
        <v>5.7</v>
      </c>
      <c r="I786" s="3"/>
      <c r="L786" s="3"/>
      <c r="M786" s="3"/>
      <c r="N786" s="3"/>
      <c r="O786" s="3"/>
      <c r="P786" s="3"/>
      <c r="Q786" s="1" t="s">
        <v>67</v>
      </c>
      <c r="S786" s="3"/>
      <c r="T786" s="3">
        <v>7</v>
      </c>
      <c r="U786" s="1">
        <v>8</v>
      </c>
      <c r="W786" s="3"/>
      <c r="Z786" s="1">
        <v>2.3E-3</v>
      </c>
      <c r="AA786" s="3">
        <v>0.129</v>
      </c>
      <c r="AB786" s="50">
        <f t="shared" ref="AB786:AB787" si="0">+AA786/Z786</f>
        <v>56.086956521739133</v>
      </c>
      <c r="AC786" s="3">
        <v>1.98</v>
      </c>
      <c r="AD786" s="3">
        <v>0</v>
      </c>
    </row>
    <row r="787" spans="3:30" ht="15.75" customHeight="1" x14ac:dyDescent="0.2">
      <c r="C787" s="208">
        <v>43366</v>
      </c>
      <c r="D787" s="19">
        <v>0.44791666666666669</v>
      </c>
      <c r="E787" s="3">
        <v>37</v>
      </c>
      <c r="F787" s="24">
        <v>8.42</v>
      </c>
      <c r="G787" s="3">
        <v>67.099999999999994</v>
      </c>
      <c r="H787" s="3">
        <v>5.7</v>
      </c>
      <c r="I787" s="3"/>
      <c r="L787" s="3"/>
      <c r="M787" s="3"/>
      <c r="N787" s="3"/>
      <c r="O787" s="3"/>
      <c r="P787" s="3"/>
      <c r="Q787" s="1" t="s">
        <v>68</v>
      </c>
      <c r="S787" s="3"/>
      <c r="T787" s="3">
        <v>7.5</v>
      </c>
      <c r="U787" s="1">
        <v>9</v>
      </c>
      <c r="W787" s="3"/>
      <c r="Z787" s="1">
        <v>4.3E-3</v>
      </c>
      <c r="AA787" s="3">
        <v>0.13300000000000001</v>
      </c>
      <c r="AB787" s="50">
        <f t="shared" si="0"/>
        <v>30.930232558139537</v>
      </c>
      <c r="AC787" s="3">
        <v>0.51</v>
      </c>
      <c r="AD787" s="3">
        <v>0.06</v>
      </c>
    </row>
    <row r="788" spans="3:30" ht="15.75" customHeight="1" x14ac:dyDescent="0.2">
      <c r="C788" s="208">
        <v>43366</v>
      </c>
      <c r="D788" s="19">
        <v>0.44791666666666669</v>
      </c>
      <c r="E788" s="3">
        <v>39</v>
      </c>
      <c r="F788" s="24">
        <v>8.4</v>
      </c>
      <c r="G788" s="3">
        <v>66.7</v>
      </c>
      <c r="H788" s="3">
        <v>5.6</v>
      </c>
      <c r="I788" s="3"/>
      <c r="L788" s="3"/>
      <c r="M788" s="3"/>
      <c r="N788" s="3"/>
      <c r="O788" s="3"/>
      <c r="P788" s="3"/>
      <c r="S788" s="3"/>
      <c r="T788" s="3"/>
      <c r="W788" s="3"/>
      <c r="AA788" s="3"/>
      <c r="AB788" s="50"/>
      <c r="AC788" s="3"/>
      <c r="AD788" s="3"/>
    </row>
    <row r="789" spans="3:30" ht="15.75" customHeight="1" x14ac:dyDescent="0.2">
      <c r="C789" s="208">
        <v>43366</v>
      </c>
      <c r="D789" s="19">
        <v>0.44791666666666669</v>
      </c>
      <c r="E789" s="3">
        <v>41</v>
      </c>
      <c r="F789" s="24">
        <v>8.26</v>
      </c>
      <c r="G789" s="3">
        <v>65.5</v>
      </c>
      <c r="H789" s="3">
        <v>5.5</v>
      </c>
      <c r="I789" s="3"/>
      <c r="L789" s="3"/>
      <c r="M789" s="3"/>
      <c r="N789" s="3"/>
      <c r="O789" s="3"/>
      <c r="P789" s="3"/>
      <c r="Q789" s="1" t="s">
        <v>69</v>
      </c>
      <c r="S789" s="3"/>
      <c r="T789" s="3">
        <v>10</v>
      </c>
      <c r="U789" s="1">
        <v>14.5</v>
      </c>
      <c r="W789" s="3"/>
      <c r="Z789" s="1">
        <v>2.7000000000000001E-3</v>
      </c>
      <c r="AA789" s="3">
        <v>0.111</v>
      </c>
      <c r="AB789" s="50">
        <f t="shared" ref="AB789:AB792" si="1">+AA789/Z789</f>
        <v>41.111111111111107</v>
      </c>
      <c r="AC789" s="3">
        <v>0.78</v>
      </c>
      <c r="AD789" s="3">
        <v>0.06</v>
      </c>
    </row>
    <row r="790" spans="3:30" ht="15.75" customHeight="1" x14ac:dyDescent="0.2">
      <c r="C790" s="208">
        <v>43366</v>
      </c>
      <c r="D790" s="19">
        <v>0.44791666666666669</v>
      </c>
      <c r="E790" s="3">
        <v>43</v>
      </c>
      <c r="F790" s="24">
        <v>8.1999999999999993</v>
      </c>
      <c r="G790" s="3">
        <v>65</v>
      </c>
      <c r="H790" s="3">
        <v>5.5</v>
      </c>
      <c r="I790" s="3"/>
      <c r="L790" s="3"/>
      <c r="M790" s="3"/>
      <c r="N790" s="3"/>
      <c r="O790" s="3"/>
      <c r="P790" s="3"/>
      <c r="Q790" s="1" t="s">
        <v>70</v>
      </c>
      <c r="S790" s="3"/>
      <c r="T790" s="3">
        <v>11</v>
      </c>
      <c r="U790" s="1">
        <v>14</v>
      </c>
      <c r="W790" s="3"/>
      <c r="Z790" s="1">
        <v>5.4999999999999997E-3</v>
      </c>
      <c r="AA790" s="3">
        <v>0.106</v>
      </c>
      <c r="AB790" s="50">
        <f t="shared" si="1"/>
        <v>19.272727272727273</v>
      </c>
      <c r="AC790" s="3">
        <v>0.4</v>
      </c>
      <c r="AD790" s="3">
        <v>0.05</v>
      </c>
    </row>
    <row r="791" spans="3:30" ht="15.75" customHeight="1" x14ac:dyDescent="0.2">
      <c r="C791" s="208">
        <v>43366</v>
      </c>
      <c r="D791" s="19">
        <v>0.44791666666666669</v>
      </c>
      <c r="E791" s="3">
        <v>45</v>
      </c>
      <c r="F791" s="24">
        <v>8.1300000000000008</v>
      </c>
      <c r="G791" s="3">
        <v>64.400000000000006</v>
      </c>
      <c r="H791" s="3">
        <v>5.5</v>
      </c>
      <c r="I791" s="3"/>
      <c r="L791" s="3"/>
      <c r="M791" s="3"/>
      <c r="N791" s="3"/>
      <c r="O791" s="3"/>
      <c r="P791" s="3"/>
      <c r="Q791" s="1" t="s">
        <v>72</v>
      </c>
      <c r="S791" s="3"/>
      <c r="T791" s="3">
        <v>12</v>
      </c>
      <c r="U791" s="1">
        <v>13.75</v>
      </c>
      <c r="W791" s="3"/>
      <c r="Z791" s="1">
        <v>1.35E-2</v>
      </c>
      <c r="AA791" s="3">
        <v>0.107</v>
      </c>
      <c r="AB791" s="50">
        <f t="shared" si="1"/>
        <v>7.9259259259259256</v>
      </c>
      <c r="AC791" s="3">
        <v>0.48</v>
      </c>
      <c r="AD791" s="3">
        <v>7.0000000000000007E-2</v>
      </c>
    </row>
    <row r="792" spans="3:30" ht="15.75" customHeight="1" x14ac:dyDescent="0.2">
      <c r="C792" s="208">
        <v>43366</v>
      </c>
      <c r="D792" s="19">
        <v>0.44791666666666669</v>
      </c>
      <c r="E792" s="3">
        <v>47</v>
      </c>
      <c r="F792" s="24">
        <v>8.09</v>
      </c>
      <c r="G792" s="3">
        <v>64.2</v>
      </c>
      <c r="H792" s="3">
        <v>5.5</v>
      </c>
      <c r="I792" s="3"/>
      <c r="L792" s="3"/>
      <c r="M792" s="3"/>
      <c r="N792" s="3"/>
      <c r="O792" s="3"/>
      <c r="P792" s="3"/>
      <c r="Q792" s="1" t="s">
        <v>73</v>
      </c>
      <c r="S792" s="3"/>
      <c r="T792" s="3">
        <v>9</v>
      </c>
      <c r="U792" s="1">
        <v>12.25</v>
      </c>
      <c r="W792" s="3"/>
      <c r="Z792" s="1">
        <v>2.8999999999999998E-3</v>
      </c>
      <c r="AA792" s="3">
        <v>9.7000000000000003E-2</v>
      </c>
      <c r="AB792" s="50">
        <f t="shared" si="1"/>
        <v>33.448275862068968</v>
      </c>
      <c r="AC792" s="3">
        <v>0.34</v>
      </c>
      <c r="AD792" s="3">
        <v>0.04</v>
      </c>
    </row>
    <row r="793" spans="3:30" ht="15.75" customHeight="1" x14ac:dyDescent="0.2">
      <c r="C793" s="208"/>
      <c r="D793" s="19"/>
      <c r="E793" s="3"/>
      <c r="G793" s="3"/>
      <c r="H793" s="3"/>
      <c r="I793" s="3"/>
      <c r="L793" s="3"/>
      <c r="M793" s="3"/>
      <c r="N793" s="3"/>
      <c r="O793" s="3"/>
      <c r="P793" s="3"/>
      <c r="S793" s="3"/>
      <c r="T793" s="3"/>
      <c r="W793" s="3"/>
      <c r="AA793" s="3"/>
      <c r="AB793" s="3"/>
      <c r="AC793" s="3"/>
      <c r="AD793" s="3"/>
    </row>
    <row r="794" spans="3:30" ht="15.75" customHeight="1" x14ac:dyDescent="0.2">
      <c r="C794" s="214">
        <v>42877</v>
      </c>
      <c r="D794" s="19">
        <v>0.39930555555555558</v>
      </c>
      <c r="E794" s="20"/>
      <c r="G794" s="3"/>
      <c r="H794" s="20"/>
      <c r="I794" s="3"/>
      <c r="J794">
        <v>7</v>
      </c>
      <c r="K794">
        <v>8</v>
      </c>
      <c r="L794" s="3"/>
      <c r="M794" s="3"/>
      <c r="N794" s="3"/>
      <c r="O794" s="3"/>
      <c r="P794" s="3"/>
      <c r="Q794" s="3"/>
      <c r="R794" s="3"/>
      <c r="S794" s="3"/>
    </row>
    <row r="795" spans="3:30" ht="15.75" customHeight="1" x14ac:dyDescent="0.2">
      <c r="C795" s="214">
        <v>42877</v>
      </c>
      <c r="D795" s="19">
        <v>0.40625</v>
      </c>
      <c r="E795" s="20">
        <v>0.1</v>
      </c>
      <c r="F795" s="190">
        <v>9.51</v>
      </c>
      <c r="G795" s="190">
        <v>89.4</v>
      </c>
      <c r="H795">
        <v>12.6</v>
      </c>
      <c r="I795" s="3"/>
      <c r="L795" s="3"/>
      <c r="M795" s="3"/>
      <c r="N795" s="3"/>
      <c r="O795" s="3"/>
      <c r="P795" s="3"/>
      <c r="Q795" s="3"/>
      <c r="R795" s="3"/>
      <c r="S795" s="3"/>
    </row>
    <row r="796" spans="3:30" ht="15.75" customHeight="1" x14ac:dyDescent="0.2">
      <c r="C796" s="214">
        <v>42877</v>
      </c>
      <c r="D796" s="19">
        <v>0.40625</v>
      </c>
      <c r="E796" s="20">
        <v>1</v>
      </c>
      <c r="F796" s="190">
        <v>9.6199999999999992</v>
      </c>
      <c r="G796" s="190">
        <v>89.3</v>
      </c>
      <c r="H796">
        <v>12</v>
      </c>
      <c r="I796" s="3"/>
      <c r="L796" s="3"/>
      <c r="M796" s="3"/>
      <c r="N796" s="3"/>
      <c r="O796" s="3"/>
      <c r="P796" s="3"/>
      <c r="Q796" s="3"/>
      <c r="R796" s="3"/>
      <c r="S796" s="3"/>
    </row>
    <row r="797" spans="3:30" ht="15.75" customHeight="1" x14ac:dyDescent="0.2">
      <c r="C797" s="214">
        <v>42877</v>
      </c>
      <c r="D797" s="19">
        <v>0.40625</v>
      </c>
      <c r="E797" s="20">
        <v>2</v>
      </c>
      <c r="F797" s="190">
        <v>9.6199999999999992</v>
      </c>
      <c r="G797" s="190">
        <v>88.9</v>
      </c>
      <c r="H797">
        <v>11.8</v>
      </c>
      <c r="I797" s="3"/>
      <c r="L797" s="3"/>
      <c r="M797" s="3"/>
      <c r="N797" s="3"/>
      <c r="O797" s="3"/>
      <c r="P797" s="3"/>
      <c r="Q797" s="3"/>
      <c r="R797" s="3"/>
      <c r="S797" s="3"/>
    </row>
    <row r="798" spans="3:30" ht="15.75" customHeight="1" x14ac:dyDescent="0.2">
      <c r="C798" s="214">
        <v>42877</v>
      </c>
      <c r="D798" s="19">
        <v>0.40625</v>
      </c>
      <c r="E798" s="20">
        <v>3</v>
      </c>
      <c r="F798" s="190">
        <v>9.7200000000000006</v>
      </c>
      <c r="G798" s="190">
        <v>88.1</v>
      </c>
      <c r="H798">
        <v>11</v>
      </c>
      <c r="I798" s="3"/>
      <c r="L798" s="3"/>
      <c r="M798" s="3"/>
      <c r="N798" s="3"/>
      <c r="O798" s="3"/>
      <c r="P798" s="3"/>
      <c r="Q798" s="3"/>
      <c r="R798" s="3"/>
      <c r="S798" s="3"/>
    </row>
    <row r="799" spans="3:30" ht="15.75" customHeight="1" x14ac:dyDescent="0.2">
      <c r="C799" s="214">
        <v>42877</v>
      </c>
      <c r="D799" s="19">
        <v>0.40625</v>
      </c>
      <c r="E799" s="20">
        <v>4</v>
      </c>
      <c r="F799" s="190">
        <v>9.89</v>
      </c>
      <c r="G799" s="190">
        <v>88.2</v>
      </c>
      <c r="H799">
        <v>10.1</v>
      </c>
      <c r="I799" s="3"/>
      <c r="L799" s="3"/>
      <c r="M799" s="3"/>
      <c r="N799" s="3"/>
      <c r="O799" s="3"/>
      <c r="P799" s="3"/>
      <c r="Q799" s="3"/>
      <c r="R799" s="3"/>
      <c r="S799" s="3"/>
    </row>
    <row r="800" spans="3:30" ht="15.75" customHeight="1" x14ac:dyDescent="0.2">
      <c r="C800" s="214">
        <v>42877</v>
      </c>
      <c r="D800" s="19">
        <v>0.40625</v>
      </c>
      <c r="E800" s="20">
        <v>5</v>
      </c>
      <c r="F800" s="190">
        <v>10.02</v>
      </c>
      <c r="G800" s="190">
        <v>88</v>
      </c>
      <c r="H800">
        <v>9.6999999999999993</v>
      </c>
      <c r="I800" s="3"/>
      <c r="L800" s="3"/>
      <c r="M800" s="3"/>
      <c r="N800" s="3"/>
      <c r="O800" s="3"/>
      <c r="P800" s="3"/>
      <c r="Q800" s="3"/>
      <c r="R800" s="3"/>
      <c r="S800" s="3"/>
    </row>
    <row r="801" spans="3:19" ht="15.75" customHeight="1" x14ac:dyDescent="0.2">
      <c r="C801" s="214">
        <v>42877</v>
      </c>
      <c r="D801" s="19">
        <v>0.40625</v>
      </c>
      <c r="E801" s="20">
        <v>6</v>
      </c>
      <c r="F801" s="190">
        <v>10.050000000000001</v>
      </c>
      <c r="G801" s="3">
        <v>86.7</v>
      </c>
      <c r="H801">
        <v>8.9</v>
      </c>
      <c r="I801" s="3"/>
      <c r="L801" s="3"/>
      <c r="M801" s="3"/>
      <c r="N801" s="3"/>
      <c r="O801" s="3"/>
      <c r="P801" s="3"/>
      <c r="Q801" s="3"/>
      <c r="R801" s="3"/>
      <c r="S801" s="3"/>
    </row>
    <row r="802" spans="3:19" ht="15.75" customHeight="1" x14ac:dyDescent="0.2">
      <c r="C802" s="214">
        <v>42877</v>
      </c>
      <c r="D802" s="19">
        <v>0.40625</v>
      </c>
      <c r="E802" s="20">
        <v>7</v>
      </c>
      <c r="F802" s="190">
        <v>10.029999999999999</v>
      </c>
      <c r="G802" s="3">
        <v>85.5</v>
      </c>
      <c r="H802">
        <v>8.5</v>
      </c>
      <c r="I802" s="3"/>
      <c r="L802" s="3"/>
      <c r="M802" s="3"/>
      <c r="N802" s="3"/>
      <c r="O802" s="3"/>
      <c r="P802" s="3"/>
      <c r="Q802" s="3"/>
      <c r="R802" s="3"/>
      <c r="S802" s="3"/>
    </row>
    <row r="803" spans="3:19" ht="15.75" customHeight="1" x14ac:dyDescent="0.2">
      <c r="C803" s="214">
        <v>42877</v>
      </c>
      <c r="D803" s="19">
        <v>0.40625</v>
      </c>
      <c r="E803" s="20">
        <v>8</v>
      </c>
      <c r="F803" s="190">
        <v>9.9700000000000006</v>
      </c>
      <c r="G803" s="3">
        <v>84.8</v>
      </c>
      <c r="H803">
        <v>8.3000000000000007</v>
      </c>
      <c r="I803" s="3"/>
      <c r="L803" s="3"/>
      <c r="M803" s="3"/>
      <c r="N803" s="3"/>
      <c r="O803" s="3"/>
      <c r="P803" s="3"/>
      <c r="Q803" s="3"/>
      <c r="R803" s="3"/>
      <c r="S803" s="3"/>
    </row>
    <row r="804" spans="3:19" ht="15.75" customHeight="1" x14ac:dyDescent="0.2">
      <c r="C804" s="214">
        <v>42877</v>
      </c>
      <c r="D804" s="19">
        <v>0.40625</v>
      </c>
      <c r="E804" s="20">
        <v>9</v>
      </c>
      <c r="F804" s="190">
        <v>9.93</v>
      </c>
      <c r="G804" s="3">
        <v>84.2</v>
      </c>
      <c r="H804">
        <v>8.1999999999999993</v>
      </c>
      <c r="I804" s="3"/>
      <c r="L804" s="3"/>
      <c r="M804" s="3"/>
      <c r="N804" s="3"/>
      <c r="O804" s="3"/>
      <c r="P804" s="3"/>
      <c r="Q804" s="3"/>
      <c r="R804" s="3"/>
      <c r="S804" s="3"/>
    </row>
    <row r="805" spans="3:19" ht="15.75" customHeight="1" x14ac:dyDescent="0.2">
      <c r="C805" s="214">
        <v>42877</v>
      </c>
      <c r="D805" s="19">
        <v>0.40625</v>
      </c>
      <c r="E805" s="20">
        <v>10</v>
      </c>
      <c r="F805" s="190">
        <v>9.89</v>
      </c>
      <c r="G805" s="3">
        <v>83.5</v>
      </c>
      <c r="H805">
        <v>8</v>
      </c>
      <c r="I805" s="3"/>
      <c r="L805" s="3"/>
      <c r="M805" s="3"/>
      <c r="N805" s="3"/>
      <c r="O805" s="3"/>
      <c r="P805" s="3"/>
      <c r="Q805" s="3"/>
      <c r="R805" s="3"/>
      <c r="S805" s="3"/>
    </row>
    <row r="806" spans="3:19" ht="15.75" customHeight="1" x14ac:dyDescent="0.2">
      <c r="C806" s="214">
        <v>42877</v>
      </c>
      <c r="D806" s="19">
        <v>0.40625</v>
      </c>
      <c r="E806" s="20">
        <v>11</v>
      </c>
      <c r="F806" s="190">
        <v>9.85</v>
      </c>
      <c r="G806" s="3">
        <v>82.9</v>
      </c>
      <c r="H806">
        <v>7.9</v>
      </c>
      <c r="I806" s="3"/>
      <c r="L806" s="3"/>
      <c r="M806" s="3"/>
      <c r="N806" s="3"/>
      <c r="O806" s="3"/>
      <c r="P806" s="3"/>
      <c r="Q806" s="3"/>
      <c r="R806" s="3"/>
      <c r="S806" s="3"/>
    </row>
    <row r="807" spans="3:19" ht="15.75" customHeight="1" x14ac:dyDescent="0.2">
      <c r="C807" s="214">
        <v>42877</v>
      </c>
      <c r="D807" s="19">
        <v>0.40625</v>
      </c>
      <c r="E807" s="20">
        <v>12</v>
      </c>
      <c r="F807" s="190">
        <v>9.8000000000000007</v>
      </c>
      <c r="G807" s="3">
        <v>82.1</v>
      </c>
      <c r="H807">
        <v>7.8</v>
      </c>
      <c r="I807" s="3"/>
      <c r="L807" s="3"/>
      <c r="M807" s="3"/>
      <c r="N807" s="3"/>
      <c r="O807" s="3"/>
      <c r="P807" s="3"/>
      <c r="Q807" s="3"/>
      <c r="R807" s="3"/>
      <c r="S807" s="3"/>
    </row>
    <row r="808" spans="3:19" ht="15.75" customHeight="1" x14ac:dyDescent="0.2">
      <c r="C808" s="214">
        <v>42877</v>
      </c>
      <c r="D808" s="19">
        <v>0.40625</v>
      </c>
      <c r="E808" s="20">
        <v>13</v>
      </c>
      <c r="F808" s="190">
        <v>9.76</v>
      </c>
      <c r="G808" s="3">
        <v>81.3</v>
      </c>
      <c r="H808">
        <v>7.5</v>
      </c>
      <c r="I808" s="3"/>
      <c r="L808" s="3"/>
      <c r="M808" s="3"/>
      <c r="N808" s="3"/>
      <c r="O808" s="3"/>
      <c r="P808" s="3"/>
      <c r="Q808" s="3"/>
      <c r="R808" s="3"/>
      <c r="S808" s="3"/>
    </row>
    <row r="809" spans="3:19" ht="15.75" customHeight="1" x14ac:dyDescent="0.2">
      <c r="C809" s="214">
        <v>42877</v>
      </c>
      <c r="D809" s="19">
        <v>0.40625</v>
      </c>
      <c r="E809" s="20">
        <v>14</v>
      </c>
      <c r="F809" s="190">
        <v>9.74</v>
      </c>
      <c r="G809" s="3">
        <v>80.8</v>
      </c>
      <c r="H809">
        <v>7.3</v>
      </c>
      <c r="I809" s="3"/>
      <c r="L809" s="3"/>
      <c r="M809" s="3"/>
      <c r="N809" s="3"/>
      <c r="O809" s="3"/>
      <c r="P809" s="3"/>
      <c r="Q809" s="3"/>
      <c r="R809" s="3"/>
      <c r="S809" s="3"/>
    </row>
    <row r="810" spans="3:19" ht="15.75" customHeight="1" x14ac:dyDescent="0.2">
      <c r="C810" s="214">
        <v>42877</v>
      </c>
      <c r="D810" s="19">
        <v>0.40625</v>
      </c>
      <c r="E810" s="20">
        <v>15</v>
      </c>
      <c r="F810" s="190">
        <v>9.81</v>
      </c>
      <c r="G810" s="3">
        <v>80.8</v>
      </c>
      <c r="H810">
        <v>7.2</v>
      </c>
      <c r="I810" s="3"/>
      <c r="L810" s="3"/>
      <c r="M810" s="3"/>
      <c r="N810" s="3"/>
      <c r="O810" s="3"/>
      <c r="P810" s="3"/>
      <c r="Q810" s="3"/>
      <c r="R810" s="3"/>
      <c r="S810" s="3"/>
    </row>
    <row r="811" spans="3:19" ht="15.75" customHeight="1" x14ac:dyDescent="0.2">
      <c r="C811" s="214">
        <v>42877</v>
      </c>
      <c r="D811" s="19">
        <v>0.40625</v>
      </c>
      <c r="E811" s="20">
        <v>16</v>
      </c>
      <c r="F811" s="190">
        <v>9.81</v>
      </c>
      <c r="G811" s="3">
        <v>80.400000000000006</v>
      </c>
      <c r="H811">
        <v>6.9</v>
      </c>
      <c r="I811" s="3"/>
      <c r="L811" s="3"/>
      <c r="M811" s="3"/>
      <c r="N811" s="3"/>
      <c r="O811" s="3"/>
      <c r="P811" s="3"/>
      <c r="Q811" s="3"/>
      <c r="R811" s="3"/>
      <c r="S811" s="3"/>
    </row>
    <row r="812" spans="3:19" ht="15.75" customHeight="1" x14ac:dyDescent="0.2">
      <c r="C812" s="214">
        <v>42877</v>
      </c>
      <c r="D812" s="19">
        <v>0.40625</v>
      </c>
      <c r="E812" s="20">
        <v>17</v>
      </c>
      <c r="F812" s="190">
        <v>9.7899999999999991</v>
      </c>
      <c r="G812" s="3">
        <v>80</v>
      </c>
      <c r="H812">
        <v>6.7</v>
      </c>
      <c r="I812" s="3"/>
      <c r="L812" s="3"/>
      <c r="M812" s="3"/>
      <c r="N812" s="3"/>
      <c r="O812" s="3"/>
      <c r="P812" s="3"/>
      <c r="Q812" s="3"/>
      <c r="R812" s="3"/>
      <c r="S812" s="3"/>
    </row>
    <row r="813" spans="3:19" ht="15.75" customHeight="1" x14ac:dyDescent="0.2">
      <c r="C813" s="214">
        <v>42877</v>
      </c>
      <c r="D813" s="19">
        <v>0.40625</v>
      </c>
      <c r="E813" s="20">
        <v>18</v>
      </c>
      <c r="F813" s="190">
        <v>9.7799999999999994</v>
      </c>
      <c r="G813" s="3">
        <v>79.599999999999994</v>
      </c>
      <c r="H813">
        <v>6.5</v>
      </c>
      <c r="I813" s="3"/>
      <c r="L813" s="3"/>
      <c r="M813" s="3"/>
      <c r="N813" s="3"/>
      <c r="O813" s="3"/>
      <c r="P813" s="3"/>
      <c r="Q813" s="3"/>
      <c r="R813" s="3"/>
      <c r="S813" s="3"/>
    </row>
    <row r="814" spans="3:19" ht="15.75" customHeight="1" x14ac:dyDescent="0.2">
      <c r="C814" s="214">
        <v>42877</v>
      </c>
      <c r="D814" s="19">
        <v>0.40625</v>
      </c>
      <c r="E814" s="20">
        <v>19</v>
      </c>
      <c r="F814" s="190">
        <v>9.76</v>
      </c>
      <c r="G814" s="3">
        <v>78.900000000000006</v>
      </c>
      <c r="H814">
        <v>6.4</v>
      </c>
      <c r="I814" s="3"/>
      <c r="L814" s="3"/>
      <c r="M814" s="3"/>
      <c r="N814" s="3"/>
      <c r="O814" s="3"/>
      <c r="P814" s="3"/>
      <c r="Q814" s="3"/>
      <c r="R814" s="3"/>
      <c r="S814" s="3"/>
    </row>
    <row r="815" spans="3:19" ht="15.75" customHeight="1" x14ac:dyDescent="0.2">
      <c r="C815" s="214">
        <v>42877</v>
      </c>
      <c r="D815" s="19">
        <v>0.40625</v>
      </c>
      <c r="E815" s="20">
        <v>20</v>
      </c>
      <c r="F815" s="190">
        <v>9.73</v>
      </c>
      <c r="G815" s="3">
        <v>78.3</v>
      </c>
      <c r="H815">
        <v>6.1</v>
      </c>
      <c r="I815" s="3"/>
      <c r="L815" s="3"/>
      <c r="M815" s="3"/>
      <c r="N815" s="3"/>
      <c r="O815" s="3"/>
      <c r="P815" s="3"/>
      <c r="Q815" s="3"/>
      <c r="R815" s="3"/>
      <c r="S815" s="3"/>
    </row>
    <row r="816" spans="3:19" ht="15.75" customHeight="1" x14ac:dyDescent="0.2">
      <c r="C816" s="214">
        <v>42877</v>
      </c>
      <c r="D816" s="19">
        <v>0.40625</v>
      </c>
      <c r="E816" s="20">
        <v>21</v>
      </c>
      <c r="F816" s="190">
        <v>9.7200000000000006</v>
      </c>
      <c r="G816" s="3">
        <v>78.099999999999994</v>
      </c>
      <c r="H816">
        <v>6</v>
      </c>
      <c r="I816" s="3"/>
      <c r="L816" s="3"/>
      <c r="M816" s="3"/>
      <c r="N816" s="3"/>
      <c r="O816" s="3"/>
      <c r="P816" s="3"/>
      <c r="Q816" s="3"/>
      <c r="R816" s="3"/>
      <c r="S816" s="3"/>
    </row>
    <row r="817" spans="3:19" ht="15.75" customHeight="1" x14ac:dyDescent="0.2">
      <c r="C817" s="214">
        <v>42877</v>
      </c>
      <c r="D817" s="19">
        <v>0.40625</v>
      </c>
      <c r="E817" s="20">
        <v>22</v>
      </c>
      <c r="F817" s="190">
        <v>9.68</v>
      </c>
      <c r="G817" s="3">
        <v>77.5</v>
      </c>
      <c r="H817">
        <v>5.9</v>
      </c>
      <c r="I817" s="3"/>
      <c r="L817" s="3"/>
      <c r="M817" s="3"/>
      <c r="N817" s="3"/>
      <c r="O817" s="3"/>
      <c r="P817" s="3"/>
      <c r="Q817" s="3"/>
      <c r="R817" s="3"/>
      <c r="S817" s="3"/>
    </row>
    <row r="818" spans="3:19" ht="15.75" customHeight="1" x14ac:dyDescent="0.2">
      <c r="C818" s="214">
        <v>42877</v>
      </c>
      <c r="D818" s="19">
        <v>0.40625</v>
      </c>
      <c r="E818" s="20">
        <v>23</v>
      </c>
      <c r="F818" s="190">
        <v>9.6300000000000008</v>
      </c>
      <c r="G818" s="3">
        <v>76.900000000000006</v>
      </c>
      <c r="H818">
        <v>5.8</v>
      </c>
      <c r="I818" s="3"/>
      <c r="L818" s="3"/>
      <c r="M818" s="3"/>
      <c r="N818" s="3"/>
      <c r="O818" s="3"/>
      <c r="P818" s="3"/>
      <c r="Q818" s="3"/>
      <c r="R818" s="3"/>
      <c r="S818" s="3"/>
    </row>
    <row r="819" spans="3:19" ht="15.75" customHeight="1" x14ac:dyDescent="0.2">
      <c r="C819" s="214">
        <v>42877</v>
      </c>
      <c r="D819" s="19">
        <v>0.40625</v>
      </c>
      <c r="E819" s="20">
        <v>24</v>
      </c>
      <c r="F819" s="190">
        <v>9.61</v>
      </c>
      <c r="G819" s="3">
        <v>76.599999999999994</v>
      </c>
      <c r="H819">
        <v>5.7</v>
      </c>
      <c r="I819" s="3"/>
      <c r="L819" s="3"/>
      <c r="M819" s="3"/>
      <c r="N819" s="3"/>
      <c r="O819" s="3"/>
      <c r="P819" s="3"/>
      <c r="Q819" s="3"/>
      <c r="R819" s="3"/>
      <c r="S819" s="3"/>
    </row>
    <row r="820" spans="3:19" ht="15.75" customHeight="1" x14ac:dyDescent="0.2">
      <c r="C820" s="214">
        <v>42877</v>
      </c>
      <c r="D820" s="19">
        <v>0.40625</v>
      </c>
      <c r="E820" s="20">
        <v>25</v>
      </c>
      <c r="F820" s="190">
        <v>9.59</v>
      </c>
      <c r="G820" s="3">
        <v>76.5</v>
      </c>
      <c r="H820">
        <v>5.7</v>
      </c>
      <c r="I820" s="3"/>
      <c r="L820" s="3"/>
      <c r="M820" s="3"/>
      <c r="N820" s="3"/>
      <c r="O820" s="3"/>
      <c r="P820" s="3"/>
      <c r="Q820" s="3"/>
      <c r="R820" s="3"/>
      <c r="S820" s="3"/>
    </row>
    <row r="821" spans="3:19" ht="15.75" customHeight="1" x14ac:dyDescent="0.2">
      <c r="C821" s="214">
        <v>42877</v>
      </c>
      <c r="D821" s="19">
        <v>0.40625</v>
      </c>
      <c r="E821" s="20">
        <v>26</v>
      </c>
      <c r="F821" s="190">
        <v>9.61</v>
      </c>
      <c r="G821" s="3">
        <v>76.400000000000006</v>
      </c>
      <c r="H821">
        <v>5.6</v>
      </c>
      <c r="I821" s="3"/>
      <c r="L821" s="3"/>
      <c r="M821" s="3"/>
      <c r="N821" s="3"/>
      <c r="O821" s="3"/>
      <c r="P821" s="3"/>
      <c r="Q821" s="3"/>
      <c r="R821" s="3"/>
      <c r="S821" s="3"/>
    </row>
    <row r="822" spans="3:19" ht="15.75" customHeight="1" x14ac:dyDescent="0.2">
      <c r="C822" s="214">
        <v>42877</v>
      </c>
      <c r="D822" s="19">
        <v>0.40625</v>
      </c>
      <c r="E822" s="20">
        <v>27</v>
      </c>
      <c r="F822" s="190">
        <v>9.59</v>
      </c>
      <c r="G822" s="3">
        <v>76.099999999999994</v>
      </c>
      <c r="H822">
        <v>5.5</v>
      </c>
      <c r="I822" s="3"/>
      <c r="L822" s="3"/>
      <c r="M822" s="3"/>
      <c r="N822" s="3"/>
      <c r="O822" s="3"/>
      <c r="P822" s="3"/>
      <c r="Q822" s="3"/>
      <c r="R822" s="3"/>
      <c r="S822" s="3"/>
    </row>
    <row r="823" spans="3:19" ht="15.75" customHeight="1" x14ac:dyDescent="0.2">
      <c r="C823" s="214">
        <v>42877</v>
      </c>
      <c r="D823" s="19">
        <v>0.40625</v>
      </c>
      <c r="E823" s="20">
        <v>28</v>
      </c>
      <c r="F823" s="190">
        <v>9.5299999999999994</v>
      </c>
      <c r="G823" s="3">
        <v>75.5</v>
      </c>
      <c r="H823">
        <v>5.5</v>
      </c>
      <c r="I823" s="3"/>
      <c r="L823" s="3"/>
      <c r="M823" s="3"/>
      <c r="N823" s="3"/>
      <c r="O823" s="3"/>
      <c r="P823" s="3"/>
      <c r="Q823" s="3"/>
      <c r="R823" s="3"/>
      <c r="S823" s="3"/>
    </row>
    <row r="824" spans="3:19" ht="15.75" customHeight="1" x14ac:dyDescent="0.2">
      <c r="C824" s="214">
        <v>42877</v>
      </c>
      <c r="D824" s="19">
        <v>0.40625</v>
      </c>
      <c r="E824" s="20">
        <v>29</v>
      </c>
      <c r="F824" s="190">
        <v>9.4600000000000009</v>
      </c>
      <c r="G824" s="3">
        <v>74.8</v>
      </c>
      <c r="H824">
        <v>5.4</v>
      </c>
      <c r="I824" s="3"/>
      <c r="L824" s="3"/>
      <c r="M824" s="3"/>
      <c r="N824" s="3"/>
      <c r="O824" s="3"/>
      <c r="P824" s="3"/>
      <c r="Q824" s="3"/>
      <c r="R824" s="3"/>
      <c r="S824" s="3"/>
    </row>
    <row r="825" spans="3:19" ht="15.75" customHeight="1" x14ac:dyDescent="0.2">
      <c r="C825" s="214">
        <v>42877</v>
      </c>
      <c r="D825" s="19">
        <v>0.40625</v>
      </c>
      <c r="E825" s="20">
        <v>30</v>
      </c>
      <c r="F825" s="190">
        <v>9.44</v>
      </c>
      <c r="G825" s="3">
        <v>74.5</v>
      </c>
      <c r="H825">
        <v>5.3</v>
      </c>
      <c r="I825" s="3"/>
      <c r="L825" s="3"/>
      <c r="M825" s="3"/>
      <c r="N825" s="3"/>
      <c r="O825" s="3"/>
      <c r="P825" s="3"/>
      <c r="Q825" s="3"/>
      <c r="R825" s="3"/>
      <c r="S825" s="3"/>
    </row>
    <row r="826" spans="3:19" ht="15.75" customHeight="1" x14ac:dyDescent="0.2">
      <c r="C826" s="214">
        <v>42877</v>
      </c>
      <c r="D826" s="19">
        <v>0.40625</v>
      </c>
      <c r="E826" s="20">
        <v>31</v>
      </c>
      <c r="F826" s="190">
        <v>9.41</v>
      </c>
      <c r="G826" s="3">
        <v>74.099999999999994</v>
      </c>
      <c r="H826">
        <v>5.2</v>
      </c>
      <c r="I826" s="3"/>
      <c r="L826" s="3"/>
      <c r="M826" s="3"/>
      <c r="N826" s="3"/>
      <c r="O826" s="3"/>
      <c r="P826" s="3"/>
      <c r="Q826" s="3"/>
      <c r="R826" s="3"/>
      <c r="S826" s="3"/>
    </row>
    <row r="827" spans="3:19" ht="15.75" customHeight="1" x14ac:dyDescent="0.2">
      <c r="C827" s="214">
        <v>42877</v>
      </c>
      <c r="D827" s="19">
        <v>0.40625</v>
      </c>
      <c r="E827" s="20">
        <v>32</v>
      </c>
      <c r="F827" s="190">
        <v>9.36</v>
      </c>
      <c r="G827" s="3">
        <v>73.7</v>
      </c>
      <c r="H827">
        <v>5.2</v>
      </c>
      <c r="I827" s="3"/>
      <c r="L827" s="3"/>
      <c r="M827" s="3"/>
      <c r="N827" s="3"/>
      <c r="O827" s="3"/>
      <c r="P827" s="3"/>
      <c r="Q827" s="3"/>
      <c r="R827" s="3"/>
      <c r="S827" s="3"/>
    </row>
    <row r="828" spans="3:19" ht="15.75" customHeight="1" x14ac:dyDescent="0.2">
      <c r="C828" s="214">
        <v>42877</v>
      </c>
      <c r="D828" s="19">
        <v>0.40625</v>
      </c>
      <c r="E828" s="20">
        <v>33</v>
      </c>
      <c r="F828" s="190">
        <v>9.33</v>
      </c>
      <c r="G828" s="3">
        <v>73.5</v>
      </c>
      <c r="H828">
        <v>5.2</v>
      </c>
      <c r="I828" s="3"/>
      <c r="L828" s="3"/>
      <c r="M828" s="3"/>
      <c r="N828" s="3"/>
      <c r="O828" s="3"/>
      <c r="P828" s="3"/>
      <c r="Q828" s="3"/>
      <c r="R828" s="3"/>
      <c r="S828" s="3"/>
    </row>
    <row r="829" spans="3:19" ht="15.75" customHeight="1" x14ac:dyDescent="0.2">
      <c r="C829" s="214">
        <v>42877</v>
      </c>
      <c r="D829" s="19">
        <v>0.40625</v>
      </c>
      <c r="E829" s="20">
        <v>34</v>
      </c>
      <c r="F829" s="190">
        <v>9.32</v>
      </c>
      <c r="G829" s="3">
        <v>73.3</v>
      </c>
      <c r="H829">
        <v>5.2</v>
      </c>
      <c r="I829" s="3"/>
      <c r="L829" s="3"/>
      <c r="M829" s="3"/>
      <c r="N829" s="3"/>
      <c r="O829" s="3"/>
      <c r="P829" s="3"/>
      <c r="Q829" s="3"/>
      <c r="R829" s="3"/>
      <c r="S829" s="3"/>
    </row>
    <row r="830" spans="3:19" ht="15.75" customHeight="1" x14ac:dyDescent="0.2">
      <c r="C830" s="214">
        <v>42877</v>
      </c>
      <c r="D830" s="19">
        <v>0.40625</v>
      </c>
      <c r="E830" s="20">
        <v>35</v>
      </c>
      <c r="F830" s="190">
        <v>9.3000000000000007</v>
      </c>
      <c r="G830" s="3">
        <v>73.2</v>
      </c>
      <c r="H830">
        <v>5.2</v>
      </c>
      <c r="I830" s="3"/>
      <c r="L830" s="3"/>
      <c r="M830" s="3"/>
      <c r="N830" s="3"/>
      <c r="O830" s="3"/>
      <c r="P830" s="3"/>
      <c r="Q830" s="3"/>
      <c r="R830" s="3"/>
      <c r="S830" s="3"/>
    </row>
    <row r="831" spans="3:19" ht="15.75" customHeight="1" x14ac:dyDescent="0.2">
      <c r="C831" s="214">
        <v>42877</v>
      </c>
      <c r="D831" s="19">
        <v>0.40625</v>
      </c>
      <c r="E831" s="20">
        <v>36</v>
      </c>
      <c r="F831" s="190">
        <v>9.3000000000000007</v>
      </c>
      <c r="G831" s="3">
        <v>73</v>
      </c>
      <c r="H831">
        <v>5.0999999999999996</v>
      </c>
      <c r="I831" s="3"/>
      <c r="L831" s="3"/>
      <c r="M831" s="3"/>
      <c r="N831" s="3"/>
      <c r="O831" s="3"/>
      <c r="P831" s="3"/>
      <c r="Q831" s="3"/>
      <c r="R831" s="3"/>
      <c r="S831" s="3"/>
    </row>
    <row r="832" spans="3:19" ht="15.75" customHeight="1" x14ac:dyDescent="0.2">
      <c r="C832" s="214">
        <v>42877</v>
      </c>
      <c r="D832" s="19">
        <v>0.40625</v>
      </c>
      <c r="E832" s="20">
        <v>37</v>
      </c>
      <c r="F832" s="190">
        <v>9.2799999999999994</v>
      </c>
      <c r="G832" s="3">
        <v>72.900000000000006</v>
      </c>
      <c r="H832">
        <v>5.0999999999999996</v>
      </c>
      <c r="I832" s="3"/>
      <c r="L832" s="3"/>
      <c r="M832" s="3"/>
      <c r="N832" s="3"/>
      <c r="O832" s="3"/>
      <c r="P832" s="3"/>
      <c r="Q832" s="3"/>
      <c r="R832" s="3"/>
      <c r="S832" s="3"/>
    </row>
    <row r="833" spans="3:19" ht="15.75" customHeight="1" x14ac:dyDescent="0.2">
      <c r="C833" s="214">
        <v>42877</v>
      </c>
      <c r="D833" s="19">
        <v>0.40625</v>
      </c>
      <c r="E833" s="20">
        <v>38</v>
      </c>
      <c r="F833" s="190">
        <v>9.26</v>
      </c>
      <c r="G833" s="3">
        <v>72.7</v>
      </c>
      <c r="H833">
        <v>5.0999999999999996</v>
      </c>
      <c r="I833" s="3"/>
      <c r="L833" s="3"/>
      <c r="M833" s="3"/>
      <c r="N833" s="3"/>
      <c r="O833" s="3"/>
      <c r="P833" s="3"/>
      <c r="Q833" s="3"/>
      <c r="R833" s="3"/>
      <c r="S833" s="3"/>
    </row>
    <row r="834" spans="3:19" ht="15.75" customHeight="1" x14ac:dyDescent="0.2">
      <c r="C834" s="214">
        <v>42877</v>
      </c>
      <c r="D834" s="19">
        <v>0.40625</v>
      </c>
      <c r="E834" s="20">
        <v>39</v>
      </c>
      <c r="F834" s="190">
        <v>9.24</v>
      </c>
      <c r="G834" s="3">
        <v>72.5</v>
      </c>
      <c r="H834">
        <v>5.0999999999999996</v>
      </c>
      <c r="I834" s="3"/>
      <c r="L834" s="3"/>
      <c r="M834" s="3"/>
      <c r="N834" s="3"/>
      <c r="O834" s="3"/>
      <c r="P834" s="3"/>
      <c r="Q834" s="3"/>
      <c r="R834" s="3"/>
      <c r="S834" s="3"/>
    </row>
    <row r="835" spans="3:19" ht="15.75" customHeight="1" x14ac:dyDescent="0.2">
      <c r="C835" s="214">
        <v>42877</v>
      </c>
      <c r="D835" s="19">
        <v>0.40625</v>
      </c>
      <c r="E835" s="20">
        <v>40</v>
      </c>
      <c r="F835" s="190">
        <v>9.2100000000000009</v>
      </c>
      <c r="G835" s="3">
        <v>72.3</v>
      </c>
      <c r="H835">
        <v>5.0999999999999996</v>
      </c>
      <c r="I835" s="3"/>
      <c r="L835" s="3"/>
      <c r="M835" s="3"/>
      <c r="N835" s="3"/>
      <c r="O835" s="3"/>
      <c r="P835" s="3"/>
      <c r="Q835" s="3"/>
      <c r="R835" s="3"/>
      <c r="S835" s="3"/>
    </row>
    <row r="836" spans="3:19" ht="15.75" customHeight="1" x14ac:dyDescent="0.2">
      <c r="C836" s="214">
        <v>42877</v>
      </c>
      <c r="D836" s="19">
        <v>0.40625</v>
      </c>
      <c r="E836" s="20">
        <v>41</v>
      </c>
      <c r="F836" s="190">
        <v>9.19</v>
      </c>
      <c r="G836" s="3">
        <v>72.2</v>
      </c>
      <c r="H836">
        <v>5.0999999999999996</v>
      </c>
      <c r="I836" s="3"/>
      <c r="L836" s="3"/>
      <c r="M836" s="3"/>
      <c r="N836" s="3"/>
      <c r="O836" s="3"/>
      <c r="P836" s="3"/>
      <c r="Q836" s="3"/>
      <c r="R836" s="3"/>
      <c r="S836" s="3"/>
    </row>
    <row r="837" spans="3:19" ht="15.75" customHeight="1" x14ac:dyDescent="0.2">
      <c r="C837" s="214">
        <v>42877</v>
      </c>
      <c r="D837" s="19">
        <v>0.40625</v>
      </c>
      <c r="E837" s="20">
        <v>42</v>
      </c>
      <c r="F837" s="190">
        <v>9.16</v>
      </c>
      <c r="G837" s="3">
        <v>71.900000000000006</v>
      </c>
      <c r="H837">
        <v>5.0999999999999996</v>
      </c>
      <c r="I837" s="3"/>
      <c r="L837" s="3"/>
      <c r="M837" s="3"/>
      <c r="N837" s="3"/>
      <c r="O837" s="3"/>
      <c r="P837" s="3"/>
      <c r="Q837" s="3"/>
      <c r="R837" s="3"/>
      <c r="S837" s="3"/>
    </row>
    <row r="838" spans="3:19" ht="15.75" customHeight="1" x14ac:dyDescent="0.2">
      <c r="C838" s="214">
        <v>42877</v>
      </c>
      <c r="D838" s="19">
        <v>0.40625</v>
      </c>
      <c r="E838" s="20">
        <v>43</v>
      </c>
      <c r="F838" s="190">
        <v>9.1199999999999992</v>
      </c>
      <c r="G838" s="3">
        <v>71.5</v>
      </c>
      <c r="H838">
        <v>5.0999999999999996</v>
      </c>
      <c r="I838" s="3"/>
      <c r="L838" s="3"/>
      <c r="M838" s="3"/>
      <c r="N838" s="3"/>
      <c r="O838" s="3"/>
      <c r="P838" s="3"/>
      <c r="Q838" s="3"/>
      <c r="R838" s="3"/>
      <c r="S838" s="3"/>
    </row>
    <row r="839" spans="3:19" ht="15.75" customHeight="1" x14ac:dyDescent="0.2">
      <c r="C839" s="214">
        <v>42877</v>
      </c>
      <c r="D839" s="19">
        <v>0.40625</v>
      </c>
      <c r="E839" s="20">
        <v>44</v>
      </c>
      <c r="F839" s="190">
        <v>9.0399999999999991</v>
      </c>
      <c r="G839" s="3">
        <v>70.900000000000006</v>
      </c>
      <c r="H839">
        <v>5.0999999999999996</v>
      </c>
      <c r="I839" s="3"/>
      <c r="L839" s="3"/>
      <c r="M839" s="3"/>
      <c r="N839" s="3"/>
      <c r="O839" s="3"/>
      <c r="P839" s="3"/>
      <c r="Q839" s="3"/>
      <c r="R839" s="3"/>
      <c r="S839" s="3"/>
    </row>
    <row r="840" spans="3:19" ht="15.75" customHeight="1" x14ac:dyDescent="0.2">
      <c r="C840" s="214">
        <v>42877</v>
      </c>
      <c r="D840" s="19">
        <v>0.40625</v>
      </c>
      <c r="E840" s="20">
        <v>45</v>
      </c>
      <c r="F840" s="190">
        <v>9</v>
      </c>
      <c r="G840" s="3">
        <v>70.599999999999994</v>
      </c>
      <c r="H840">
        <v>5.0999999999999996</v>
      </c>
      <c r="I840" s="3"/>
      <c r="L840" s="3"/>
      <c r="M840" s="3"/>
      <c r="N840" s="3"/>
      <c r="O840" s="3"/>
      <c r="P840" s="3"/>
      <c r="Q840" s="3"/>
      <c r="R840" s="3"/>
      <c r="S840" s="3"/>
    </row>
    <row r="841" spans="3:19" ht="15.75" customHeight="1" x14ac:dyDescent="0.2">
      <c r="C841" s="214">
        <v>42877</v>
      </c>
      <c r="D841" s="19">
        <v>0.40625</v>
      </c>
      <c r="E841" s="20">
        <v>46</v>
      </c>
      <c r="F841" s="190">
        <v>8.9700000000000006</v>
      </c>
      <c r="G841" s="3">
        <v>70.400000000000006</v>
      </c>
      <c r="H841">
        <v>5.0999999999999996</v>
      </c>
      <c r="I841" s="3"/>
      <c r="L841" s="3"/>
      <c r="M841" s="3"/>
      <c r="N841" s="3"/>
      <c r="O841" s="3"/>
      <c r="P841" s="3"/>
      <c r="Q841" s="3"/>
      <c r="R841" s="3"/>
      <c r="S841" s="3"/>
    </row>
    <row r="842" spans="3:19" ht="15.75" customHeight="1" x14ac:dyDescent="0.2">
      <c r="C842" s="214">
        <v>42877</v>
      </c>
      <c r="D842" s="19">
        <v>0.40625</v>
      </c>
      <c r="E842" s="20">
        <v>47</v>
      </c>
      <c r="F842" s="190">
        <v>8.9499999999999993</v>
      </c>
      <c r="G842" s="3">
        <v>70.2</v>
      </c>
      <c r="H842">
        <v>5.0999999999999996</v>
      </c>
      <c r="I842" s="3"/>
      <c r="L842" s="3"/>
      <c r="M842" s="3"/>
      <c r="N842" s="3"/>
      <c r="O842" s="3"/>
      <c r="P842" s="3"/>
      <c r="Q842" s="3"/>
      <c r="R842" s="3"/>
      <c r="S842" s="3"/>
    </row>
    <row r="843" spans="3:19" ht="15.75" customHeight="1" x14ac:dyDescent="0.2">
      <c r="C843" s="214"/>
      <c r="D843" s="19"/>
      <c r="E843" s="20"/>
      <c r="G843" s="3"/>
      <c r="H843" s="20"/>
      <c r="I843" s="3"/>
      <c r="L843" s="3"/>
      <c r="M843" s="3"/>
      <c r="N843" s="3"/>
      <c r="O843" s="3"/>
      <c r="P843" s="3"/>
      <c r="Q843" s="3"/>
      <c r="R843" s="3"/>
      <c r="S843" s="3"/>
    </row>
    <row r="844" spans="3:19" ht="15.75" customHeight="1" x14ac:dyDescent="0.2">
      <c r="C844" s="214"/>
      <c r="D844" s="19"/>
      <c r="E844" s="20"/>
      <c r="G844" s="3"/>
      <c r="H844" s="20"/>
      <c r="I844" s="3"/>
      <c r="L844" s="3"/>
      <c r="M844" s="3"/>
      <c r="N844" s="3"/>
      <c r="O844" s="3"/>
      <c r="P844" s="3"/>
      <c r="Q844" s="3"/>
      <c r="R844" s="3"/>
      <c r="S844" s="3"/>
    </row>
    <row r="845" spans="3:19" ht="15.75" customHeight="1" x14ac:dyDescent="0.2">
      <c r="C845" s="214"/>
      <c r="D845" s="19"/>
      <c r="E845" s="20"/>
      <c r="G845" s="3"/>
      <c r="H845" s="20"/>
      <c r="I845" s="3"/>
      <c r="L845" s="3"/>
      <c r="M845" s="3"/>
      <c r="N845" s="3"/>
      <c r="O845" s="3"/>
      <c r="P845" s="3"/>
      <c r="Q845" s="3"/>
      <c r="R845" s="3"/>
      <c r="S845" s="3"/>
    </row>
    <row r="846" spans="3:19" ht="15.75" customHeight="1" x14ac:dyDescent="0.2">
      <c r="C846" s="214"/>
      <c r="D846" s="19"/>
      <c r="E846" s="20"/>
      <c r="G846" s="3"/>
      <c r="H846" s="20"/>
      <c r="I846" s="3"/>
      <c r="L846" s="3"/>
      <c r="M846" s="3"/>
      <c r="N846" s="3"/>
      <c r="O846" s="3"/>
      <c r="P846" s="3"/>
      <c r="Q846" s="3"/>
      <c r="R846" s="3"/>
      <c r="S846" s="3"/>
    </row>
    <row r="847" spans="3:19" ht="15.75" customHeight="1" x14ac:dyDescent="0.2">
      <c r="C847" s="214"/>
      <c r="D847" s="19"/>
      <c r="E847" s="20"/>
      <c r="G847" s="3"/>
      <c r="H847" s="20"/>
      <c r="I847" s="3"/>
      <c r="L847" s="3"/>
      <c r="M847" s="3"/>
      <c r="N847" s="3"/>
      <c r="O847" s="3"/>
      <c r="P847" s="3"/>
      <c r="Q847" s="3"/>
      <c r="R847" s="3"/>
      <c r="S847" s="3"/>
    </row>
    <row r="848" spans="3:19" ht="15.75" customHeight="1" x14ac:dyDescent="0.2">
      <c r="C848" s="214"/>
      <c r="D848" s="19"/>
      <c r="E848" s="20"/>
      <c r="G848" s="3"/>
      <c r="H848" s="20"/>
      <c r="I848" s="3"/>
      <c r="L848" s="3"/>
      <c r="M848" s="3"/>
      <c r="N848" s="3"/>
      <c r="O848" s="3"/>
      <c r="P848" s="3"/>
      <c r="Q848" s="3"/>
      <c r="R848" s="3"/>
      <c r="S848" s="3"/>
    </row>
    <row r="849" spans="3:24" ht="15.75" customHeight="1" x14ac:dyDescent="0.2">
      <c r="C849" s="214"/>
      <c r="D849" s="19"/>
      <c r="E849" s="20"/>
      <c r="G849" s="3"/>
      <c r="H849" s="20"/>
      <c r="I849" s="3"/>
      <c r="L849" s="3"/>
      <c r="M849" s="3"/>
      <c r="N849" s="3"/>
      <c r="O849" s="3"/>
      <c r="P849" s="3"/>
      <c r="Q849" s="3"/>
      <c r="R849" s="3"/>
      <c r="S849" s="3"/>
    </row>
    <row r="850" spans="3:24" ht="15.75" customHeight="1" x14ac:dyDescent="0.2">
      <c r="C850" s="214"/>
      <c r="D850" s="19"/>
      <c r="E850" s="20"/>
      <c r="G850" s="3"/>
      <c r="H850" s="20"/>
      <c r="I850" s="3"/>
      <c r="L850" s="3"/>
      <c r="M850" s="3"/>
      <c r="N850" s="3"/>
      <c r="O850" s="3"/>
      <c r="P850" s="3"/>
      <c r="Q850" s="3"/>
      <c r="R850" s="3"/>
      <c r="S850" s="3"/>
    </row>
    <row r="851" spans="3:24" ht="15.75" customHeight="1" x14ac:dyDescent="0.2">
      <c r="C851" s="214">
        <v>42905</v>
      </c>
      <c r="D851" s="19">
        <v>0.39930555555555558</v>
      </c>
      <c r="E851" s="20"/>
      <c r="G851" s="3"/>
      <c r="H851" s="20"/>
      <c r="I851" s="3"/>
      <c r="J851">
        <v>7.5</v>
      </c>
      <c r="K851">
        <v>9</v>
      </c>
      <c r="L851" s="3"/>
      <c r="M851" s="3"/>
      <c r="N851" s="3"/>
      <c r="O851" s="3"/>
      <c r="P851" s="3"/>
      <c r="Q851" s="3"/>
      <c r="R851" s="3"/>
      <c r="S851" s="3"/>
    </row>
    <row r="852" spans="3:24" ht="15.75" customHeight="1" x14ac:dyDescent="0.2">
      <c r="C852" s="214">
        <v>42905</v>
      </c>
      <c r="D852" s="19">
        <v>0.39930555555555558</v>
      </c>
      <c r="E852" s="3">
        <v>0.1</v>
      </c>
      <c r="F852" s="190">
        <v>8.81</v>
      </c>
      <c r="G852" s="3">
        <v>88.1</v>
      </c>
      <c r="H852" s="1">
        <v>15.4</v>
      </c>
      <c r="I852" s="3">
        <v>15.4</v>
      </c>
      <c r="L852" s="3"/>
      <c r="M852" s="3"/>
      <c r="N852" s="3"/>
      <c r="O852" s="3"/>
      <c r="P852" s="3"/>
      <c r="Q852" s="57" t="s">
        <v>104</v>
      </c>
      <c r="R852" s="19">
        <v>0.3923611111111111</v>
      </c>
      <c r="S852" s="20" t="s">
        <v>105</v>
      </c>
      <c r="T852" s="3"/>
      <c r="W852" s="3"/>
      <c r="X852" s="20" t="s">
        <v>106</v>
      </c>
    </row>
    <row r="853" spans="3:24" ht="15.75" customHeight="1" x14ac:dyDescent="0.2">
      <c r="C853" s="214">
        <v>42905</v>
      </c>
      <c r="D853" s="19">
        <v>0.39930555555555558</v>
      </c>
      <c r="E853" s="3">
        <v>1</v>
      </c>
      <c r="F853" s="190">
        <v>8.84</v>
      </c>
      <c r="G853" s="3">
        <v>88.1</v>
      </c>
      <c r="H853" s="1">
        <v>15.2</v>
      </c>
      <c r="I853" s="3">
        <v>15.2</v>
      </c>
      <c r="L853" s="3"/>
      <c r="M853" s="3"/>
      <c r="N853" s="3"/>
      <c r="O853" s="3"/>
      <c r="P853" s="3"/>
      <c r="Q853" s="57" t="s">
        <v>104</v>
      </c>
      <c r="R853" s="19">
        <v>0.3923611111111111</v>
      </c>
      <c r="S853" s="20" t="s">
        <v>107</v>
      </c>
      <c r="T853" s="3"/>
      <c r="W853" s="3"/>
      <c r="X853" s="20" t="s">
        <v>108</v>
      </c>
    </row>
    <row r="854" spans="3:24" ht="15.75" customHeight="1" x14ac:dyDescent="0.2">
      <c r="C854" s="214">
        <v>42905</v>
      </c>
      <c r="D854" s="19">
        <v>0.39930555555555558</v>
      </c>
      <c r="E854" s="3">
        <v>2</v>
      </c>
      <c r="F854" s="190">
        <v>8.86</v>
      </c>
      <c r="G854" s="3">
        <v>87.9</v>
      </c>
      <c r="H854" s="1">
        <v>15</v>
      </c>
      <c r="I854" s="3">
        <v>15</v>
      </c>
      <c r="L854" s="3"/>
      <c r="M854" s="3"/>
      <c r="N854" s="3"/>
      <c r="O854" s="3"/>
      <c r="P854" s="3"/>
      <c r="Q854" s="57"/>
      <c r="R854" s="58"/>
      <c r="S854" s="20"/>
      <c r="T854" s="3"/>
      <c r="W854" s="3"/>
      <c r="X854" s="20"/>
    </row>
    <row r="855" spans="3:24" ht="15.75" customHeight="1" x14ac:dyDescent="0.2">
      <c r="C855" s="214">
        <v>42905</v>
      </c>
      <c r="D855" s="19">
        <v>0.39930555555555558</v>
      </c>
      <c r="E855" s="3">
        <v>3</v>
      </c>
      <c r="F855" s="190">
        <v>8.85</v>
      </c>
      <c r="G855" s="3">
        <v>87.5</v>
      </c>
      <c r="H855" s="1">
        <v>14.9</v>
      </c>
      <c r="I855" s="3">
        <v>14.9</v>
      </c>
      <c r="L855" s="3"/>
      <c r="M855" s="3"/>
      <c r="N855" s="3"/>
      <c r="O855" s="3"/>
      <c r="P855" s="3"/>
      <c r="Q855" s="57" t="s">
        <v>109</v>
      </c>
      <c r="R855" s="19">
        <v>0.39583333333333331</v>
      </c>
      <c r="S855" s="20" t="s">
        <v>105</v>
      </c>
      <c r="T855" s="3"/>
      <c r="W855" s="3"/>
      <c r="X855" s="59" t="s">
        <v>110</v>
      </c>
    </row>
    <row r="856" spans="3:24" ht="15.75" customHeight="1" x14ac:dyDescent="0.2">
      <c r="C856" s="214">
        <v>42905</v>
      </c>
      <c r="D856" s="19">
        <v>0.39930555555555558</v>
      </c>
      <c r="E856" s="3">
        <v>4</v>
      </c>
      <c r="F856" s="190">
        <v>8.81</v>
      </c>
      <c r="G856" s="3">
        <v>86.8</v>
      </c>
      <c r="H856" s="1">
        <v>14.7</v>
      </c>
      <c r="I856" s="3">
        <v>14.7</v>
      </c>
      <c r="L856" s="3"/>
      <c r="M856" s="3"/>
      <c r="N856" s="3"/>
      <c r="O856" s="3"/>
      <c r="P856" s="3"/>
      <c r="Q856" s="57" t="s">
        <v>109</v>
      </c>
      <c r="R856" s="19">
        <v>0.39583333333333331</v>
      </c>
      <c r="S856" s="20" t="s">
        <v>107</v>
      </c>
      <c r="T856" s="3"/>
      <c r="W856" s="3"/>
      <c r="X856" s="20" t="s">
        <v>111</v>
      </c>
    </row>
    <row r="857" spans="3:24" ht="15.75" customHeight="1" x14ac:dyDescent="0.2">
      <c r="C857" s="214">
        <v>42905</v>
      </c>
      <c r="D857" s="19">
        <v>0.39930555555555558</v>
      </c>
      <c r="E857" s="3">
        <v>5</v>
      </c>
      <c r="F857" s="190">
        <v>8.8000000000000007</v>
      </c>
      <c r="G857" s="3">
        <v>86.5</v>
      </c>
      <c r="H857" s="1">
        <v>14.6</v>
      </c>
      <c r="I857" s="3">
        <v>14.6</v>
      </c>
      <c r="L857" s="3"/>
      <c r="M857" s="3"/>
      <c r="N857" s="3"/>
      <c r="O857" s="3"/>
      <c r="P857" s="3"/>
      <c r="Q857" s="57"/>
      <c r="R857" s="58"/>
      <c r="S857" s="20"/>
      <c r="T857" s="3"/>
      <c r="W857" s="3"/>
      <c r="X857" s="20"/>
    </row>
    <row r="858" spans="3:24" ht="15.75" customHeight="1" x14ac:dyDescent="0.2">
      <c r="C858" s="214">
        <v>42905</v>
      </c>
      <c r="D858" s="19">
        <v>0.39930555555555558</v>
      </c>
      <c r="E858" s="3">
        <v>6</v>
      </c>
      <c r="F858" s="190">
        <v>8.7799999999999994</v>
      </c>
      <c r="G858" s="3">
        <v>86.2</v>
      </c>
      <c r="H858" s="1">
        <v>14.5</v>
      </c>
      <c r="I858" s="3">
        <v>14.5</v>
      </c>
      <c r="L858" s="3"/>
      <c r="M858" s="3"/>
      <c r="N858" s="3"/>
      <c r="O858" s="3"/>
      <c r="P858" s="3"/>
      <c r="Q858" s="57" t="s">
        <v>112</v>
      </c>
      <c r="R858" s="19">
        <v>0.44097222222222227</v>
      </c>
      <c r="S858" s="20" t="s">
        <v>105</v>
      </c>
      <c r="T858" s="3"/>
      <c r="W858" s="3"/>
      <c r="X858" s="20" t="s">
        <v>113</v>
      </c>
    </row>
    <row r="859" spans="3:24" ht="15.75" customHeight="1" x14ac:dyDescent="0.2">
      <c r="C859" s="214">
        <v>42905</v>
      </c>
      <c r="D859" s="19">
        <v>0.39930555555555558</v>
      </c>
      <c r="E859" s="3">
        <v>7</v>
      </c>
      <c r="F859" s="190">
        <v>8.76</v>
      </c>
      <c r="G859" s="3">
        <v>85.7</v>
      </c>
      <c r="H859" s="1">
        <v>14.4</v>
      </c>
      <c r="I859" s="3">
        <v>14.4</v>
      </c>
      <c r="L859" s="3"/>
      <c r="M859" s="3"/>
      <c r="N859" s="3"/>
      <c r="O859" s="3"/>
      <c r="P859" s="3"/>
      <c r="Q859" s="57" t="s">
        <v>112</v>
      </c>
      <c r="R859" s="19">
        <v>0.44097222222222227</v>
      </c>
      <c r="S859" s="20" t="s">
        <v>107</v>
      </c>
      <c r="T859" s="3"/>
      <c r="W859" s="3"/>
      <c r="X859" s="20" t="s">
        <v>114</v>
      </c>
    </row>
    <row r="860" spans="3:24" ht="15.75" customHeight="1" x14ac:dyDescent="0.2">
      <c r="C860" s="214">
        <v>42905</v>
      </c>
      <c r="D860" s="19">
        <v>0.39930555555555558</v>
      </c>
      <c r="E860" s="3">
        <v>8</v>
      </c>
      <c r="F860" s="190">
        <v>8.75</v>
      </c>
      <c r="G860" s="3">
        <v>85.4</v>
      </c>
      <c r="H860" s="1">
        <v>14.3</v>
      </c>
      <c r="I860" s="3">
        <v>14.3</v>
      </c>
      <c r="L860" s="3"/>
      <c r="M860" s="3"/>
      <c r="N860" s="3"/>
      <c r="O860" s="3"/>
      <c r="P860" s="3"/>
      <c r="Q860" s="3"/>
      <c r="R860" s="3"/>
      <c r="S860" s="3"/>
    </row>
    <row r="861" spans="3:24" ht="15.75" customHeight="1" x14ac:dyDescent="0.2">
      <c r="C861" s="214">
        <v>42905</v>
      </c>
      <c r="D861" s="19">
        <v>0.39930555555555558</v>
      </c>
      <c r="E861" s="3">
        <v>9</v>
      </c>
      <c r="F861" s="190">
        <v>8.75</v>
      </c>
      <c r="G861" s="3">
        <v>85.2</v>
      </c>
      <c r="H861" s="1">
        <v>14.2</v>
      </c>
      <c r="I861" s="3">
        <v>14.2</v>
      </c>
      <c r="L861" s="3"/>
      <c r="M861" s="3"/>
      <c r="N861" s="3"/>
      <c r="O861" s="3"/>
      <c r="P861" s="3"/>
      <c r="Q861" s="57" t="s">
        <v>115</v>
      </c>
      <c r="R861" s="19">
        <v>0.39930555555555558</v>
      </c>
      <c r="S861" s="20" t="s">
        <v>105</v>
      </c>
      <c r="T861" s="3"/>
      <c r="W861" s="3"/>
      <c r="X861" s="20" t="s">
        <v>116</v>
      </c>
    </row>
    <row r="862" spans="3:24" ht="15.75" customHeight="1" x14ac:dyDescent="0.2">
      <c r="C862" s="214">
        <v>42905</v>
      </c>
      <c r="D862" s="19">
        <v>0.39930555555555558</v>
      </c>
      <c r="E862" s="3">
        <v>10</v>
      </c>
      <c r="F862" s="190">
        <v>8.7799999999999994</v>
      </c>
      <c r="G862" s="3">
        <v>83.9</v>
      </c>
      <c r="H862" s="1">
        <v>13.4</v>
      </c>
      <c r="I862" s="3">
        <v>13.4</v>
      </c>
      <c r="L862" s="3"/>
      <c r="M862" s="3"/>
      <c r="N862" s="3"/>
      <c r="O862" s="3"/>
      <c r="P862" s="3"/>
      <c r="Q862" s="57" t="s">
        <v>115</v>
      </c>
      <c r="R862" s="19">
        <v>0.39930555555555558</v>
      </c>
      <c r="S862" s="20" t="s">
        <v>107</v>
      </c>
      <c r="T862" s="3"/>
      <c r="W862" s="3"/>
      <c r="X862" s="20" t="s">
        <v>117</v>
      </c>
    </row>
    <row r="863" spans="3:24" ht="15.75" customHeight="1" x14ac:dyDescent="0.2">
      <c r="C863" s="214">
        <v>42905</v>
      </c>
      <c r="D863" s="19">
        <v>0.39930555555555558</v>
      </c>
      <c r="E863" s="3">
        <v>11</v>
      </c>
      <c r="F863" s="190">
        <v>8.8000000000000007</v>
      </c>
      <c r="G863" s="3">
        <v>81.400000000000006</v>
      </c>
      <c r="H863" s="1">
        <v>11.8</v>
      </c>
      <c r="I863" s="54">
        <f>AVERAGE(I852:I862)</f>
        <v>14.6</v>
      </c>
      <c r="J863" s="47"/>
      <c r="L863" s="3"/>
      <c r="M863" s="3"/>
      <c r="N863" s="3"/>
      <c r="O863" s="3"/>
      <c r="P863" s="3"/>
      <c r="Q863" s="57"/>
      <c r="R863" s="3"/>
      <c r="S863" s="20"/>
      <c r="T863" s="3"/>
      <c r="W863" s="3"/>
      <c r="X863" s="20"/>
    </row>
    <row r="864" spans="3:24" ht="15.75" customHeight="1" x14ac:dyDescent="0.2">
      <c r="C864" s="214">
        <v>42905</v>
      </c>
      <c r="D864" s="19">
        <v>0.39930555555555558</v>
      </c>
      <c r="E864" s="3">
        <v>12</v>
      </c>
      <c r="F864" s="190">
        <v>9.1199999999999992</v>
      </c>
      <c r="G864" s="3">
        <v>79</v>
      </c>
      <c r="H864" s="1">
        <v>9</v>
      </c>
      <c r="I864" s="3"/>
      <c r="L864" s="3"/>
      <c r="M864" s="3"/>
      <c r="N864" s="3"/>
      <c r="O864" s="3"/>
      <c r="P864" s="3"/>
      <c r="Q864" s="57" t="s">
        <v>118</v>
      </c>
      <c r="R864" s="19">
        <v>0.39930555555555558</v>
      </c>
      <c r="S864" s="20" t="s">
        <v>105</v>
      </c>
      <c r="T864" s="3"/>
      <c r="W864" s="3"/>
      <c r="X864" s="20" t="s">
        <v>119</v>
      </c>
    </row>
    <row r="865" spans="3:24" ht="15.75" customHeight="1" x14ac:dyDescent="0.2">
      <c r="C865" s="214">
        <v>42905</v>
      </c>
      <c r="D865" s="19">
        <v>0.39930555555555558</v>
      </c>
      <c r="E865" s="3">
        <v>14</v>
      </c>
      <c r="F865" s="190">
        <v>9.4499999999999993</v>
      </c>
      <c r="G865" s="3">
        <v>78.400000000000006</v>
      </c>
      <c r="H865" s="1">
        <v>7.4</v>
      </c>
      <c r="I865" s="3"/>
      <c r="L865" s="3"/>
      <c r="M865" s="3"/>
      <c r="N865" s="3"/>
      <c r="O865" s="3"/>
      <c r="P865" s="3"/>
      <c r="Q865" s="57" t="s">
        <v>118</v>
      </c>
      <c r="R865" s="19">
        <v>0.39930555555555558</v>
      </c>
      <c r="S865" s="20" t="s">
        <v>107</v>
      </c>
      <c r="T865" s="3"/>
      <c r="W865" s="3"/>
      <c r="X865" s="20" t="s">
        <v>120</v>
      </c>
    </row>
    <row r="866" spans="3:24" ht="15.75" customHeight="1" x14ac:dyDescent="0.2">
      <c r="C866" s="214">
        <v>42905</v>
      </c>
      <c r="D866" s="19">
        <v>0.39930555555555558</v>
      </c>
      <c r="E866" s="3">
        <v>16</v>
      </c>
      <c r="F866" s="190">
        <v>9.4600000000000009</v>
      </c>
      <c r="G866" s="3">
        <v>77.3</v>
      </c>
      <c r="H866" s="1">
        <v>6.7</v>
      </c>
      <c r="I866" s="3"/>
      <c r="L866" s="3"/>
      <c r="M866" s="3"/>
      <c r="N866" s="3"/>
      <c r="O866" s="3"/>
      <c r="P866" s="3"/>
      <c r="Q866" s="57"/>
      <c r="R866" s="3"/>
      <c r="S866" s="20"/>
      <c r="T866" s="3"/>
      <c r="W866" s="3"/>
      <c r="X866" s="20"/>
    </row>
    <row r="867" spans="3:24" ht="15.75" customHeight="1" x14ac:dyDescent="0.2">
      <c r="C867" s="214">
        <v>42905</v>
      </c>
      <c r="D867" s="19">
        <v>0.39930555555555558</v>
      </c>
      <c r="E867" s="3">
        <v>18</v>
      </c>
      <c r="F867" s="190">
        <v>9.44</v>
      </c>
      <c r="G867" s="3">
        <v>76.3</v>
      </c>
      <c r="H867" s="1">
        <v>6.3</v>
      </c>
      <c r="I867" s="3"/>
      <c r="L867" s="3"/>
      <c r="M867" s="3"/>
      <c r="N867" s="3"/>
      <c r="O867" s="3"/>
      <c r="P867" s="3"/>
      <c r="Q867" s="57" t="s">
        <v>121</v>
      </c>
      <c r="R867" s="19">
        <v>0.39930555555555558</v>
      </c>
      <c r="S867" s="20" t="s">
        <v>105</v>
      </c>
      <c r="T867" s="3"/>
      <c r="W867" s="3"/>
      <c r="X867" s="20" t="s">
        <v>108</v>
      </c>
    </row>
    <row r="868" spans="3:24" ht="15.75" customHeight="1" x14ac:dyDescent="0.2">
      <c r="C868" s="214">
        <v>42905</v>
      </c>
      <c r="D868" s="19">
        <v>0.39930555555555558</v>
      </c>
      <c r="E868" s="3">
        <v>20</v>
      </c>
      <c r="F868" s="190">
        <v>9.4</v>
      </c>
      <c r="G868" s="3">
        <v>75.599999999999994</v>
      </c>
      <c r="H868" s="1">
        <v>6.1</v>
      </c>
      <c r="I868" s="3"/>
      <c r="L868" s="3"/>
      <c r="M868" s="3"/>
      <c r="N868" s="3"/>
      <c r="O868" s="3"/>
      <c r="P868" s="3"/>
      <c r="Q868" s="57" t="s">
        <v>121</v>
      </c>
      <c r="R868" s="19">
        <v>0.39930555555555558</v>
      </c>
      <c r="S868" s="20" t="s">
        <v>107</v>
      </c>
      <c r="T868" s="3"/>
      <c r="W868" s="3"/>
      <c r="X868" s="20" t="s">
        <v>108</v>
      </c>
    </row>
    <row r="869" spans="3:24" ht="15.75" customHeight="1" x14ac:dyDescent="0.2">
      <c r="C869" s="214">
        <v>42905</v>
      </c>
      <c r="D869" s="19">
        <v>0.39930555555555558</v>
      </c>
      <c r="E869" s="3">
        <v>22</v>
      </c>
      <c r="F869" s="190">
        <v>9.32</v>
      </c>
      <c r="G869" s="3">
        <v>74.8</v>
      </c>
      <c r="H869" s="1">
        <v>6</v>
      </c>
      <c r="I869" s="3"/>
      <c r="L869" s="3"/>
      <c r="M869" s="3"/>
      <c r="N869" s="3"/>
      <c r="O869" s="3"/>
      <c r="P869" s="3"/>
      <c r="Q869" s="57"/>
      <c r="R869" s="3"/>
      <c r="S869" s="20"/>
      <c r="T869" s="3"/>
      <c r="W869" s="3"/>
      <c r="X869" s="20"/>
    </row>
    <row r="870" spans="3:24" ht="15.75" customHeight="1" x14ac:dyDescent="0.2">
      <c r="C870" s="214">
        <v>42905</v>
      </c>
      <c r="D870" s="19">
        <v>0.39930555555555558</v>
      </c>
      <c r="E870" s="3">
        <v>24</v>
      </c>
      <c r="F870" s="190">
        <v>9.25</v>
      </c>
      <c r="G870" s="3">
        <v>74</v>
      </c>
      <c r="H870" s="1">
        <v>5.9</v>
      </c>
      <c r="I870" s="3"/>
      <c r="L870" s="3"/>
      <c r="M870" s="3"/>
      <c r="N870" s="3"/>
      <c r="O870" s="3"/>
      <c r="P870" s="3"/>
      <c r="Q870" s="57" t="s">
        <v>122</v>
      </c>
      <c r="R870" s="19">
        <v>0.40972222222222227</v>
      </c>
      <c r="S870" s="20" t="s">
        <v>105</v>
      </c>
      <c r="T870" s="3"/>
      <c r="W870" s="3"/>
      <c r="X870" s="20" t="s">
        <v>123</v>
      </c>
    </row>
    <row r="871" spans="3:24" ht="15.75" customHeight="1" x14ac:dyDescent="0.2">
      <c r="C871" s="214">
        <v>42905</v>
      </c>
      <c r="D871" s="19">
        <v>0.39930555555555558</v>
      </c>
      <c r="E871" s="3">
        <v>26</v>
      </c>
      <c r="F871" s="190">
        <v>9.17</v>
      </c>
      <c r="G871" s="3">
        <v>73</v>
      </c>
      <c r="H871" s="1">
        <v>5.7</v>
      </c>
      <c r="I871" s="3"/>
      <c r="L871" s="3"/>
      <c r="M871" s="3"/>
      <c r="N871" s="3"/>
      <c r="O871" s="3"/>
      <c r="P871" s="3"/>
      <c r="Q871" s="57" t="s">
        <v>122</v>
      </c>
      <c r="R871" s="19">
        <v>0.40972222222222227</v>
      </c>
      <c r="S871" s="20" t="s">
        <v>107</v>
      </c>
      <c r="T871" s="3"/>
      <c r="W871" s="3"/>
      <c r="X871" s="20" t="s">
        <v>124</v>
      </c>
    </row>
    <row r="872" spans="3:24" ht="15.75" customHeight="1" x14ac:dyDescent="0.2">
      <c r="C872" s="214">
        <v>42905</v>
      </c>
      <c r="D872" s="19">
        <v>0.39930555555555558</v>
      </c>
      <c r="E872" s="3">
        <v>28</v>
      </c>
      <c r="F872" s="190">
        <v>9.1300000000000008</v>
      </c>
      <c r="G872" s="3">
        <v>72.599999999999994</v>
      </c>
      <c r="H872" s="1">
        <v>5.6</v>
      </c>
      <c r="I872" s="3"/>
      <c r="L872" s="3"/>
      <c r="M872" s="3"/>
      <c r="N872" s="3"/>
      <c r="O872" s="3"/>
      <c r="P872" s="3"/>
      <c r="Q872" s="57"/>
      <c r="R872" s="3"/>
      <c r="S872" s="20"/>
      <c r="T872" s="3"/>
      <c r="W872" s="3"/>
      <c r="X872" s="20"/>
    </row>
    <row r="873" spans="3:24" ht="15.75" customHeight="1" x14ac:dyDescent="0.2">
      <c r="C873" s="214">
        <v>42905</v>
      </c>
      <c r="D873" s="19">
        <v>0.39930555555555558</v>
      </c>
      <c r="E873" s="3">
        <v>30</v>
      </c>
      <c r="F873" s="190">
        <v>9.09</v>
      </c>
      <c r="G873" s="3">
        <v>72.2</v>
      </c>
      <c r="H873" s="1">
        <v>5.6</v>
      </c>
      <c r="I873" s="3"/>
      <c r="L873" s="3"/>
      <c r="M873" s="3"/>
      <c r="N873" s="3"/>
      <c r="O873" s="3"/>
      <c r="P873" s="3"/>
      <c r="Q873" s="57" t="s">
        <v>125</v>
      </c>
      <c r="R873" s="19">
        <v>0.42708333333333331</v>
      </c>
      <c r="S873" s="20" t="s">
        <v>105</v>
      </c>
      <c r="T873" s="3"/>
      <c r="W873" s="3"/>
      <c r="X873" s="20" t="s">
        <v>126</v>
      </c>
    </row>
    <row r="874" spans="3:24" ht="15.75" customHeight="1" x14ac:dyDescent="0.2">
      <c r="C874" s="214">
        <v>42905</v>
      </c>
      <c r="D874" s="19">
        <v>0.39930555555555558</v>
      </c>
      <c r="E874" s="3">
        <v>32</v>
      </c>
      <c r="F874" s="190">
        <v>9.07</v>
      </c>
      <c r="G874" s="3">
        <v>71.900000000000006</v>
      </c>
      <c r="H874" s="1">
        <v>5.5</v>
      </c>
      <c r="I874" s="3"/>
      <c r="L874" s="3"/>
      <c r="M874" s="3"/>
      <c r="N874" s="3"/>
      <c r="O874" s="3"/>
      <c r="P874" s="3"/>
      <c r="Q874" s="57" t="s">
        <v>125</v>
      </c>
      <c r="R874" s="19">
        <v>0.42708333333333331</v>
      </c>
      <c r="S874" s="20" t="s">
        <v>107</v>
      </c>
      <c r="T874" s="3"/>
      <c r="W874" s="3"/>
      <c r="X874" s="20" t="s">
        <v>113</v>
      </c>
    </row>
    <row r="875" spans="3:24" ht="15.75" customHeight="1" x14ac:dyDescent="0.2">
      <c r="C875" s="214">
        <v>42905</v>
      </c>
      <c r="D875" s="19">
        <v>0.39930555555555558</v>
      </c>
      <c r="E875" s="3">
        <v>34</v>
      </c>
      <c r="F875" s="190">
        <v>9.0399999999999991</v>
      </c>
      <c r="G875" s="3">
        <v>71.5</v>
      </c>
      <c r="H875" s="1">
        <v>5.4</v>
      </c>
      <c r="I875" s="3"/>
      <c r="L875" s="3"/>
      <c r="M875" s="3"/>
      <c r="N875" s="3"/>
      <c r="O875" s="3"/>
      <c r="P875" s="3"/>
      <c r="Q875" s="57"/>
      <c r="R875" s="3"/>
      <c r="S875" s="20"/>
      <c r="T875" s="3"/>
      <c r="W875" s="3"/>
      <c r="X875" s="20"/>
    </row>
    <row r="876" spans="3:24" ht="15.75" customHeight="1" x14ac:dyDescent="0.2">
      <c r="C876" s="214">
        <v>42905</v>
      </c>
      <c r="D876" s="19">
        <v>0.39930555555555558</v>
      </c>
      <c r="E876" s="3">
        <v>36</v>
      </c>
      <c r="F876" s="190">
        <v>9</v>
      </c>
      <c r="G876" s="3">
        <v>71</v>
      </c>
      <c r="H876" s="1">
        <v>5.3</v>
      </c>
      <c r="I876" s="3"/>
      <c r="L876" s="3"/>
      <c r="M876" s="3"/>
      <c r="N876" s="3"/>
      <c r="O876" s="3"/>
      <c r="P876" s="3"/>
      <c r="Q876" s="57" t="s">
        <v>127</v>
      </c>
      <c r="R876" s="19">
        <v>0.4375</v>
      </c>
      <c r="S876" s="20" t="s">
        <v>105</v>
      </c>
      <c r="T876" s="3"/>
      <c r="W876" s="3"/>
      <c r="X876" s="20" t="s">
        <v>128</v>
      </c>
    </row>
    <row r="877" spans="3:24" ht="15.75" customHeight="1" x14ac:dyDescent="0.2">
      <c r="C877" s="208"/>
      <c r="D877" s="3"/>
      <c r="E877" s="3"/>
      <c r="G877" s="3"/>
      <c r="I877" s="3"/>
      <c r="L877" s="3"/>
      <c r="M877" s="3"/>
      <c r="N877" s="3"/>
      <c r="O877" s="3"/>
      <c r="P877" s="3"/>
      <c r="Q877" s="57" t="s">
        <v>127</v>
      </c>
      <c r="R877" s="19">
        <v>0.4375</v>
      </c>
      <c r="S877" s="20" t="s">
        <v>107</v>
      </c>
      <c r="T877" s="3"/>
      <c r="W877" s="3"/>
      <c r="X877" s="20" t="s">
        <v>116</v>
      </c>
    </row>
    <row r="878" spans="3:24" ht="15.75" customHeight="1" x14ac:dyDescent="0.2">
      <c r="C878" s="208">
        <v>42933</v>
      </c>
      <c r="D878" s="19">
        <v>0.39930555555555558</v>
      </c>
      <c r="E878" s="3"/>
      <c r="G878" s="3"/>
      <c r="I878" s="3"/>
      <c r="J878">
        <v>10</v>
      </c>
      <c r="K878">
        <v>14.5</v>
      </c>
      <c r="L878" s="3"/>
      <c r="M878" s="3"/>
      <c r="N878" s="3"/>
      <c r="O878" s="3"/>
      <c r="P878" s="3"/>
      <c r="Q878" s="57"/>
      <c r="R878" s="19"/>
      <c r="S878" s="20"/>
      <c r="T878" s="3"/>
      <c r="W878" s="3"/>
      <c r="X878" s="20"/>
    </row>
    <row r="879" spans="3:24" ht="15.75" customHeight="1" x14ac:dyDescent="0.2">
      <c r="C879" s="208">
        <v>42933</v>
      </c>
      <c r="D879" s="19">
        <v>0.40625</v>
      </c>
      <c r="E879" s="3">
        <v>0.1</v>
      </c>
      <c r="F879" s="190">
        <v>7.42</v>
      </c>
      <c r="G879" s="3">
        <v>85.6</v>
      </c>
      <c r="H879" s="1">
        <v>22.5</v>
      </c>
      <c r="I879" s="3">
        <v>22.5</v>
      </c>
      <c r="J879" s="3"/>
      <c r="L879" s="3"/>
      <c r="M879" s="3"/>
      <c r="N879" s="3"/>
      <c r="O879" s="3"/>
      <c r="P879" s="3"/>
      <c r="Q879" s="60"/>
      <c r="R879" s="3"/>
      <c r="S879" s="3"/>
      <c r="T879" s="3"/>
      <c r="W879" s="3"/>
      <c r="X879" s="3"/>
    </row>
    <row r="880" spans="3:24" ht="15.75" customHeight="1" x14ac:dyDescent="0.2">
      <c r="C880" s="208">
        <v>42933</v>
      </c>
      <c r="D880" s="19">
        <v>0.40625</v>
      </c>
      <c r="E880" s="3">
        <v>1</v>
      </c>
      <c r="F880" s="190">
        <v>7.41</v>
      </c>
      <c r="G880" s="3">
        <v>85.6</v>
      </c>
      <c r="H880" s="1">
        <v>22.5</v>
      </c>
      <c r="I880" s="3">
        <v>22.5</v>
      </c>
      <c r="J880" s="3"/>
      <c r="L880" s="3"/>
      <c r="M880" s="3"/>
      <c r="N880" s="3"/>
      <c r="O880" s="3"/>
      <c r="P880" s="3"/>
      <c r="Q880" s="60"/>
      <c r="R880" s="3"/>
      <c r="S880" s="3"/>
      <c r="T880" s="3"/>
      <c r="W880" s="3"/>
      <c r="X880" s="3"/>
    </row>
    <row r="881" spans="3:24" ht="15.75" customHeight="1" x14ac:dyDescent="0.2">
      <c r="C881" s="208">
        <v>42933</v>
      </c>
      <c r="D881" s="19">
        <v>0.40625</v>
      </c>
      <c r="E881" s="3">
        <v>2</v>
      </c>
      <c r="F881" s="190">
        <v>7.4</v>
      </c>
      <c r="G881" s="3">
        <v>85.5</v>
      </c>
      <c r="H881" s="1">
        <v>22.5</v>
      </c>
      <c r="I881" s="3">
        <v>22.5</v>
      </c>
      <c r="J881" s="3"/>
      <c r="L881" s="3"/>
      <c r="M881" s="3"/>
      <c r="N881" s="3"/>
      <c r="O881" s="3"/>
      <c r="P881" s="3"/>
      <c r="Q881" s="57" t="s">
        <v>129</v>
      </c>
      <c r="R881" s="19">
        <v>0.3888888888888889</v>
      </c>
      <c r="S881" s="20" t="s">
        <v>105</v>
      </c>
      <c r="T881" s="3"/>
      <c r="W881" s="3"/>
      <c r="X881" s="20" t="s">
        <v>130</v>
      </c>
    </row>
    <row r="882" spans="3:24" ht="15.75" customHeight="1" x14ac:dyDescent="0.2">
      <c r="C882" s="208">
        <v>42933</v>
      </c>
      <c r="D882" s="19">
        <v>0.40625</v>
      </c>
      <c r="E882" s="3">
        <v>3</v>
      </c>
      <c r="F882" s="190">
        <v>7.4</v>
      </c>
      <c r="G882" s="3">
        <v>85.3</v>
      </c>
      <c r="H882" s="1">
        <v>22.4</v>
      </c>
      <c r="I882" s="3">
        <v>22.4</v>
      </c>
      <c r="J882" s="3"/>
      <c r="L882" s="3"/>
      <c r="M882" s="3"/>
      <c r="N882" s="3"/>
      <c r="O882" s="3"/>
      <c r="P882" s="3"/>
      <c r="Q882" s="57" t="s">
        <v>129</v>
      </c>
      <c r="R882" s="19">
        <v>0.3888888888888889</v>
      </c>
      <c r="S882" s="20" t="s">
        <v>107</v>
      </c>
      <c r="T882" s="3"/>
      <c r="W882" s="3"/>
      <c r="X882" s="20" t="s">
        <v>131</v>
      </c>
    </row>
    <row r="883" spans="3:24" ht="15.75" customHeight="1" x14ac:dyDescent="0.2">
      <c r="C883" s="208">
        <v>42933</v>
      </c>
      <c r="D883" s="19">
        <v>0.40625</v>
      </c>
      <c r="E883" s="3">
        <v>4</v>
      </c>
      <c r="F883" s="190">
        <v>7.4</v>
      </c>
      <c r="G883" s="3">
        <v>85.1</v>
      </c>
      <c r="H883" s="1">
        <v>22.3</v>
      </c>
      <c r="I883" s="3">
        <v>22.3</v>
      </c>
      <c r="J883" s="3"/>
      <c r="L883" s="3"/>
      <c r="M883" s="3"/>
      <c r="N883" s="3"/>
      <c r="O883" s="3"/>
      <c r="P883" s="3"/>
      <c r="Q883" s="57" t="s">
        <v>129</v>
      </c>
      <c r="R883" s="19">
        <v>0.3888888888888889</v>
      </c>
      <c r="S883" s="20" t="s">
        <v>132</v>
      </c>
      <c r="T883" s="3"/>
      <c r="W883" s="3"/>
      <c r="X883" s="20" t="s">
        <v>133</v>
      </c>
    </row>
    <row r="884" spans="3:24" ht="15.75" customHeight="1" x14ac:dyDescent="0.2">
      <c r="C884" s="208">
        <v>42933</v>
      </c>
      <c r="D884" s="19">
        <v>0.40625</v>
      </c>
      <c r="E884" s="3">
        <v>5</v>
      </c>
      <c r="F884" s="190">
        <v>7.4</v>
      </c>
      <c r="G884" s="3">
        <v>85</v>
      </c>
      <c r="H884" s="1">
        <v>22.3</v>
      </c>
      <c r="I884" s="3">
        <v>22.3</v>
      </c>
      <c r="J884" s="3"/>
      <c r="L884" s="3"/>
      <c r="M884" s="3"/>
      <c r="N884" s="3"/>
      <c r="O884" s="3"/>
      <c r="P884" s="3"/>
      <c r="Q884" s="57"/>
      <c r="R884" s="3"/>
      <c r="S884" s="20"/>
      <c r="T884" s="3"/>
      <c r="W884" s="3"/>
      <c r="X884" s="20"/>
    </row>
    <row r="885" spans="3:24" ht="15.75" customHeight="1" x14ac:dyDescent="0.2">
      <c r="C885" s="208">
        <v>42933</v>
      </c>
      <c r="D885" s="19">
        <v>0.40625</v>
      </c>
      <c r="E885" s="3">
        <v>6</v>
      </c>
      <c r="F885" s="190">
        <v>7.46</v>
      </c>
      <c r="G885" s="3">
        <v>85.2</v>
      </c>
      <c r="H885" s="13">
        <v>22</v>
      </c>
      <c r="I885" s="7">
        <v>22</v>
      </c>
      <c r="J885" s="7"/>
      <c r="L885" s="3"/>
      <c r="M885" s="3"/>
      <c r="N885" s="3"/>
      <c r="O885" s="3"/>
      <c r="P885" s="3"/>
      <c r="Q885" s="57" t="s">
        <v>134</v>
      </c>
      <c r="R885" s="19">
        <v>0.3888888888888889</v>
      </c>
      <c r="S885" s="20" t="s">
        <v>105</v>
      </c>
      <c r="T885" s="3"/>
      <c r="W885" s="3"/>
      <c r="X885" s="20" t="s">
        <v>135</v>
      </c>
    </row>
    <row r="886" spans="3:24" ht="15.75" customHeight="1" x14ac:dyDescent="0.2">
      <c r="C886" s="208">
        <v>42933</v>
      </c>
      <c r="D886" s="19">
        <v>0.40625</v>
      </c>
      <c r="E886" s="3">
        <v>7</v>
      </c>
      <c r="F886" s="190">
        <v>7.65</v>
      </c>
      <c r="G886" s="3">
        <v>86.4</v>
      </c>
      <c r="H886" s="1">
        <v>21.3</v>
      </c>
      <c r="I886" s="3">
        <v>21.3</v>
      </c>
      <c r="J886" s="3"/>
      <c r="L886" s="3"/>
      <c r="M886" s="3"/>
      <c r="N886" s="3"/>
      <c r="O886" s="3"/>
      <c r="P886" s="3"/>
      <c r="Q886" s="57" t="s">
        <v>134</v>
      </c>
      <c r="R886" s="19">
        <v>0.3888888888888889</v>
      </c>
      <c r="S886" s="20" t="s">
        <v>107</v>
      </c>
      <c r="T886" s="3"/>
      <c r="W886" s="3"/>
      <c r="X886" s="20" t="s">
        <v>135</v>
      </c>
    </row>
    <row r="887" spans="3:24" ht="15.75" customHeight="1" x14ac:dyDescent="0.2">
      <c r="C887" s="208">
        <v>42933</v>
      </c>
      <c r="D887" s="19">
        <v>0.40625</v>
      </c>
      <c r="E887" s="3">
        <v>8</v>
      </c>
      <c r="F887" s="190">
        <v>7.91</v>
      </c>
      <c r="G887" s="3">
        <v>87.5</v>
      </c>
      <c r="H887" s="1">
        <v>20.2</v>
      </c>
      <c r="I887" s="3">
        <v>20.2</v>
      </c>
      <c r="J887" s="3"/>
      <c r="L887" s="3"/>
      <c r="M887" s="3"/>
      <c r="N887" s="3"/>
      <c r="O887" s="3"/>
      <c r="P887" s="3"/>
      <c r="Q887" s="57"/>
      <c r="R887" s="3"/>
      <c r="S887" s="20"/>
      <c r="T887" s="3"/>
      <c r="W887" s="3"/>
      <c r="X887" s="20"/>
    </row>
    <row r="888" spans="3:24" ht="15.75" customHeight="1" x14ac:dyDescent="0.2">
      <c r="C888" s="208">
        <v>42933</v>
      </c>
      <c r="D888" s="19">
        <v>0.40625</v>
      </c>
      <c r="E888" s="3">
        <v>9</v>
      </c>
      <c r="F888" s="190">
        <v>7.97</v>
      </c>
      <c r="G888" s="3">
        <v>87.8</v>
      </c>
      <c r="H888" s="1">
        <v>20.100000000000001</v>
      </c>
      <c r="I888" s="3">
        <v>20.100000000000001</v>
      </c>
      <c r="J888" s="3"/>
      <c r="L888" s="3"/>
      <c r="M888" s="3"/>
      <c r="N888" s="3"/>
      <c r="O888" s="3"/>
      <c r="P888" s="3"/>
      <c r="Q888" s="57" t="s">
        <v>136</v>
      </c>
      <c r="R888" s="19">
        <v>0.3888888888888889</v>
      </c>
      <c r="S888" s="20" t="s">
        <v>105</v>
      </c>
      <c r="T888" s="3"/>
      <c r="W888" s="3"/>
      <c r="X888" s="20" t="s">
        <v>137</v>
      </c>
    </row>
    <row r="889" spans="3:24" ht="15.75" customHeight="1" x14ac:dyDescent="0.2">
      <c r="C889" s="208">
        <v>42933</v>
      </c>
      <c r="D889" s="19">
        <v>0.40625</v>
      </c>
      <c r="E889" s="3">
        <v>10</v>
      </c>
      <c r="F889" s="190">
        <v>8.0500000000000007</v>
      </c>
      <c r="G889" s="3">
        <v>88</v>
      </c>
      <c r="H889" s="1">
        <v>19.7</v>
      </c>
      <c r="I889" s="3">
        <v>19.7</v>
      </c>
      <c r="J889" s="3"/>
      <c r="L889" s="3"/>
      <c r="M889" s="3"/>
      <c r="N889" s="3"/>
      <c r="O889" s="3"/>
      <c r="P889" s="3"/>
      <c r="Q889" s="57" t="s">
        <v>136</v>
      </c>
      <c r="R889" s="19">
        <v>0.3888888888888889</v>
      </c>
      <c r="S889" s="20" t="s">
        <v>107</v>
      </c>
      <c r="T889" s="3"/>
      <c r="W889" s="3"/>
      <c r="X889" s="20" t="s">
        <v>138</v>
      </c>
    </row>
    <row r="890" spans="3:24" ht="15.75" customHeight="1" x14ac:dyDescent="0.2">
      <c r="C890" s="208">
        <v>42933</v>
      </c>
      <c r="D890" s="19">
        <v>0.40625</v>
      </c>
      <c r="E890" s="3">
        <v>11</v>
      </c>
      <c r="F890" s="190">
        <v>8.41</v>
      </c>
      <c r="G890" s="3">
        <v>87.9</v>
      </c>
      <c r="H890" s="1">
        <v>17.5</v>
      </c>
      <c r="I890" s="17">
        <f>AVERAGE(I879:I889)</f>
        <v>21.618181818181817</v>
      </c>
      <c r="J890" s="17"/>
      <c r="L890" s="3"/>
      <c r="M890" s="3"/>
      <c r="N890" s="3"/>
      <c r="O890" s="3"/>
      <c r="P890" s="3"/>
      <c r="Q890" s="60"/>
      <c r="R890" s="19"/>
      <c r="S890" s="20"/>
      <c r="T890" s="3"/>
      <c r="W890" s="3"/>
      <c r="X890" s="20"/>
    </row>
    <row r="891" spans="3:24" ht="15.75" customHeight="1" x14ac:dyDescent="0.2">
      <c r="C891" s="208">
        <v>42933</v>
      </c>
      <c r="D891" s="19">
        <v>0.40625</v>
      </c>
      <c r="E891" s="3">
        <v>13</v>
      </c>
      <c r="F891" s="190">
        <v>9</v>
      </c>
      <c r="G891" s="3">
        <v>80.900000000000006</v>
      </c>
      <c r="H891" s="1">
        <v>10.6</v>
      </c>
      <c r="I891" s="3"/>
      <c r="L891" s="3"/>
      <c r="M891" s="3"/>
      <c r="N891" s="3"/>
      <c r="O891" s="3"/>
      <c r="P891" s="3"/>
      <c r="Q891" s="60"/>
      <c r="R891" s="3"/>
      <c r="S891" s="3"/>
      <c r="T891" s="3"/>
      <c r="W891" s="3"/>
      <c r="X891" s="3"/>
    </row>
    <row r="892" spans="3:24" ht="15.75" customHeight="1" x14ac:dyDescent="0.2">
      <c r="C892" s="208">
        <v>42933</v>
      </c>
      <c r="D892" s="19">
        <v>0.40625</v>
      </c>
      <c r="E892" s="3">
        <v>15</v>
      </c>
      <c r="F892" s="190">
        <v>8.92</v>
      </c>
      <c r="G892" s="3">
        <v>76.400000000000006</v>
      </c>
      <c r="H892" s="1">
        <v>8.6999999999999993</v>
      </c>
      <c r="I892" s="3"/>
      <c r="L892" s="3"/>
      <c r="M892" s="3"/>
      <c r="N892" s="3"/>
      <c r="O892" s="3"/>
      <c r="P892" s="3"/>
      <c r="Q892" s="57" t="s">
        <v>139</v>
      </c>
      <c r="R892" s="19">
        <v>0.4236111111111111</v>
      </c>
      <c r="S892" s="20" t="s">
        <v>105</v>
      </c>
      <c r="T892" s="3"/>
      <c r="W892" s="3"/>
      <c r="X892" s="20" t="s">
        <v>140</v>
      </c>
    </row>
    <row r="893" spans="3:24" ht="15.75" customHeight="1" x14ac:dyDescent="0.2">
      <c r="C893" s="208">
        <v>42933</v>
      </c>
      <c r="D893" s="19">
        <v>0.40625</v>
      </c>
      <c r="E893" s="3">
        <v>17</v>
      </c>
      <c r="F893" s="190">
        <v>8.86</v>
      </c>
      <c r="G893" s="3">
        <v>74.099999999999994</v>
      </c>
      <c r="H893" s="1">
        <v>7.6</v>
      </c>
      <c r="I893" s="3"/>
      <c r="L893" s="3"/>
      <c r="M893" s="3"/>
      <c r="N893" s="3"/>
      <c r="O893" s="3"/>
      <c r="P893" s="3"/>
      <c r="Q893" s="57" t="s">
        <v>139</v>
      </c>
      <c r="R893" s="19">
        <v>0.4236111111111111</v>
      </c>
      <c r="S893" s="20" t="s">
        <v>107</v>
      </c>
      <c r="T893" s="3"/>
      <c r="W893" s="3"/>
      <c r="X893" s="20" t="s">
        <v>140</v>
      </c>
    </row>
    <row r="894" spans="3:24" ht="15.75" customHeight="1" x14ac:dyDescent="0.2">
      <c r="C894" s="208">
        <v>42933</v>
      </c>
      <c r="D894" s="19">
        <v>0.40625</v>
      </c>
      <c r="E894" s="3">
        <v>19</v>
      </c>
      <c r="F894" s="190">
        <v>8.8000000000000007</v>
      </c>
      <c r="G894" s="3">
        <v>72</v>
      </c>
      <c r="H894" s="1">
        <v>6.8</v>
      </c>
      <c r="I894" s="3"/>
      <c r="L894" s="3"/>
      <c r="M894" s="3"/>
      <c r="N894" s="3"/>
      <c r="O894" s="3"/>
      <c r="P894" s="3"/>
      <c r="Q894" s="57"/>
      <c r="R894" s="3"/>
      <c r="S894" s="20"/>
      <c r="T894" s="3"/>
      <c r="W894" s="3"/>
      <c r="X894" s="20"/>
    </row>
    <row r="895" spans="3:24" ht="15.75" customHeight="1" x14ac:dyDescent="0.2">
      <c r="C895" s="208">
        <v>42933</v>
      </c>
      <c r="D895" s="19">
        <v>0.40625</v>
      </c>
      <c r="E895" s="3">
        <v>21</v>
      </c>
      <c r="F895" s="190">
        <v>8.76</v>
      </c>
      <c r="G895" s="3">
        <v>71.400000000000006</v>
      </c>
      <c r="H895" s="1">
        <v>6.6</v>
      </c>
      <c r="I895" s="3"/>
      <c r="L895" s="3"/>
      <c r="M895" s="3"/>
      <c r="N895" s="3"/>
      <c r="O895" s="3"/>
      <c r="P895" s="3"/>
      <c r="Q895" s="57" t="s">
        <v>141</v>
      </c>
      <c r="R895" s="19">
        <v>0.41666666666666669</v>
      </c>
      <c r="S895" s="20" t="s">
        <v>105</v>
      </c>
      <c r="T895" s="3"/>
      <c r="W895" s="3"/>
      <c r="X895" s="20" t="s">
        <v>108</v>
      </c>
    </row>
    <row r="896" spans="3:24" ht="15.75" customHeight="1" x14ac:dyDescent="0.2">
      <c r="C896" s="208">
        <v>42933</v>
      </c>
      <c r="D896" s="19">
        <v>0.40625</v>
      </c>
      <c r="E896" s="3">
        <v>23</v>
      </c>
      <c r="F896" s="190">
        <v>8.75</v>
      </c>
      <c r="G896" s="3">
        <v>70.8</v>
      </c>
      <c r="H896" s="1">
        <v>6.3</v>
      </c>
      <c r="I896" s="3"/>
      <c r="L896" s="3"/>
      <c r="M896" s="3"/>
      <c r="N896" s="3"/>
      <c r="O896" s="3"/>
      <c r="P896" s="3"/>
      <c r="Q896" s="57" t="s">
        <v>141</v>
      </c>
      <c r="R896" s="19">
        <v>0.41666666666666669</v>
      </c>
      <c r="S896" s="20" t="s">
        <v>107</v>
      </c>
      <c r="T896" s="3"/>
      <c r="W896" s="3"/>
      <c r="X896" s="20" t="s">
        <v>106</v>
      </c>
    </row>
    <row r="897" spans="3:24" ht="15.75" customHeight="1" x14ac:dyDescent="0.2">
      <c r="C897" s="208">
        <v>42933</v>
      </c>
      <c r="D897" s="19">
        <v>0.40625</v>
      </c>
      <c r="E897" s="3">
        <v>25</v>
      </c>
      <c r="F897" s="190">
        <v>8.76</v>
      </c>
      <c r="G897" s="3">
        <v>70.5</v>
      </c>
      <c r="H897" s="1">
        <v>6.1</v>
      </c>
      <c r="I897" s="3"/>
      <c r="L897" s="3"/>
      <c r="M897" s="3"/>
      <c r="N897" s="3"/>
      <c r="O897" s="3"/>
      <c r="P897" s="3"/>
      <c r="Q897" s="57"/>
      <c r="R897" s="3"/>
      <c r="S897" s="20"/>
      <c r="T897" s="3"/>
      <c r="W897" s="3"/>
      <c r="X897" s="20"/>
    </row>
    <row r="898" spans="3:24" ht="15.75" customHeight="1" x14ac:dyDescent="0.2">
      <c r="C898" s="208">
        <v>42933</v>
      </c>
      <c r="D898" s="19">
        <v>0.40625</v>
      </c>
      <c r="E898" s="3">
        <v>27</v>
      </c>
      <c r="F898" s="190">
        <v>8.76</v>
      </c>
      <c r="G898" s="3">
        <v>70.5</v>
      </c>
      <c r="H898" s="1">
        <v>6</v>
      </c>
      <c r="I898" s="3"/>
      <c r="L898" s="3"/>
      <c r="M898" s="3"/>
      <c r="N898" s="3"/>
      <c r="O898" s="3"/>
      <c r="P898" s="3"/>
      <c r="Q898" s="57" t="s">
        <v>142</v>
      </c>
      <c r="R898" s="19">
        <v>0.41319444444444442</v>
      </c>
      <c r="S898" s="20" t="s">
        <v>105</v>
      </c>
      <c r="T898" s="3"/>
      <c r="W898" s="3"/>
      <c r="X898" s="20" t="s">
        <v>143</v>
      </c>
    </row>
    <row r="899" spans="3:24" ht="15.75" customHeight="1" x14ac:dyDescent="0.2">
      <c r="C899" s="208">
        <v>42933</v>
      </c>
      <c r="D899" s="19">
        <v>0.40625</v>
      </c>
      <c r="E899" s="3">
        <v>29</v>
      </c>
      <c r="F899" s="190">
        <v>8.75</v>
      </c>
      <c r="G899" s="3">
        <v>70</v>
      </c>
      <c r="H899" s="1">
        <v>5.9</v>
      </c>
      <c r="I899" s="3"/>
      <c r="L899" s="3"/>
      <c r="M899" s="3"/>
      <c r="N899" s="3"/>
      <c r="O899" s="3"/>
      <c r="P899" s="3"/>
      <c r="Q899" s="57" t="s">
        <v>142</v>
      </c>
      <c r="R899" s="19">
        <v>0.41319444444444442</v>
      </c>
      <c r="S899" s="20" t="s">
        <v>107</v>
      </c>
      <c r="T899" s="3"/>
      <c r="W899" s="3"/>
      <c r="X899" s="20" t="s">
        <v>113</v>
      </c>
    </row>
    <row r="900" spans="3:24" ht="15.75" customHeight="1" x14ac:dyDescent="0.2">
      <c r="C900" s="208">
        <v>42933</v>
      </c>
      <c r="D900" s="19">
        <v>0.40625</v>
      </c>
      <c r="E900" s="3">
        <v>31</v>
      </c>
      <c r="F900" s="190">
        <v>8.6999999999999993</v>
      </c>
      <c r="G900" s="3">
        <v>69.400000000000006</v>
      </c>
      <c r="H900" s="1">
        <v>5.7</v>
      </c>
      <c r="I900" s="3"/>
      <c r="L900" s="3"/>
      <c r="M900" s="3"/>
      <c r="N900" s="3"/>
      <c r="O900" s="3"/>
      <c r="P900" s="3"/>
      <c r="Q900" s="57"/>
      <c r="R900" s="3"/>
      <c r="S900" s="20"/>
      <c r="T900" s="3"/>
      <c r="W900" s="3"/>
      <c r="X900" s="20"/>
    </row>
    <row r="901" spans="3:24" ht="15.75" customHeight="1" x14ac:dyDescent="0.2">
      <c r="C901" s="208">
        <v>42933</v>
      </c>
      <c r="D901" s="19">
        <v>0.40625</v>
      </c>
      <c r="E901" s="3">
        <v>33</v>
      </c>
      <c r="F901" s="190">
        <v>8.65</v>
      </c>
      <c r="G901" s="3">
        <v>68.8</v>
      </c>
      <c r="H901" s="1">
        <v>5.6</v>
      </c>
      <c r="I901" s="3"/>
      <c r="L901" s="3"/>
      <c r="M901" s="3"/>
      <c r="N901" s="3"/>
      <c r="O901" s="3"/>
      <c r="P901" s="3"/>
      <c r="Q901" s="57" t="s">
        <v>144</v>
      </c>
      <c r="R901" s="19">
        <v>0.5</v>
      </c>
      <c r="S901" s="20" t="s">
        <v>105</v>
      </c>
      <c r="T901" s="3"/>
      <c r="W901" s="3"/>
      <c r="X901" s="20" t="s">
        <v>145</v>
      </c>
    </row>
    <row r="902" spans="3:24" ht="15.75" customHeight="1" x14ac:dyDescent="0.2">
      <c r="C902" s="208">
        <v>42933</v>
      </c>
      <c r="D902" s="19">
        <v>0.40625</v>
      </c>
      <c r="E902" s="3">
        <v>35</v>
      </c>
      <c r="F902" s="190">
        <v>8.58</v>
      </c>
      <c r="G902" s="3">
        <v>68.099999999999994</v>
      </c>
      <c r="H902" s="1">
        <v>5.6</v>
      </c>
      <c r="I902" s="3"/>
      <c r="L902" s="3"/>
      <c r="M902" s="3"/>
      <c r="N902" s="3"/>
      <c r="O902" s="3"/>
      <c r="P902" s="3"/>
      <c r="Q902" s="57" t="s">
        <v>144</v>
      </c>
      <c r="R902" s="19">
        <v>0.95833333333333337</v>
      </c>
      <c r="S902" s="20" t="s">
        <v>107</v>
      </c>
      <c r="T902" s="3"/>
      <c r="W902" s="3"/>
      <c r="X902" s="20" t="s">
        <v>145</v>
      </c>
    </row>
    <row r="903" spans="3:24" ht="15.75" customHeight="1" x14ac:dyDescent="0.2">
      <c r="C903" s="208"/>
      <c r="D903" s="3"/>
      <c r="E903" s="3"/>
      <c r="G903" s="3"/>
      <c r="I903" s="3"/>
      <c r="L903" s="3"/>
      <c r="M903" s="3"/>
      <c r="N903" s="3"/>
      <c r="O903" s="3"/>
      <c r="P903" s="3"/>
      <c r="Q903" s="60"/>
      <c r="R903" s="19"/>
      <c r="S903" s="20"/>
      <c r="T903" s="3"/>
      <c r="W903" s="3"/>
      <c r="X903" s="20"/>
    </row>
    <row r="904" spans="3:24" ht="15.75" customHeight="1" x14ac:dyDescent="0.2">
      <c r="C904" s="208">
        <v>42968</v>
      </c>
      <c r="D904" s="19">
        <v>0.40972222222222227</v>
      </c>
      <c r="E904" s="3"/>
      <c r="G904" s="3"/>
      <c r="I904" s="3"/>
      <c r="J904">
        <v>11</v>
      </c>
      <c r="K904">
        <v>14</v>
      </c>
      <c r="L904" s="3"/>
      <c r="M904" s="3"/>
      <c r="N904" s="3"/>
      <c r="O904" s="3"/>
      <c r="P904" s="3"/>
      <c r="Q904" s="60"/>
      <c r="R904" s="19"/>
      <c r="S904" s="20"/>
      <c r="T904" s="3"/>
      <c r="W904" s="3"/>
      <c r="X904" s="20"/>
    </row>
    <row r="905" spans="3:24" ht="15.75" customHeight="1" x14ac:dyDescent="0.2">
      <c r="C905" s="208">
        <v>42968</v>
      </c>
      <c r="D905" s="19">
        <v>0.4201388888888889</v>
      </c>
      <c r="E905" s="3">
        <v>0.1</v>
      </c>
      <c r="F905" s="190">
        <v>7.38</v>
      </c>
      <c r="G905" s="3">
        <v>84</v>
      </c>
      <c r="H905" s="3">
        <v>21.9</v>
      </c>
      <c r="I905" s="3">
        <v>21.9</v>
      </c>
      <c r="J905" s="3"/>
      <c r="L905" s="3"/>
      <c r="M905" s="3"/>
      <c r="N905" s="3"/>
      <c r="O905" s="3"/>
      <c r="P905" s="3"/>
      <c r="Q905" s="60"/>
      <c r="R905" s="19"/>
      <c r="S905" s="20"/>
      <c r="T905" s="3"/>
      <c r="W905" s="3"/>
      <c r="X905" s="20"/>
    </row>
    <row r="906" spans="3:24" ht="15.75" customHeight="1" x14ac:dyDescent="0.2">
      <c r="C906" s="208">
        <v>42968</v>
      </c>
      <c r="D906" s="19">
        <v>0.4201388888888889</v>
      </c>
      <c r="E906" s="3">
        <v>1</v>
      </c>
      <c r="F906" s="190">
        <v>7.37</v>
      </c>
      <c r="G906" s="3">
        <v>84</v>
      </c>
      <c r="H906" s="3">
        <v>21.8</v>
      </c>
      <c r="I906" s="3">
        <v>21.8</v>
      </c>
      <c r="J906" s="3"/>
      <c r="L906" s="3"/>
      <c r="M906" s="3"/>
      <c r="N906" s="3"/>
      <c r="O906" s="3"/>
      <c r="P906" s="3"/>
      <c r="Q906" s="57" t="s">
        <v>146</v>
      </c>
      <c r="R906" s="19">
        <v>0.41666666666666669</v>
      </c>
      <c r="S906" s="20" t="s">
        <v>105</v>
      </c>
      <c r="T906" s="3"/>
      <c r="W906" s="3"/>
      <c r="X906" s="20" t="s">
        <v>147</v>
      </c>
    </row>
    <row r="907" spans="3:24" ht="15.75" customHeight="1" x14ac:dyDescent="0.2">
      <c r="C907" s="208">
        <v>42968</v>
      </c>
      <c r="D907" s="19">
        <v>0.4201388888888889</v>
      </c>
      <c r="E907" s="3">
        <v>2</v>
      </c>
      <c r="F907" s="190">
        <v>7.36</v>
      </c>
      <c r="G907" s="3">
        <v>83.9</v>
      </c>
      <c r="H907" s="3">
        <v>21.8</v>
      </c>
      <c r="I907" s="3">
        <v>21.8</v>
      </c>
      <c r="J907" s="3"/>
      <c r="L907" s="3"/>
      <c r="M907" s="3"/>
      <c r="N907" s="3"/>
      <c r="O907" s="3"/>
      <c r="P907" s="3"/>
      <c r="Q907" s="57" t="s">
        <v>146</v>
      </c>
      <c r="R907" s="19">
        <v>0.41666666666666669</v>
      </c>
      <c r="S907" s="20" t="s">
        <v>107</v>
      </c>
      <c r="T907" s="3"/>
      <c r="W907" s="3"/>
      <c r="X907" s="20" t="s">
        <v>148</v>
      </c>
    </row>
    <row r="908" spans="3:24" ht="15.75" customHeight="1" x14ac:dyDescent="0.2">
      <c r="C908" s="208">
        <v>42968</v>
      </c>
      <c r="D908" s="19">
        <v>0.4201388888888889</v>
      </c>
      <c r="E908" s="3">
        <v>3</v>
      </c>
      <c r="F908" s="190">
        <v>7.35</v>
      </c>
      <c r="G908" s="3">
        <v>83.7</v>
      </c>
      <c r="H908" s="3">
        <v>21.8</v>
      </c>
      <c r="I908" s="3">
        <v>21.8</v>
      </c>
      <c r="J908" s="3"/>
      <c r="L908" s="3"/>
      <c r="M908" s="3"/>
      <c r="N908" s="3"/>
      <c r="O908" s="3"/>
      <c r="P908" s="3"/>
      <c r="Q908" s="57"/>
      <c r="R908" s="3"/>
      <c r="S908" s="20"/>
      <c r="T908" s="3"/>
      <c r="W908" s="3"/>
      <c r="X908" s="20"/>
    </row>
    <row r="909" spans="3:24" ht="15.75" customHeight="1" x14ac:dyDescent="0.2">
      <c r="C909" s="208">
        <v>42968</v>
      </c>
      <c r="D909" s="19">
        <v>0.4201388888888889</v>
      </c>
      <c r="E909" s="3">
        <v>4</v>
      </c>
      <c r="F909" s="190">
        <v>7.33</v>
      </c>
      <c r="G909" s="3">
        <v>83.5</v>
      </c>
      <c r="H909" s="3">
        <v>21.8</v>
      </c>
      <c r="I909" s="3">
        <v>21.8</v>
      </c>
      <c r="J909" s="3"/>
      <c r="L909" s="3"/>
      <c r="M909" s="3"/>
      <c r="N909" s="3"/>
      <c r="O909" s="3"/>
      <c r="P909" s="3"/>
      <c r="Q909" s="57" t="s">
        <v>149</v>
      </c>
      <c r="R909" s="19">
        <v>0.41666666666666669</v>
      </c>
      <c r="S909" s="20" t="s">
        <v>105</v>
      </c>
      <c r="T909" s="3"/>
      <c r="W909" s="3"/>
      <c r="X909" s="20" t="s">
        <v>150</v>
      </c>
    </row>
    <row r="910" spans="3:24" ht="15.75" customHeight="1" x14ac:dyDescent="0.2">
      <c r="C910" s="208">
        <v>42968</v>
      </c>
      <c r="D910" s="19">
        <v>0.4201388888888889</v>
      </c>
      <c r="E910" s="3">
        <v>5</v>
      </c>
      <c r="F910" s="190">
        <v>7.32</v>
      </c>
      <c r="G910" s="3">
        <v>83.4</v>
      </c>
      <c r="H910" s="3">
        <v>21.8</v>
      </c>
      <c r="I910" s="3">
        <v>21.8</v>
      </c>
      <c r="J910" s="3"/>
      <c r="L910" s="3"/>
      <c r="M910" s="3"/>
      <c r="N910" s="3"/>
      <c r="O910" s="3"/>
      <c r="P910" s="3"/>
      <c r="Q910" s="57" t="s">
        <v>149</v>
      </c>
      <c r="R910" s="19">
        <v>0.41666666666666669</v>
      </c>
      <c r="S910" s="20" t="s">
        <v>107</v>
      </c>
      <c r="T910" s="3"/>
      <c r="W910" s="3"/>
      <c r="X910" s="20" t="s">
        <v>150</v>
      </c>
    </row>
    <row r="911" spans="3:24" ht="15.75" customHeight="1" x14ac:dyDescent="0.2">
      <c r="C911" s="208">
        <v>42968</v>
      </c>
      <c r="D911" s="19">
        <v>0.4201388888888889</v>
      </c>
      <c r="E911" s="3">
        <v>6</v>
      </c>
      <c r="F911" s="190">
        <v>7.31</v>
      </c>
      <c r="G911" s="3">
        <v>83.2</v>
      </c>
      <c r="H911" s="3">
        <v>21.8</v>
      </c>
      <c r="I911" s="3">
        <v>21.8</v>
      </c>
      <c r="J911" s="3"/>
      <c r="L911" s="3"/>
      <c r="M911" s="3"/>
      <c r="N911" s="3"/>
      <c r="O911" s="3"/>
      <c r="P911" s="3"/>
      <c r="Q911" s="57"/>
      <c r="R911" s="3"/>
      <c r="S911" s="20"/>
      <c r="T911" s="3"/>
      <c r="W911" s="3"/>
      <c r="X911" s="20"/>
    </row>
    <row r="912" spans="3:24" ht="15.75" customHeight="1" x14ac:dyDescent="0.2">
      <c r="C912" s="208">
        <v>42968</v>
      </c>
      <c r="D912" s="19">
        <v>0.4201388888888889</v>
      </c>
      <c r="E912" s="3">
        <v>7</v>
      </c>
      <c r="F912" s="190">
        <v>7.3</v>
      </c>
      <c r="G912" s="3">
        <v>83.1</v>
      </c>
      <c r="H912" s="3">
        <v>21.8</v>
      </c>
      <c r="I912" s="3">
        <v>21.8</v>
      </c>
      <c r="J912" s="3"/>
      <c r="L912" s="3"/>
      <c r="M912" s="3"/>
      <c r="N912" s="3"/>
      <c r="O912" s="3"/>
      <c r="P912" s="3"/>
      <c r="Q912" s="57" t="s">
        <v>151</v>
      </c>
      <c r="R912" s="19">
        <v>0.4236111111111111</v>
      </c>
      <c r="S912" s="20" t="s">
        <v>105</v>
      </c>
      <c r="T912" s="3"/>
      <c r="W912" s="3"/>
      <c r="X912" s="20" t="s">
        <v>124</v>
      </c>
    </row>
    <row r="913" spans="3:24" ht="15.75" customHeight="1" x14ac:dyDescent="0.2">
      <c r="C913" s="208">
        <v>42968</v>
      </c>
      <c r="D913" s="19">
        <v>0.4201388888888889</v>
      </c>
      <c r="E913" s="3">
        <v>8</v>
      </c>
      <c r="F913" s="190">
        <v>7.3</v>
      </c>
      <c r="G913" s="3">
        <v>83</v>
      </c>
      <c r="H913" s="3">
        <v>21.7</v>
      </c>
      <c r="I913" s="3">
        <v>21.7</v>
      </c>
      <c r="J913" s="3"/>
      <c r="L913" s="3"/>
      <c r="M913" s="3"/>
      <c r="N913" s="3"/>
      <c r="O913" s="3"/>
      <c r="P913" s="3"/>
      <c r="Q913" s="57" t="s">
        <v>151</v>
      </c>
      <c r="R913" s="19">
        <v>0.4236111111111111</v>
      </c>
      <c r="S913" s="20" t="s">
        <v>107</v>
      </c>
      <c r="T913" s="3"/>
      <c r="W913" s="3"/>
      <c r="X913" s="20" t="s">
        <v>124</v>
      </c>
    </row>
    <row r="914" spans="3:24" ht="15.75" customHeight="1" x14ac:dyDescent="0.2">
      <c r="C914" s="208">
        <v>42968</v>
      </c>
      <c r="D914" s="19">
        <v>0.4201388888888889</v>
      </c>
      <c r="E914" s="3">
        <v>9</v>
      </c>
      <c r="F914" s="190">
        <v>7.29</v>
      </c>
      <c r="G914" s="3">
        <v>82.9</v>
      </c>
      <c r="H914" s="3">
        <v>21.7</v>
      </c>
      <c r="I914" s="3">
        <v>21.7</v>
      </c>
      <c r="J914" s="3"/>
      <c r="L914" s="3"/>
      <c r="M914" s="3"/>
      <c r="N914" s="3"/>
      <c r="O914" s="3"/>
      <c r="P914" s="3"/>
      <c r="Q914" s="57"/>
      <c r="R914" s="3"/>
      <c r="S914" s="20"/>
      <c r="T914" s="3"/>
      <c r="W914" s="3"/>
      <c r="X914" s="20"/>
    </row>
    <row r="915" spans="3:24" ht="15.75" customHeight="1" x14ac:dyDescent="0.2">
      <c r="C915" s="208">
        <v>42968</v>
      </c>
      <c r="D915" s="19">
        <v>0.4201388888888889</v>
      </c>
      <c r="E915" s="3">
        <v>10</v>
      </c>
      <c r="F915" s="190">
        <v>7.24</v>
      </c>
      <c r="G915" s="3">
        <v>82.4</v>
      </c>
      <c r="H915" s="3">
        <v>21.7</v>
      </c>
      <c r="I915" s="3">
        <v>21.7</v>
      </c>
      <c r="J915" s="3"/>
      <c r="L915" s="3"/>
      <c r="M915" s="3"/>
      <c r="N915" s="3"/>
      <c r="O915" s="3"/>
      <c r="P915" s="3"/>
      <c r="Q915" s="57" t="s">
        <v>152</v>
      </c>
      <c r="R915" s="19">
        <v>0.43402777777777773</v>
      </c>
      <c r="S915" s="20" t="s">
        <v>105</v>
      </c>
      <c r="T915" s="3"/>
      <c r="W915" s="3"/>
      <c r="X915" s="20" t="s">
        <v>153</v>
      </c>
    </row>
    <row r="916" spans="3:24" ht="15.75" customHeight="1" x14ac:dyDescent="0.2">
      <c r="C916" s="208">
        <v>42968</v>
      </c>
      <c r="D916" s="19">
        <v>0.4201388888888889</v>
      </c>
      <c r="E916" s="3">
        <v>11</v>
      </c>
      <c r="F916" s="190">
        <v>9.0500000000000007</v>
      </c>
      <c r="G916" s="3">
        <v>85</v>
      </c>
      <c r="H916" s="3">
        <v>12.6</v>
      </c>
      <c r="I916" s="17">
        <f>AVERAGE(I905:I915)</f>
        <v>21.781818181818181</v>
      </c>
      <c r="J916" s="17"/>
      <c r="L916" s="3"/>
      <c r="M916" s="3"/>
      <c r="N916" s="3"/>
      <c r="O916" s="3"/>
      <c r="P916" s="3"/>
      <c r="Q916" s="57" t="s">
        <v>152</v>
      </c>
      <c r="R916" s="19">
        <v>0.43402777777777773</v>
      </c>
      <c r="S916" s="20" t="s">
        <v>107</v>
      </c>
      <c r="T916" s="3"/>
      <c r="W916" s="3"/>
      <c r="X916" s="20" t="s">
        <v>154</v>
      </c>
    </row>
    <row r="917" spans="3:24" ht="15.75" customHeight="1" x14ac:dyDescent="0.2">
      <c r="C917" s="208">
        <v>42968</v>
      </c>
      <c r="D917" s="19">
        <v>0.4201388888888889</v>
      </c>
      <c r="E917" s="3">
        <v>13</v>
      </c>
      <c r="F917" s="190">
        <v>9.36</v>
      </c>
      <c r="G917" s="3">
        <v>81.099999999999994</v>
      </c>
      <c r="H917" s="3">
        <v>9.1</v>
      </c>
      <c r="I917" s="3"/>
      <c r="L917" s="3"/>
      <c r="M917" s="3"/>
      <c r="N917" s="3"/>
      <c r="O917" s="3"/>
      <c r="P917" s="3"/>
      <c r="Q917" s="57"/>
      <c r="R917" s="3"/>
      <c r="S917" s="20"/>
      <c r="T917" s="3"/>
      <c r="W917" s="3"/>
      <c r="X917" s="20"/>
    </row>
    <row r="918" spans="3:24" ht="15.75" customHeight="1" x14ac:dyDescent="0.2">
      <c r="C918" s="208">
        <v>42968</v>
      </c>
      <c r="D918" s="19">
        <v>0.4201388888888889</v>
      </c>
      <c r="E918" s="3">
        <v>15</v>
      </c>
      <c r="F918" s="190">
        <v>9.2200000000000006</v>
      </c>
      <c r="G918" s="3">
        <v>77.599999999999994</v>
      </c>
      <c r="H918" s="3">
        <v>7.9</v>
      </c>
      <c r="I918" s="3"/>
      <c r="L918" s="3"/>
      <c r="M918" s="3"/>
      <c r="N918" s="3"/>
      <c r="O918" s="3"/>
      <c r="P918" s="3"/>
      <c r="Q918" s="57" t="s">
        <v>155</v>
      </c>
      <c r="R918" s="19">
        <v>0.39583333333333331</v>
      </c>
      <c r="S918" s="20" t="s">
        <v>105</v>
      </c>
      <c r="T918" s="3"/>
      <c r="W918" s="3"/>
      <c r="X918" s="20" t="s">
        <v>130</v>
      </c>
    </row>
    <row r="919" spans="3:24" ht="15.75" customHeight="1" x14ac:dyDescent="0.2">
      <c r="C919" s="208">
        <v>42968</v>
      </c>
      <c r="D919" s="19">
        <v>0.4201388888888889</v>
      </c>
      <c r="E919" s="3">
        <v>17</v>
      </c>
      <c r="F919" s="190">
        <v>8.9600000000000009</v>
      </c>
      <c r="G919" s="3">
        <v>73.900000000000006</v>
      </c>
      <c r="H919" s="3">
        <v>7.2</v>
      </c>
      <c r="I919" s="3"/>
      <c r="L919" s="3"/>
      <c r="M919" s="3"/>
      <c r="N919" s="3"/>
      <c r="O919" s="3"/>
      <c r="P919" s="3"/>
      <c r="Q919" s="57" t="s">
        <v>155</v>
      </c>
      <c r="R919" s="19">
        <v>0.39583333333333331</v>
      </c>
      <c r="S919" s="20" t="s">
        <v>107</v>
      </c>
      <c r="T919" s="3"/>
      <c r="W919" s="3"/>
      <c r="X919" s="20" t="s">
        <v>133</v>
      </c>
    </row>
    <row r="920" spans="3:24" ht="15.75" customHeight="1" x14ac:dyDescent="0.2">
      <c r="C920" s="208">
        <v>42968</v>
      </c>
      <c r="D920" s="19">
        <v>0.4201388888888889</v>
      </c>
      <c r="E920" s="3">
        <v>19</v>
      </c>
      <c r="F920" s="190">
        <v>8.73</v>
      </c>
      <c r="G920" s="3">
        <v>71.400000000000006</v>
      </c>
      <c r="H920" s="3">
        <v>6.7</v>
      </c>
      <c r="I920" s="3"/>
      <c r="L920" s="3"/>
      <c r="M920" s="3"/>
      <c r="N920" s="3"/>
      <c r="O920" s="3"/>
      <c r="P920" s="3"/>
      <c r="Q920" s="57"/>
      <c r="R920" s="19"/>
      <c r="S920" s="20"/>
      <c r="T920" s="3"/>
      <c r="W920" s="3"/>
      <c r="X920" s="20"/>
    </row>
    <row r="921" spans="3:24" ht="15.75" customHeight="1" x14ac:dyDescent="0.2">
      <c r="C921" s="208">
        <v>42968</v>
      </c>
      <c r="D921" s="19">
        <v>0.4201388888888889</v>
      </c>
      <c r="E921" s="3">
        <v>21</v>
      </c>
      <c r="F921" s="190">
        <v>8.67</v>
      </c>
      <c r="G921" s="3">
        <v>70.5</v>
      </c>
      <c r="H921" s="3">
        <v>6.5</v>
      </c>
      <c r="I921" s="3"/>
      <c r="L921" s="3"/>
      <c r="M921" s="3"/>
      <c r="N921" s="3"/>
      <c r="O921" s="3"/>
      <c r="P921" s="3"/>
      <c r="Q921" s="60"/>
      <c r="R921" s="3"/>
      <c r="S921" s="3"/>
      <c r="T921" s="3"/>
      <c r="W921" s="3"/>
      <c r="X921" s="3"/>
    </row>
    <row r="922" spans="3:24" ht="15.75" customHeight="1" x14ac:dyDescent="0.2">
      <c r="C922" s="208">
        <v>42968</v>
      </c>
      <c r="D922" s="19">
        <v>0.4201388888888889</v>
      </c>
      <c r="E922" s="3">
        <v>23</v>
      </c>
      <c r="F922" s="190">
        <v>8.5299999999999994</v>
      </c>
      <c r="G922" s="3">
        <v>69</v>
      </c>
      <c r="H922" s="3">
        <v>6.3</v>
      </c>
      <c r="I922" s="3"/>
      <c r="L922" s="3"/>
      <c r="M922" s="3"/>
      <c r="N922" s="3"/>
      <c r="O922" s="3"/>
      <c r="P922" s="3"/>
      <c r="Q922" s="57" t="s">
        <v>156</v>
      </c>
      <c r="R922" s="19">
        <v>0.4375</v>
      </c>
      <c r="S922" s="20" t="s">
        <v>105</v>
      </c>
      <c r="T922" s="3"/>
      <c r="W922" s="3"/>
      <c r="X922" s="20" t="s">
        <v>157</v>
      </c>
    </row>
    <row r="923" spans="3:24" ht="15.75" customHeight="1" x14ac:dyDescent="0.2">
      <c r="C923" s="208">
        <v>42968</v>
      </c>
      <c r="D923" s="19">
        <v>0.4201388888888889</v>
      </c>
      <c r="E923" s="3">
        <v>25</v>
      </c>
      <c r="F923" s="190">
        <v>8.43</v>
      </c>
      <c r="G923" s="3">
        <v>68</v>
      </c>
      <c r="H923" s="3">
        <v>6.2</v>
      </c>
      <c r="I923" s="3"/>
      <c r="L923" s="3"/>
      <c r="M923" s="3"/>
      <c r="N923" s="3"/>
      <c r="O923" s="3"/>
      <c r="P923" s="3"/>
      <c r="Q923" s="57" t="s">
        <v>156</v>
      </c>
      <c r="R923" s="19">
        <v>0.4375</v>
      </c>
      <c r="S923" s="20" t="s">
        <v>107</v>
      </c>
      <c r="T923" s="3"/>
      <c r="W923" s="3"/>
      <c r="X923" s="20" t="s">
        <v>158</v>
      </c>
    </row>
    <row r="924" spans="3:24" ht="15.75" customHeight="1" x14ac:dyDescent="0.2">
      <c r="C924" s="208">
        <v>42968</v>
      </c>
      <c r="D924" s="19">
        <v>0.4201388888888889</v>
      </c>
      <c r="E924" s="3">
        <v>27</v>
      </c>
      <c r="F924" s="190">
        <v>8.42</v>
      </c>
      <c r="G924" s="3">
        <v>67.599999999999994</v>
      </c>
      <c r="H924" s="7">
        <v>6</v>
      </c>
      <c r="I924" s="3"/>
      <c r="L924" s="3"/>
      <c r="M924" s="3"/>
      <c r="N924" s="3"/>
      <c r="O924" s="3"/>
      <c r="P924" s="3"/>
      <c r="Q924" s="57"/>
      <c r="R924" s="3"/>
      <c r="S924" s="20"/>
      <c r="T924" s="3"/>
      <c r="W924" s="3"/>
      <c r="X924" s="20"/>
    </row>
    <row r="925" spans="3:24" ht="15.75" customHeight="1" x14ac:dyDescent="0.2">
      <c r="C925" s="208">
        <v>42968</v>
      </c>
      <c r="D925" s="19">
        <v>0.4201388888888889</v>
      </c>
      <c r="E925" s="3">
        <v>29</v>
      </c>
      <c r="F925" s="190">
        <v>8.41</v>
      </c>
      <c r="G925" s="3">
        <v>67.2</v>
      </c>
      <c r="H925" s="3">
        <v>5.9</v>
      </c>
      <c r="I925" s="3"/>
      <c r="L925" s="3"/>
      <c r="M925" s="3"/>
      <c r="N925" s="3"/>
      <c r="O925" s="3"/>
      <c r="P925" s="3"/>
      <c r="Q925" s="57" t="s">
        <v>159</v>
      </c>
      <c r="R925" s="19">
        <v>0.4236111111111111</v>
      </c>
      <c r="S925" s="20" t="s">
        <v>105</v>
      </c>
      <c r="T925" s="3"/>
      <c r="W925" s="3"/>
      <c r="X925" s="20" t="s">
        <v>160</v>
      </c>
    </row>
    <row r="926" spans="3:24" ht="15.75" customHeight="1" x14ac:dyDescent="0.2">
      <c r="C926" s="208">
        <v>42968</v>
      </c>
      <c r="D926" s="19">
        <v>0.4201388888888889</v>
      </c>
      <c r="E926" s="3">
        <v>31</v>
      </c>
      <c r="F926" s="190">
        <v>8.36</v>
      </c>
      <c r="G926" s="3">
        <v>66.8</v>
      </c>
      <c r="H926" s="3">
        <v>5.8</v>
      </c>
      <c r="I926" s="3"/>
      <c r="L926" s="3"/>
      <c r="M926" s="3"/>
      <c r="N926" s="3"/>
      <c r="O926" s="3"/>
      <c r="P926" s="3"/>
      <c r="Q926" s="57" t="s">
        <v>159</v>
      </c>
      <c r="R926" s="19">
        <v>0.4236111111111111</v>
      </c>
      <c r="S926" s="20" t="s">
        <v>107</v>
      </c>
      <c r="T926" s="3"/>
      <c r="W926" s="3"/>
      <c r="X926" s="20" t="s">
        <v>161</v>
      </c>
    </row>
    <row r="927" spans="3:24" ht="15.75" customHeight="1" x14ac:dyDescent="0.2">
      <c r="C927" s="208">
        <v>42968</v>
      </c>
      <c r="D927" s="19">
        <v>0.4201388888888889</v>
      </c>
      <c r="E927" s="3">
        <v>33</v>
      </c>
      <c r="F927" s="190">
        <v>8.2899999999999991</v>
      </c>
      <c r="G927" s="3">
        <v>66</v>
      </c>
      <c r="H927" s="3">
        <v>5.7</v>
      </c>
      <c r="I927" s="3"/>
      <c r="L927" s="3"/>
      <c r="M927" s="3"/>
      <c r="N927" s="3"/>
      <c r="O927" s="3"/>
      <c r="P927" s="3"/>
      <c r="Q927" s="60"/>
      <c r="R927" s="3"/>
      <c r="S927" s="3"/>
      <c r="T927" s="3"/>
      <c r="W927" s="3"/>
      <c r="X927" s="3"/>
    </row>
    <row r="928" spans="3:24" ht="15.75" customHeight="1" x14ac:dyDescent="0.2">
      <c r="C928" s="208">
        <v>42968</v>
      </c>
      <c r="D928" s="19">
        <v>0.4201388888888889</v>
      </c>
      <c r="E928" s="3">
        <v>35</v>
      </c>
      <c r="F928" s="190">
        <v>8.18</v>
      </c>
      <c r="G928" s="3">
        <v>65</v>
      </c>
      <c r="H928" s="3">
        <v>5.6</v>
      </c>
      <c r="I928" s="3"/>
      <c r="L928" s="3"/>
      <c r="M928" s="3"/>
      <c r="N928" s="3"/>
      <c r="O928" s="3"/>
      <c r="P928" s="3"/>
      <c r="Q928" s="60"/>
      <c r="R928" s="3"/>
      <c r="S928" s="3"/>
      <c r="T928" s="3"/>
      <c r="W928" s="3"/>
      <c r="X928" s="3"/>
    </row>
    <row r="929" spans="3:24" ht="15.75" customHeight="1" x14ac:dyDescent="0.2">
      <c r="C929" s="208">
        <v>42968</v>
      </c>
      <c r="D929" s="19">
        <v>0.4201388888888889</v>
      </c>
      <c r="E929" s="3">
        <v>37</v>
      </c>
      <c r="F929" s="190">
        <v>8</v>
      </c>
      <c r="G929" s="3">
        <v>63.6</v>
      </c>
      <c r="H929" s="3">
        <v>5.6</v>
      </c>
      <c r="I929" s="3"/>
      <c r="L929" s="3"/>
      <c r="M929" s="3"/>
      <c r="N929" s="3"/>
      <c r="O929" s="3"/>
      <c r="P929" s="3"/>
      <c r="Q929" s="57" t="s">
        <v>162</v>
      </c>
      <c r="R929" s="19">
        <v>0.41666666666666669</v>
      </c>
      <c r="S929" s="20" t="s">
        <v>105</v>
      </c>
      <c r="T929" s="3"/>
      <c r="W929" s="3"/>
      <c r="X929" s="20" t="s">
        <v>163</v>
      </c>
    </row>
    <row r="930" spans="3:24" ht="15.75" customHeight="1" x14ac:dyDescent="0.2">
      <c r="C930" s="208"/>
      <c r="D930" s="3"/>
      <c r="E930" s="3"/>
      <c r="G930" s="3"/>
      <c r="I930" s="3"/>
      <c r="L930" s="3"/>
      <c r="M930" s="3"/>
      <c r="N930" s="3"/>
      <c r="O930" s="3"/>
      <c r="P930" s="3"/>
      <c r="Q930" s="57" t="s">
        <v>162</v>
      </c>
      <c r="R930" s="19">
        <v>0.41666666666666669</v>
      </c>
      <c r="S930" s="20" t="s">
        <v>107</v>
      </c>
      <c r="T930" s="3"/>
      <c r="W930" s="3"/>
      <c r="X930" s="20" t="s">
        <v>163</v>
      </c>
    </row>
    <row r="931" spans="3:24" ht="15.75" customHeight="1" x14ac:dyDescent="0.2">
      <c r="C931" s="208">
        <v>43003</v>
      </c>
      <c r="D931" s="19">
        <v>0.42708333333333331</v>
      </c>
      <c r="E931" s="3"/>
      <c r="G931" s="3"/>
      <c r="I931" s="3"/>
      <c r="J931">
        <v>12</v>
      </c>
      <c r="K931">
        <v>13.75</v>
      </c>
      <c r="L931" s="3"/>
      <c r="M931" s="3"/>
      <c r="N931" s="3"/>
      <c r="O931" s="3"/>
      <c r="P931" s="3"/>
      <c r="Q931" s="57"/>
      <c r="R931" s="19"/>
      <c r="S931" s="20"/>
      <c r="T931" s="3"/>
      <c r="W931" s="3"/>
      <c r="X931" s="20"/>
    </row>
    <row r="932" spans="3:24" ht="15.75" customHeight="1" x14ac:dyDescent="0.2">
      <c r="C932" s="208">
        <v>43003</v>
      </c>
      <c r="D932" s="19">
        <v>0.43055555555555558</v>
      </c>
      <c r="E932" s="3">
        <v>0.1</v>
      </c>
      <c r="F932" s="190">
        <v>8.2200000000000006</v>
      </c>
      <c r="G932" s="3">
        <v>83.7</v>
      </c>
      <c r="H932" s="7">
        <v>16.3</v>
      </c>
      <c r="I932" s="7">
        <v>16.3</v>
      </c>
      <c r="J932" s="7"/>
      <c r="L932" s="3"/>
      <c r="M932" s="3"/>
      <c r="N932" s="3"/>
      <c r="O932" s="3"/>
      <c r="P932" s="3"/>
      <c r="Q932" s="57"/>
      <c r="R932" s="3"/>
      <c r="S932" s="20"/>
      <c r="T932" s="3"/>
      <c r="W932" s="3"/>
      <c r="X932" s="20"/>
    </row>
    <row r="933" spans="3:24" ht="15.75" customHeight="1" x14ac:dyDescent="0.2">
      <c r="C933" s="208">
        <v>43003</v>
      </c>
      <c r="D933" s="19">
        <v>0.43055555555555558</v>
      </c>
      <c r="E933" s="3">
        <v>1</v>
      </c>
      <c r="F933" s="190">
        <v>8.17</v>
      </c>
      <c r="G933" s="3">
        <v>83.5</v>
      </c>
      <c r="H933" s="7">
        <v>16.399999999999999</v>
      </c>
      <c r="I933" s="7">
        <v>16.399999999999999</v>
      </c>
      <c r="J933" s="7"/>
      <c r="L933" s="3"/>
      <c r="M933" s="3"/>
      <c r="N933" s="3"/>
      <c r="O933" s="3"/>
      <c r="P933" s="3"/>
      <c r="Q933" s="57" t="s">
        <v>164</v>
      </c>
      <c r="R933" s="19">
        <v>0.41666666666666669</v>
      </c>
      <c r="S933" s="20" t="s">
        <v>105</v>
      </c>
      <c r="T933" s="3"/>
      <c r="W933" s="3"/>
      <c r="X933" s="20" t="s">
        <v>128</v>
      </c>
    </row>
    <row r="934" spans="3:24" ht="15.75" customHeight="1" x14ac:dyDescent="0.2">
      <c r="C934" s="208">
        <v>43003</v>
      </c>
      <c r="D934" s="19">
        <v>0.43055555555555558</v>
      </c>
      <c r="E934" s="3">
        <v>2</v>
      </c>
      <c r="F934" s="190">
        <v>8.15</v>
      </c>
      <c r="G934" s="3">
        <v>83.2</v>
      </c>
      <c r="H934" s="7">
        <v>16.399999999999999</v>
      </c>
      <c r="I934" s="7">
        <v>16.399999999999999</v>
      </c>
      <c r="J934" s="7"/>
      <c r="L934" s="3"/>
      <c r="M934" s="3"/>
      <c r="N934" s="3"/>
      <c r="O934" s="3"/>
      <c r="P934" s="3"/>
      <c r="Q934" s="57" t="s">
        <v>164</v>
      </c>
      <c r="R934" s="19">
        <v>0.41666666666666669</v>
      </c>
      <c r="S934" s="20" t="s">
        <v>107</v>
      </c>
      <c r="T934" s="3"/>
      <c r="W934" s="3"/>
      <c r="X934" s="20" t="s">
        <v>165</v>
      </c>
    </row>
    <row r="935" spans="3:24" ht="15.75" customHeight="1" x14ac:dyDescent="0.2">
      <c r="C935" s="208">
        <v>43003</v>
      </c>
      <c r="D935" s="19">
        <v>0.43055555555555558</v>
      </c>
      <c r="E935" s="3">
        <v>3</v>
      </c>
      <c r="F935" s="190">
        <v>8.1300000000000008</v>
      </c>
      <c r="G935" s="3">
        <v>83.1</v>
      </c>
      <c r="H935" s="7">
        <v>16.399999999999999</v>
      </c>
      <c r="I935" s="7">
        <v>16.399999999999999</v>
      </c>
      <c r="J935" s="7"/>
      <c r="L935" s="3"/>
      <c r="M935" s="3"/>
      <c r="N935" s="3"/>
      <c r="O935" s="3"/>
      <c r="P935" s="3"/>
      <c r="Q935" s="57"/>
      <c r="R935" s="3"/>
      <c r="S935" s="20"/>
      <c r="T935" s="3"/>
      <c r="W935" s="3"/>
      <c r="X935" s="20"/>
    </row>
    <row r="936" spans="3:24" ht="15.75" customHeight="1" x14ac:dyDescent="0.2">
      <c r="C936" s="208">
        <v>43003</v>
      </c>
      <c r="D936" s="19">
        <v>0.43055555555555558</v>
      </c>
      <c r="E936" s="3">
        <v>4</v>
      </c>
      <c r="F936" s="190">
        <v>8.11</v>
      </c>
      <c r="G936" s="3">
        <v>82.9</v>
      </c>
      <c r="H936" s="7">
        <v>16.399999999999999</v>
      </c>
      <c r="I936" s="7">
        <v>16.399999999999999</v>
      </c>
      <c r="J936" s="7"/>
      <c r="L936" s="3"/>
      <c r="M936" s="3"/>
      <c r="N936" s="3"/>
      <c r="O936" s="3"/>
      <c r="P936" s="3"/>
      <c r="Q936" s="57" t="s">
        <v>166</v>
      </c>
      <c r="R936" s="19">
        <v>0.41666666666666669</v>
      </c>
      <c r="S936" s="20" t="s">
        <v>105</v>
      </c>
      <c r="T936" s="3"/>
      <c r="W936" s="3"/>
      <c r="X936" s="20" t="s">
        <v>167</v>
      </c>
    </row>
    <row r="937" spans="3:24" ht="15.75" customHeight="1" x14ac:dyDescent="0.2">
      <c r="C937" s="208">
        <v>43003</v>
      </c>
      <c r="D937" s="19">
        <v>0.43055555555555558</v>
      </c>
      <c r="E937" s="3">
        <v>5</v>
      </c>
      <c r="F937" s="190">
        <v>8.1</v>
      </c>
      <c r="G937" s="3">
        <v>82.7</v>
      </c>
      <c r="H937" s="7">
        <v>16.399999999999999</v>
      </c>
      <c r="I937" s="7">
        <v>16.399999999999999</v>
      </c>
      <c r="J937" s="7"/>
      <c r="L937" s="3"/>
      <c r="M937" s="3"/>
      <c r="N937" s="3"/>
      <c r="O937" s="3"/>
      <c r="P937" s="3"/>
      <c r="Q937" s="57" t="s">
        <v>166</v>
      </c>
      <c r="R937" s="19">
        <v>0.41666666666666669</v>
      </c>
      <c r="S937" s="20" t="s">
        <v>107</v>
      </c>
      <c r="T937" s="3"/>
      <c r="W937" s="3"/>
      <c r="X937" s="20" t="s">
        <v>168</v>
      </c>
    </row>
    <row r="938" spans="3:24" ht="15.75" customHeight="1" x14ac:dyDescent="0.2">
      <c r="C938" s="208">
        <v>43003</v>
      </c>
      <c r="D938" s="19">
        <v>0.43055555555555558</v>
      </c>
      <c r="E938" s="3">
        <v>6</v>
      </c>
      <c r="F938" s="190">
        <v>8.08</v>
      </c>
      <c r="G938" s="3">
        <v>82.5</v>
      </c>
      <c r="H938" s="7">
        <v>16.399999999999999</v>
      </c>
      <c r="I938" s="7">
        <v>16.399999999999999</v>
      </c>
      <c r="J938" s="7"/>
      <c r="L938" s="3"/>
      <c r="M938" s="3"/>
      <c r="N938" s="3"/>
      <c r="O938" s="3"/>
      <c r="P938" s="3"/>
      <c r="Q938" s="57"/>
      <c r="R938" s="3"/>
      <c r="S938" s="20"/>
      <c r="T938" s="3"/>
      <c r="W938" s="3"/>
      <c r="X938" s="20"/>
    </row>
    <row r="939" spans="3:24" ht="15.75" customHeight="1" x14ac:dyDescent="0.2">
      <c r="C939" s="208">
        <v>43003</v>
      </c>
      <c r="D939" s="19">
        <v>0.43055555555555558</v>
      </c>
      <c r="E939" s="3">
        <v>7</v>
      </c>
      <c r="F939" s="190">
        <v>8.0500000000000007</v>
      </c>
      <c r="G939" s="3">
        <v>82.3</v>
      </c>
      <c r="H939" s="7">
        <v>16.399999999999999</v>
      </c>
      <c r="I939" s="7">
        <v>16.399999999999999</v>
      </c>
      <c r="J939" s="7"/>
      <c r="L939" s="3"/>
      <c r="M939" s="3"/>
      <c r="N939" s="3"/>
      <c r="O939" s="3"/>
      <c r="P939" s="3"/>
      <c r="Q939" s="57" t="s">
        <v>169</v>
      </c>
      <c r="R939" s="19">
        <v>0.39930555555555558</v>
      </c>
      <c r="S939" s="20" t="s">
        <v>105</v>
      </c>
      <c r="T939" s="3"/>
      <c r="W939" s="3"/>
      <c r="X939" s="20" t="s">
        <v>153</v>
      </c>
    </row>
    <row r="940" spans="3:24" ht="15.75" customHeight="1" x14ac:dyDescent="0.2">
      <c r="C940" s="208">
        <v>43003</v>
      </c>
      <c r="D940" s="19">
        <v>0.43055555555555558</v>
      </c>
      <c r="E940" s="3">
        <v>8</v>
      </c>
      <c r="F940" s="190">
        <v>8.0399999999999991</v>
      </c>
      <c r="G940" s="3">
        <v>82.1</v>
      </c>
      <c r="H940" s="7">
        <v>16.399999999999999</v>
      </c>
      <c r="I940" s="7">
        <v>16.399999999999999</v>
      </c>
      <c r="J940" s="7"/>
      <c r="L940" s="3"/>
      <c r="M940" s="3"/>
      <c r="N940" s="3"/>
      <c r="O940" s="3"/>
      <c r="P940" s="3"/>
      <c r="Q940" s="57" t="s">
        <v>169</v>
      </c>
      <c r="R940" s="19">
        <v>0.39930555555555558</v>
      </c>
      <c r="S940" s="20" t="s">
        <v>107</v>
      </c>
      <c r="T940" s="3"/>
      <c r="W940" s="3"/>
      <c r="X940" s="20" t="s">
        <v>153</v>
      </c>
    </row>
    <row r="941" spans="3:24" ht="15.75" customHeight="1" x14ac:dyDescent="0.2">
      <c r="C941" s="208">
        <v>43003</v>
      </c>
      <c r="D941" s="19">
        <v>0.43055555555555558</v>
      </c>
      <c r="E941" s="3">
        <v>9</v>
      </c>
      <c r="F941" s="190">
        <v>8.01</v>
      </c>
      <c r="G941" s="3">
        <v>81.900000000000006</v>
      </c>
      <c r="H941" s="7">
        <v>16.399999999999999</v>
      </c>
      <c r="I941" s="7">
        <v>16.399999999999999</v>
      </c>
      <c r="J941" s="7"/>
      <c r="L941" s="3"/>
      <c r="M941" s="3"/>
      <c r="N941" s="3"/>
      <c r="O941" s="3"/>
      <c r="P941" s="3"/>
      <c r="Q941" s="60"/>
      <c r="R941" s="3"/>
      <c r="S941" s="3"/>
      <c r="T941" s="3"/>
      <c r="W941" s="3"/>
      <c r="X941" s="3"/>
    </row>
    <row r="942" spans="3:24" ht="15.75" customHeight="1" x14ac:dyDescent="0.2">
      <c r="C942" s="208">
        <v>43003</v>
      </c>
      <c r="D942" s="19">
        <v>0.43055555555555558</v>
      </c>
      <c r="E942" s="3">
        <v>10</v>
      </c>
      <c r="F942" s="190">
        <v>7.99</v>
      </c>
      <c r="G942" s="3">
        <v>81.599999999999994</v>
      </c>
      <c r="H942" s="7">
        <v>16.399999999999999</v>
      </c>
      <c r="I942" s="7">
        <v>16.399999999999999</v>
      </c>
      <c r="J942" s="7"/>
      <c r="L942" s="3"/>
      <c r="M942" s="3"/>
      <c r="N942" s="3"/>
      <c r="O942" s="3"/>
      <c r="P942" s="3"/>
      <c r="Q942" s="57" t="s">
        <v>170</v>
      </c>
      <c r="R942" s="19">
        <v>0.41319444444444442</v>
      </c>
      <c r="S942" s="20" t="s">
        <v>105</v>
      </c>
      <c r="T942" s="3"/>
      <c r="W942" s="3"/>
      <c r="X942" s="20" t="s">
        <v>171</v>
      </c>
    </row>
    <row r="943" spans="3:24" ht="15.75" customHeight="1" x14ac:dyDescent="0.2">
      <c r="C943" s="208">
        <v>43003</v>
      </c>
      <c r="D943" s="19">
        <v>0.43055555555555558</v>
      </c>
      <c r="E943" s="3">
        <v>11</v>
      </c>
      <c r="F943" s="190">
        <v>7.97</v>
      </c>
      <c r="G943" s="3">
        <v>81.3</v>
      </c>
      <c r="H943" s="7">
        <v>16.399999999999999</v>
      </c>
      <c r="I943" s="7">
        <v>16.399999999999999</v>
      </c>
      <c r="J943" s="7"/>
      <c r="L943" s="3"/>
      <c r="M943" s="3"/>
      <c r="N943" s="3"/>
      <c r="O943" s="3"/>
      <c r="P943" s="3"/>
      <c r="Q943" s="57" t="s">
        <v>170</v>
      </c>
      <c r="R943" s="19">
        <v>0.41319444444444442</v>
      </c>
      <c r="S943" s="20" t="s">
        <v>107</v>
      </c>
      <c r="T943" s="3"/>
      <c r="W943" s="3"/>
      <c r="X943" s="20" t="s">
        <v>171</v>
      </c>
    </row>
    <row r="944" spans="3:24" ht="15.75" customHeight="1" x14ac:dyDescent="0.2">
      <c r="C944" s="208">
        <v>43003</v>
      </c>
      <c r="D944" s="19">
        <v>0.43055555555555558</v>
      </c>
      <c r="E944" s="3">
        <v>12</v>
      </c>
      <c r="F944" s="190">
        <v>7.9</v>
      </c>
      <c r="G944" s="3">
        <v>80.3</v>
      </c>
      <c r="H944" s="7">
        <v>16.2</v>
      </c>
      <c r="I944" s="7">
        <v>16.3</v>
      </c>
      <c r="J944" s="7"/>
      <c r="L944" s="3"/>
      <c r="M944" s="3"/>
      <c r="N944" s="3"/>
      <c r="O944" s="3"/>
      <c r="P944" s="3"/>
      <c r="Q944" s="60"/>
      <c r="R944" s="3"/>
      <c r="S944" s="3"/>
      <c r="T944" s="3"/>
      <c r="W944" s="3"/>
      <c r="X944" s="3"/>
    </row>
    <row r="945" spans="3:24" ht="15.75" customHeight="1" x14ac:dyDescent="0.2">
      <c r="C945" s="208">
        <v>43003</v>
      </c>
      <c r="D945" s="19">
        <v>0.43055555555555558</v>
      </c>
      <c r="E945" s="3">
        <v>13</v>
      </c>
      <c r="F945" s="190">
        <v>7.85</v>
      </c>
      <c r="G945" s="3">
        <v>79.400000000000006</v>
      </c>
      <c r="H945" s="7">
        <v>15.9</v>
      </c>
      <c r="I945" s="7">
        <v>15.9</v>
      </c>
      <c r="J945" s="7"/>
      <c r="L945" s="3"/>
      <c r="M945" s="3"/>
      <c r="N945" s="3"/>
      <c r="O945" s="3"/>
      <c r="P945" s="3"/>
      <c r="Q945" s="57" t="s">
        <v>172</v>
      </c>
      <c r="R945" s="19">
        <v>0.46180555555555558</v>
      </c>
      <c r="S945" s="20" t="s">
        <v>105</v>
      </c>
      <c r="T945" s="3"/>
      <c r="W945" s="3"/>
      <c r="X945" s="20" t="s">
        <v>128</v>
      </c>
    </row>
    <row r="946" spans="3:24" ht="15.75" customHeight="1" x14ac:dyDescent="0.2">
      <c r="C946" s="208">
        <v>43003</v>
      </c>
      <c r="D946" s="19">
        <v>0.43055555555555558</v>
      </c>
      <c r="E946" s="3">
        <v>14</v>
      </c>
      <c r="F946" s="190">
        <v>8.1199999999999992</v>
      </c>
      <c r="G946" s="3">
        <v>75</v>
      </c>
      <c r="H946" s="7">
        <v>11.8</v>
      </c>
      <c r="I946" s="17">
        <f>AVERAGE(I932:I945)</f>
        <v>16.350000000000005</v>
      </c>
      <c r="J946" s="17"/>
      <c r="L946" s="3"/>
      <c r="M946" s="3"/>
      <c r="N946" s="3"/>
      <c r="O946" s="3"/>
      <c r="P946" s="3"/>
      <c r="Q946" s="57" t="s">
        <v>172</v>
      </c>
      <c r="R946" s="19">
        <v>0.46180555555555558</v>
      </c>
      <c r="S946" s="20" t="s">
        <v>107</v>
      </c>
      <c r="T946" s="3"/>
      <c r="W946" s="3"/>
      <c r="X946" s="20" t="s">
        <v>173</v>
      </c>
    </row>
    <row r="947" spans="3:24" ht="15.75" customHeight="1" x14ac:dyDescent="0.2">
      <c r="C947" s="208">
        <v>43003</v>
      </c>
      <c r="D947" s="19">
        <v>0.43055555555555558</v>
      </c>
      <c r="E947" s="3">
        <v>16</v>
      </c>
      <c r="F947" s="190">
        <v>8.82</v>
      </c>
      <c r="G947" s="3">
        <v>76.099999999999994</v>
      </c>
      <c r="H947" s="7">
        <v>9.4</v>
      </c>
      <c r="I947" s="3"/>
      <c r="L947" s="3"/>
      <c r="M947" s="3"/>
      <c r="N947" s="3"/>
      <c r="O947" s="3"/>
      <c r="P947" s="3"/>
      <c r="Q947" s="57"/>
      <c r="R947" s="3"/>
      <c r="S947" s="20"/>
      <c r="T947" s="3"/>
      <c r="W947" s="3"/>
      <c r="X947" s="20"/>
    </row>
    <row r="948" spans="3:24" ht="15.75" customHeight="1" x14ac:dyDescent="0.2">
      <c r="C948" s="208">
        <v>43003</v>
      </c>
      <c r="D948" s="19">
        <v>0.43055555555555558</v>
      </c>
      <c r="E948" s="3">
        <v>18</v>
      </c>
      <c r="F948" s="190">
        <v>8.2799999999999994</v>
      </c>
      <c r="G948" s="3">
        <v>68.400000000000006</v>
      </c>
      <c r="H948" s="7">
        <v>7.2</v>
      </c>
      <c r="I948" s="3"/>
      <c r="L948" s="3"/>
      <c r="M948" s="3"/>
      <c r="N948" s="3"/>
      <c r="O948" s="3"/>
      <c r="P948" s="3"/>
      <c r="Q948" s="57" t="s">
        <v>174</v>
      </c>
      <c r="R948" s="19">
        <v>0.41666666666666669</v>
      </c>
      <c r="S948" s="20" t="s">
        <v>105</v>
      </c>
      <c r="T948" s="3"/>
      <c r="W948" s="3"/>
      <c r="X948" s="20" t="s">
        <v>175</v>
      </c>
    </row>
    <row r="949" spans="3:24" ht="15.75" customHeight="1" x14ac:dyDescent="0.2">
      <c r="C949" s="208">
        <v>43003</v>
      </c>
      <c r="D949" s="19">
        <v>0.43055555555555558</v>
      </c>
      <c r="E949" s="3">
        <v>20</v>
      </c>
      <c r="F949" s="190">
        <v>8.15</v>
      </c>
      <c r="G949" s="3">
        <v>66.7</v>
      </c>
      <c r="H949" s="7">
        <v>6.8</v>
      </c>
      <c r="I949" s="3"/>
      <c r="L949" s="3"/>
      <c r="M949" s="3"/>
      <c r="N949" s="3"/>
      <c r="O949" s="3"/>
      <c r="P949" s="3"/>
      <c r="Q949" s="57" t="s">
        <v>174</v>
      </c>
      <c r="R949" s="19">
        <v>0.41666666666666669</v>
      </c>
      <c r="S949" s="20" t="s">
        <v>107</v>
      </c>
      <c r="T949" s="3"/>
      <c r="W949" s="3"/>
      <c r="X949" s="20" t="s">
        <v>175</v>
      </c>
    </row>
    <row r="950" spans="3:24" ht="15.75" customHeight="1" x14ac:dyDescent="0.2">
      <c r="C950" s="208">
        <v>43003</v>
      </c>
      <c r="D950" s="19">
        <v>0.43055555555555558</v>
      </c>
      <c r="E950" s="3">
        <v>22</v>
      </c>
      <c r="F950" s="190">
        <v>8.11</v>
      </c>
      <c r="G950" s="3">
        <v>66.099999999999994</v>
      </c>
      <c r="H950" s="7">
        <v>6.6</v>
      </c>
      <c r="I950" s="3"/>
      <c r="L950" s="3"/>
      <c r="M950" s="3"/>
      <c r="N950" s="3"/>
      <c r="O950" s="3"/>
      <c r="P950" s="3"/>
      <c r="Q950" s="57"/>
      <c r="R950" s="3"/>
      <c r="S950" s="20"/>
      <c r="T950" s="3"/>
      <c r="W950" s="3"/>
      <c r="X950" s="20"/>
    </row>
    <row r="951" spans="3:24" ht="15.75" customHeight="1" x14ac:dyDescent="0.2">
      <c r="C951" s="208">
        <v>43003</v>
      </c>
      <c r="D951" s="19">
        <v>0.43055555555555558</v>
      </c>
      <c r="E951" s="3">
        <v>24</v>
      </c>
      <c r="F951" s="190">
        <v>8.1999999999999993</v>
      </c>
      <c r="G951" s="3">
        <v>66.599999999999994</v>
      </c>
      <c r="H951" s="7">
        <v>6.4</v>
      </c>
      <c r="I951" s="3"/>
      <c r="L951" s="3"/>
      <c r="M951" s="3"/>
      <c r="N951" s="3"/>
      <c r="O951" s="3"/>
      <c r="P951" s="3"/>
      <c r="Q951" s="57" t="s">
        <v>176</v>
      </c>
      <c r="R951" s="19">
        <v>0.4826388888888889</v>
      </c>
      <c r="S951" s="20" t="s">
        <v>105</v>
      </c>
      <c r="T951" s="3"/>
      <c r="W951" s="3"/>
      <c r="X951" s="20" t="s">
        <v>177</v>
      </c>
    </row>
    <row r="952" spans="3:24" ht="15.75" customHeight="1" x14ac:dyDescent="0.2">
      <c r="C952" s="208">
        <v>43003</v>
      </c>
      <c r="D952" s="19">
        <v>0.43055555555555558</v>
      </c>
      <c r="E952" s="3">
        <v>26</v>
      </c>
      <c r="F952" s="190">
        <v>8.25</v>
      </c>
      <c r="G952" s="3">
        <v>66.599999999999994</v>
      </c>
      <c r="H952" s="7">
        <v>6.2</v>
      </c>
      <c r="I952" s="3"/>
      <c r="L952" s="3"/>
      <c r="M952" s="3"/>
      <c r="N952" s="3"/>
      <c r="O952" s="3"/>
      <c r="P952" s="3"/>
      <c r="Q952" s="57" t="s">
        <v>176</v>
      </c>
      <c r="R952" s="19">
        <v>0.4826388888888889</v>
      </c>
      <c r="S952" s="20" t="s">
        <v>107</v>
      </c>
      <c r="T952" s="3"/>
      <c r="W952" s="3"/>
      <c r="X952" s="20" t="s">
        <v>177</v>
      </c>
    </row>
    <row r="953" spans="3:24" ht="15.75" customHeight="1" x14ac:dyDescent="0.2">
      <c r="C953" s="208">
        <v>43003</v>
      </c>
      <c r="D953" s="19">
        <v>0.43055555555555558</v>
      </c>
      <c r="E953" s="3">
        <v>28</v>
      </c>
      <c r="F953" s="190">
        <v>8.23</v>
      </c>
      <c r="G953" s="3">
        <v>66.2</v>
      </c>
      <c r="H953" s="7">
        <v>6</v>
      </c>
      <c r="I953" s="3"/>
      <c r="L953" s="3"/>
      <c r="M953" s="3"/>
      <c r="N953" s="3"/>
      <c r="O953" s="3"/>
      <c r="P953" s="3"/>
      <c r="Q953" s="57"/>
      <c r="R953" s="3"/>
      <c r="S953" s="20"/>
      <c r="T953" s="3"/>
      <c r="W953" s="3"/>
      <c r="X953" s="20"/>
    </row>
    <row r="954" spans="3:24" ht="15.75" customHeight="1" x14ac:dyDescent="0.2">
      <c r="C954" s="208">
        <v>43003</v>
      </c>
      <c r="D954" s="19">
        <v>0.43055555555555558</v>
      </c>
      <c r="E954" s="3">
        <v>30</v>
      </c>
      <c r="F954" s="190">
        <v>8.2100000000000009</v>
      </c>
      <c r="G954" s="3">
        <v>65.7</v>
      </c>
      <c r="H954" s="7">
        <v>5.9</v>
      </c>
      <c r="I954" s="3"/>
      <c r="L954" s="3"/>
      <c r="M954" s="3"/>
      <c r="N954" s="3"/>
      <c r="O954" s="3"/>
      <c r="P954" s="3"/>
      <c r="Q954" s="57" t="s">
        <v>178</v>
      </c>
      <c r="R954" s="19">
        <v>0.4201388888888889</v>
      </c>
      <c r="S954" s="20" t="s">
        <v>105</v>
      </c>
      <c r="T954" s="3"/>
      <c r="W954" s="3"/>
      <c r="X954" s="20" t="s">
        <v>179</v>
      </c>
    </row>
    <row r="955" spans="3:24" ht="15.75" customHeight="1" x14ac:dyDescent="0.2">
      <c r="C955" s="208">
        <v>43003</v>
      </c>
      <c r="D955" s="19">
        <v>0.43055555555555558</v>
      </c>
      <c r="E955" s="3">
        <v>32</v>
      </c>
      <c r="F955" s="190">
        <v>8.16</v>
      </c>
      <c r="G955" s="3">
        <v>65.3</v>
      </c>
      <c r="H955" s="7">
        <v>5.9</v>
      </c>
      <c r="I955" s="3"/>
      <c r="L955" s="3"/>
      <c r="M955" s="3"/>
      <c r="N955" s="3"/>
      <c r="O955" s="3"/>
      <c r="P955" s="3"/>
      <c r="Q955" s="57" t="s">
        <v>178</v>
      </c>
      <c r="R955" s="19">
        <v>0.4201388888888889</v>
      </c>
      <c r="S955" s="20" t="s">
        <v>107</v>
      </c>
      <c r="T955" s="3"/>
      <c r="W955" s="3"/>
      <c r="X955" s="20" t="s">
        <v>179</v>
      </c>
    </row>
    <row r="956" spans="3:24" ht="15.75" customHeight="1" x14ac:dyDescent="0.2">
      <c r="C956" s="208">
        <v>43003</v>
      </c>
      <c r="D956" s="19">
        <v>0.43055555555555558</v>
      </c>
      <c r="E956" s="3">
        <v>34</v>
      </c>
      <c r="F956" s="190">
        <v>8.11</v>
      </c>
      <c r="G956" s="3">
        <v>64.8</v>
      </c>
      <c r="H956" s="7">
        <v>5.8</v>
      </c>
      <c r="I956" s="3"/>
      <c r="L956" s="3"/>
      <c r="M956" s="3"/>
      <c r="N956" s="3"/>
      <c r="O956" s="3"/>
      <c r="P956" s="3"/>
      <c r="Q956" s="3"/>
      <c r="R956" s="3"/>
      <c r="S956" s="3"/>
    </row>
    <row r="957" spans="3:24" ht="15.75" customHeight="1" x14ac:dyDescent="0.2">
      <c r="C957" s="208">
        <v>43003</v>
      </c>
      <c r="D957" s="19">
        <v>0.43055555555555558</v>
      </c>
      <c r="E957" s="3">
        <v>36</v>
      </c>
      <c r="F957" s="190">
        <v>8.07</v>
      </c>
      <c r="G957" s="3">
        <v>64.2</v>
      </c>
      <c r="H957" s="7">
        <v>5.8</v>
      </c>
      <c r="I957" s="3"/>
      <c r="L957" s="3"/>
      <c r="M957" s="3"/>
      <c r="N957" s="3"/>
      <c r="O957" s="3"/>
      <c r="P957" s="3"/>
      <c r="Q957" s="57" t="s">
        <v>180</v>
      </c>
      <c r="R957" s="19">
        <v>0.41805555555555557</v>
      </c>
      <c r="S957" s="20" t="s">
        <v>105</v>
      </c>
      <c r="T957" s="3"/>
      <c r="W957" s="3"/>
      <c r="X957" s="20" t="s">
        <v>181</v>
      </c>
    </row>
    <row r="958" spans="3:24" ht="15.75" customHeight="1" x14ac:dyDescent="0.2">
      <c r="C958" s="208">
        <v>43003</v>
      </c>
      <c r="D958" s="19">
        <v>0.43055555555555558</v>
      </c>
      <c r="E958" s="3">
        <v>38</v>
      </c>
      <c r="F958" s="190">
        <v>7.9</v>
      </c>
      <c r="G958" s="3">
        <v>63</v>
      </c>
      <c r="H958" s="7">
        <v>5.8</v>
      </c>
      <c r="I958" s="3"/>
      <c r="L958" s="3"/>
      <c r="M958" s="3"/>
      <c r="N958" s="3"/>
      <c r="O958" s="3"/>
      <c r="P958" s="3"/>
      <c r="Q958" s="57" t="s">
        <v>180</v>
      </c>
      <c r="R958" s="19">
        <v>0.41805555555555557</v>
      </c>
      <c r="S958" s="20" t="s">
        <v>107</v>
      </c>
      <c r="T958" s="3"/>
      <c r="W958" s="3"/>
      <c r="X958" s="20" t="s">
        <v>181</v>
      </c>
    </row>
    <row r="959" spans="3:24" ht="15.75" customHeight="1" x14ac:dyDescent="0.2">
      <c r="C959" s="208"/>
      <c r="D959" s="19"/>
      <c r="E959" s="3"/>
      <c r="G959" s="3"/>
      <c r="I959" s="3"/>
      <c r="L959" s="3"/>
      <c r="M959" s="3"/>
      <c r="N959" s="3"/>
      <c r="O959" s="3"/>
      <c r="P959" s="3"/>
      <c r="Q959" s="61"/>
      <c r="R959" s="3"/>
      <c r="S959" s="20"/>
      <c r="T959" s="3"/>
      <c r="W959" s="3"/>
      <c r="X959" s="20"/>
    </row>
    <row r="960" spans="3:24" ht="15.75" customHeight="1" x14ac:dyDescent="0.2">
      <c r="C960" s="208">
        <v>43024</v>
      </c>
      <c r="D960" s="19">
        <v>0.4375</v>
      </c>
      <c r="E960" s="3"/>
      <c r="G960" s="3"/>
      <c r="I960" s="3"/>
      <c r="J960">
        <v>9</v>
      </c>
      <c r="K960">
        <v>12.25</v>
      </c>
      <c r="L960" s="3"/>
      <c r="M960" s="3"/>
      <c r="N960" s="3"/>
      <c r="O960" s="3"/>
      <c r="P960" s="3"/>
      <c r="Q960" s="61"/>
      <c r="R960" s="3"/>
      <c r="S960" s="20"/>
      <c r="T960" s="3"/>
      <c r="W960" s="3"/>
      <c r="X960" s="20"/>
    </row>
    <row r="961" spans="3:24" ht="15.75" customHeight="1" x14ac:dyDescent="0.2">
      <c r="C961" s="208">
        <v>43024</v>
      </c>
      <c r="D961" s="19">
        <v>0.4375</v>
      </c>
      <c r="E961" s="3">
        <v>0.1</v>
      </c>
      <c r="F961" s="190">
        <v>8.75</v>
      </c>
      <c r="G961" s="3">
        <v>82.4</v>
      </c>
      <c r="H961" s="7">
        <v>12.7</v>
      </c>
      <c r="I961" s="3"/>
      <c r="L961" s="3"/>
      <c r="M961" s="3"/>
      <c r="N961" s="3"/>
      <c r="O961" s="3"/>
      <c r="P961" s="3"/>
      <c r="Q961" s="61"/>
      <c r="R961" s="3"/>
      <c r="S961" s="20"/>
      <c r="T961" s="3"/>
      <c r="W961" s="3"/>
      <c r="X961" s="20"/>
    </row>
    <row r="962" spans="3:24" ht="15.75" customHeight="1" x14ac:dyDescent="0.2">
      <c r="C962" s="208">
        <v>43024</v>
      </c>
      <c r="D962" s="19">
        <v>0.4375</v>
      </c>
      <c r="E962" s="3">
        <v>1</v>
      </c>
      <c r="F962" s="190">
        <v>8.7100000000000009</v>
      </c>
      <c r="G962" s="3">
        <v>81.900000000000006</v>
      </c>
      <c r="H962" s="7">
        <v>12.6</v>
      </c>
      <c r="I962" s="3"/>
      <c r="L962" s="3"/>
      <c r="M962" s="3"/>
      <c r="N962" s="3"/>
      <c r="O962" s="3"/>
      <c r="P962" s="3"/>
      <c r="Q962" s="61"/>
      <c r="R962" s="3"/>
      <c r="S962" s="20"/>
      <c r="T962" s="3"/>
      <c r="W962" s="3"/>
      <c r="X962" s="20"/>
    </row>
    <row r="963" spans="3:24" ht="15.75" customHeight="1" x14ac:dyDescent="0.2">
      <c r="C963" s="208">
        <v>43024</v>
      </c>
      <c r="D963" s="19">
        <v>0.4375</v>
      </c>
      <c r="E963" s="3">
        <v>2</v>
      </c>
      <c r="F963" s="190">
        <v>8.68</v>
      </c>
      <c r="G963" s="3">
        <v>81.7</v>
      </c>
      <c r="H963" s="7">
        <v>12.6</v>
      </c>
      <c r="I963" s="3"/>
      <c r="L963" s="3"/>
      <c r="M963" s="3"/>
      <c r="N963" s="3"/>
      <c r="O963" s="3"/>
      <c r="P963" s="3"/>
      <c r="Q963" s="61"/>
      <c r="R963" s="3"/>
      <c r="S963" s="20"/>
      <c r="T963" s="3"/>
      <c r="W963" s="3"/>
      <c r="X963" s="20"/>
    </row>
    <row r="964" spans="3:24" ht="15.75" customHeight="1" x14ac:dyDescent="0.2">
      <c r="C964" s="208">
        <v>43024</v>
      </c>
      <c r="D964" s="19">
        <v>0.4375</v>
      </c>
      <c r="E964" s="3">
        <v>3</v>
      </c>
      <c r="F964" s="190">
        <v>8.67</v>
      </c>
      <c r="G964" s="3">
        <v>81.5</v>
      </c>
      <c r="H964" s="7">
        <v>12.6</v>
      </c>
      <c r="I964" s="3"/>
      <c r="L964" s="3"/>
      <c r="M964" s="3"/>
      <c r="N964" s="3"/>
      <c r="O964" s="3"/>
      <c r="P964" s="3"/>
      <c r="Q964" s="61"/>
      <c r="R964" s="3"/>
      <c r="S964" s="20"/>
      <c r="T964" s="3"/>
      <c r="W964" s="3"/>
      <c r="X964" s="20"/>
    </row>
    <row r="965" spans="3:24" ht="15.75" customHeight="1" x14ac:dyDescent="0.2">
      <c r="C965" s="208">
        <v>43024</v>
      </c>
      <c r="D965" s="19">
        <v>0.4375</v>
      </c>
      <c r="E965" s="3">
        <v>4</v>
      </c>
      <c r="F965" s="190">
        <v>8.65</v>
      </c>
      <c r="G965" s="3">
        <v>81.400000000000006</v>
      </c>
      <c r="H965" s="7">
        <v>12.6</v>
      </c>
      <c r="I965" s="3"/>
      <c r="L965" s="3"/>
      <c r="M965" s="3"/>
      <c r="N965" s="3"/>
      <c r="O965" s="3"/>
      <c r="P965" s="3"/>
      <c r="Q965" s="61"/>
      <c r="R965" s="3"/>
      <c r="S965" s="20"/>
      <c r="T965" s="3"/>
      <c r="W965" s="3"/>
      <c r="X965" s="20"/>
    </row>
    <row r="966" spans="3:24" ht="15.75" customHeight="1" x14ac:dyDescent="0.2">
      <c r="C966" s="208">
        <v>43024</v>
      </c>
      <c r="D966" s="19">
        <v>0.4375</v>
      </c>
      <c r="E966" s="3">
        <v>5</v>
      </c>
      <c r="F966" s="190">
        <v>8.6300000000000008</v>
      </c>
      <c r="G966" s="3">
        <v>81.2</v>
      </c>
      <c r="H966" s="7">
        <v>12.6</v>
      </c>
      <c r="I966" s="3"/>
      <c r="L966" s="3"/>
      <c r="M966" s="3"/>
      <c r="N966" s="3"/>
      <c r="O966" s="3"/>
      <c r="P966" s="3"/>
      <c r="Q966" s="61"/>
      <c r="R966" s="3"/>
      <c r="S966" s="20"/>
      <c r="T966" s="3"/>
      <c r="W966" s="3"/>
      <c r="X966" s="20"/>
    </row>
    <row r="967" spans="3:24" ht="15.75" customHeight="1" x14ac:dyDescent="0.2">
      <c r="C967" s="208">
        <v>43024</v>
      </c>
      <c r="D967" s="19">
        <v>0.4375</v>
      </c>
      <c r="E967" s="3">
        <v>6</v>
      </c>
      <c r="F967" s="190">
        <v>8.6199999999999992</v>
      </c>
      <c r="G967" s="3">
        <v>81</v>
      </c>
      <c r="H967" s="7">
        <v>12.6</v>
      </c>
      <c r="I967" s="3"/>
      <c r="L967" s="3"/>
      <c r="M967" s="3"/>
      <c r="N967" s="3"/>
      <c r="O967" s="3"/>
      <c r="P967" s="3"/>
      <c r="Q967" s="61"/>
      <c r="R967" s="3"/>
      <c r="S967" s="20"/>
      <c r="T967" s="3"/>
      <c r="W967" s="3"/>
      <c r="X967" s="20"/>
    </row>
    <row r="968" spans="3:24" ht="15.75" customHeight="1" x14ac:dyDescent="0.2">
      <c r="C968" s="208">
        <v>43024</v>
      </c>
      <c r="D968" s="19">
        <v>0.4375</v>
      </c>
      <c r="E968" s="3">
        <v>7</v>
      </c>
      <c r="F968" s="190">
        <v>8.59</v>
      </c>
      <c r="G968" s="3">
        <v>80.8</v>
      </c>
      <c r="H968" s="7">
        <v>12.6</v>
      </c>
      <c r="I968" s="3"/>
      <c r="L968" s="3"/>
      <c r="M968" s="3"/>
      <c r="N968" s="3"/>
      <c r="O968" s="3"/>
      <c r="P968" s="3"/>
      <c r="Q968" s="61"/>
      <c r="R968" s="3"/>
      <c r="S968" s="20"/>
      <c r="T968" s="3"/>
      <c r="W968" s="3"/>
      <c r="X968" s="20"/>
    </row>
    <row r="969" spans="3:24" ht="15.75" customHeight="1" x14ac:dyDescent="0.2">
      <c r="C969" s="208">
        <v>43024</v>
      </c>
      <c r="D969" s="19">
        <v>0.4375</v>
      </c>
      <c r="E969" s="3">
        <v>8</v>
      </c>
      <c r="F969" s="190">
        <v>8.6</v>
      </c>
      <c r="G969" s="3">
        <v>80.7</v>
      </c>
      <c r="H969" s="7">
        <v>12.5</v>
      </c>
      <c r="I969" s="3"/>
      <c r="L969" s="3"/>
      <c r="M969" s="3"/>
      <c r="N969" s="3"/>
      <c r="O969" s="3"/>
      <c r="P969" s="3"/>
      <c r="Q969" s="61"/>
      <c r="R969" s="3"/>
      <c r="S969" s="20"/>
      <c r="T969" s="3"/>
      <c r="W969" s="3"/>
      <c r="X969" s="20"/>
    </row>
    <row r="970" spans="3:24" ht="15.75" customHeight="1" x14ac:dyDescent="0.2">
      <c r="C970" s="208">
        <v>43024</v>
      </c>
      <c r="D970" s="19">
        <v>0.4375</v>
      </c>
      <c r="E970" s="3">
        <v>9</v>
      </c>
      <c r="F970" s="190">
        <v>8.58</v>
      </c>
      <c r="G970" s="3">
        <v>80.5</v>
      </c>
      <c r="H970" s="7">
        <v>12.5</v>
      </c>
      <c r="I970" s="3"/>
      <c r="L970" s="3"/>
      <c r="M970" s="3"/>
      <c r="N970" s="3"/>
      <c r="O970" s="3"/>
      <c r="P970" s="3"/>
      <c r="Q970" s="61"/>
      <c r="R970" s="3"/>
      <c r="S970" s="20"/>
      <c r="T970" s="3"/>
      <c r="W970" s="3"/>
      <c r="X970" s="20"/>
    </row>
    <row r="971" spans="3:24" ht="15.75" customHeight="1" x14ac:dyDescent="0.2">
      <c r="C971" s="208">
        <v>43024</v>
      </c>
      <c r="D971" s="19">
        <v>0.4375</v>
      </c>
      <c r="E971" s="3">
        <v>10</v>
      </c>
      <c r="F971" s="190">
        <v>8.56</v>
      </c>
      <c r="G971" s="3">
        <v>80.3</v>
      </c>
      <c r="H971" s="7">
        <v>12.5</v>
      </c>
      <c r="I971" s="3"/>
      <c r="L971" s="3"/>
      <c r="M971" s="3"/>
      <c r="N971" s="3"/>
      <c r="O971" s="3"/>
      <c r="P971" s="3"/>
      <c r="Q971" s="61"/>
      <c r="R971" s="3"/>
      <c r="S971" s="20"/>
      <c r="T971" s="3"/>
      <c r="W971" s="3"/>
      <c r="X971" s="20"/>
    </row>
    <row r="972" spans="3:24" ht="15.75" customHeight="1" x14ac:dyDescent="0.2">
      <c r="C972" s="208">
        <v>43024</v>
      </c>
      <c r="D972" s="19">
        <v>0.4375</v>
      </c>
      <c r="E972" s="3">
        <v>11</v>
      </c>
      <c r="F972" s="190">
        <v>8.5399999999999991</v>
      </c>
      <c r="G972" s="3">
        <v>80.099999999999994</v>
      </c>
      <c r="H972" s="7">
        <v>12.5</v>
      </c>
      <c r="I972" s="3"/>
      <c r="L972" s="3"/>
      <c r="M972" s="3"/>
      <c r="N972" s="3"/>
      <c r="O972" s="3"/>
      <c r="P972" s="3"/>
      <c r="Q972" s="61"/>
      <c r="R972" s="3"/>
      <c r="S972" s="20"/>
      <c r="T972" s="3"/>
      <c r="W972" s="3"/>
      <c r="X972" s="20"/>
    </row>
    <row r="973" spans="3:24" ht="15.75" customHeight="1" x14ac:dyDescent="0.2">
      <c r="C973" s="208">
        <v>43024</v>
      </c>
      <c r="D973" s="19">
        <v>0.4375</v>
      </c>
      <c r="E973" s="3">
        <v>12</v>
      </c>
      <c r="F973" s="190">
        <v>8.52</v>
      </c>
      <c r="G973" s="3">
        <v>80</v>
      </c>
      <c r="H973" s="7">
        <v>12.5</v>
      </c>
      <c r="I973" s="3"/>
      <c r="L973" s="3"/>
      <c r="M973" s="3"/>
      <c r="N973" s="3"/>
      <c r="O973" s="3"/>
      <c r="P973" s="3"/>
      <c r="Q973" s="61"/>
      <c r="R973" s="3"/>
      <c r="S973" s="20"/>
      <c r="T973" s="3"/>
      <c r="W973" s="3"/>
      <c r="X973" s="20"/>
    </row>
    <row r="974" spans="3:24" ht="15.75" customHeight="1" x14ac:dyDescent="0.2">
      <c r="C974" s="208">
        <v>43024</v>
      </c>
      <c r="D974" s="19">
        <v>0.4375</v>
      </c>
      <c r="E974" s="3">
        <v>13</v>
      </c>
      <c r="F974" s="190">
        <v>8.5</v>
      </c>
      <c r="G974" s="3">
        <v>79.8</v>
      </c>
      <c r="H974" s="7">
        <v>12.5</v>
      </c>
      <c r="I974" s="3"/>
      <c r="L974" s="3"/>
      <c r="M974" s="3"/>
      <c r="N974" s="3"/>
      <c r="O974" s="3"/>
      <c r="P974" s="3"/>
      <c r="Q974" s="61"/>
      <c r="R974" s="3"/>
      <c r="S974" s="20"/>
      <c r="T974" s="3"/>
      <c r="W974" s="3"/>
      <c r="X974" s="20"/>
    </row>
    <row r="975" spans="3:24" ht="15.75" customHeight="1" x14ac:dyDescent="0.2">
      <c r="C975" s="208">
        <v>43024</v>
      </c>
      <c r="D975" s="19">
        <v>0.4375</v>
      </c>
      <c r="E975" s="3">
        <v>14</v>
      </c>
      <c r="F975" s="190">
        <v>8.19</v>
      </c>
      <c r="G975" s="3">
        <v>74.5</v>
      </c>
      <c r="H975" s="7">
        <v>11.2</v>
      </c>
      <c r="I975" s="3"/>
      <c r="L975" s="3"/>
      <c r="M975" s="3"/>
      <c r="N975" s="3"/>
      <c r="O975" s="3"/>
      <c r="P975" s="3"/>
      <c r="Q975" s="61"/>
      <c r="R975" s="3"/>
      <c r="S975" s="20"/>
      <c r="T975" s="3"/>
      <c r="W975" s="3"/>
      <c r="X975" s="20"/>
    </row>
    <row r="976" spans="3:24" ht="15.75" customHeight="1" x14ac:dyDescent="0.2">
      <c r="C976" s="208">
        <v>43024</v>
      </c>
      <c r="D976" s="19">
        <v>0.4375</v>
      </c>
      <c r="E976" s="3">
        <v>15</v>
      </c>
      <c r="F976" s="190">
        <v>8.19</v>
      </c>
      <c r="G976" s="3">
        <v>69.599999999999994</v>
      </c>
      <c r="H976" s="7">
        <v>8.3000000000000007</v>
      </c>
      <c r="I976" s="3"/>
      <c r="L976" s="3"/>
      <c r="M976" s="3"/>
      <c r="N976" s="3"/>
      <c r="O976" s="3"/>
      <c r="P976" s="3"/>
      <c r="Q976" s="61"/>
      <c r="R976" s="3"/>
      <c r="S976" s="20"/>
      <c r="T976" s="3"/>
      <c r="W976" s="3"/>
      <c r="X976" s="20"/>
    </row>
    <row r="977" spans="3:24" ht="15.75" customHeight="1" x14ac:dyDescent="0.2">
      <c r="C977" s="208">
        <v>43024</v>
      </c>
      <c r="D977" s="19">
        <v>0.4375</v>
      </c>
      <c r="E977" s="3">
        <v>17</v>
      </c>
      <c r="F977" s="190">
        <v>8.18</v>
      </c>
      <c r="G977" s="3">
        <v>68.099999999999994</v>
      </c>
      <c r="H977" s="7">
        <v>7.4</v>
      </c>
      <c r="I977" s="3"/>
      <c r="L977" s="3"/>
      <c r="M977" s="3"/>
      <c r="N977" s="3"/>
      <c r="O977" s="3"/>
      <c r="P977" s="3"/>
      <c r="Q977" s="61"/>
      <c r="R977" s="3"/>
      <c r="S977" s="20"/>
      <c r="T977" s="3"/>
      <c r="W977" s="3"/>
      <c r="X977" s="20"/>
    </row>
    <row r="978" spans="3:24" ht="15.75" customHeight="1" x14ac:dyDescent="0.2">
      <c r="C978" s="208">
        <v>43024</v>
      </c>
      <c r="D978" s="19">
        <v>0.4375</v>
      </c>
      <c r="E978" s="3">
        <v>19</v>
      </c>
      <c r="F978" s="190">
        <v>8.1199999999999992</v>
      </c>
      <c r="G978" s="3">
        <v>66.7</v>
      </c>
      <c r="H978" s="7">
        <v>6.9</v>
      </c>
      <c r="I978" s="3"/>
      <c r="L978" s="3"/>
      <c r="M978" s="3"/>
      <c r="N978" s="3"/>
      <c r="O978" s="3"/>
      <c r="P978" s="3"/>
      <c r="Q978" s="61"/>
      <c r="R978" s="3"/>
      <c r="S978" s="20"/>
      <c r="T978" s="3"/>
      <c r="W978" s="3"/>
      <c r="X978" s="20"/>
    </row>
    <row r="979" spans="3:24" ht="15.75" customHeight="1" x14ac:dyDescent="0.2">
      <c r="C979" s="208">
        <v>43024</v>
      </c>
      <c r="D979" s="19">
        <v>0.4375</v>
      </c>
      <c r="E979" s="3">
        <v>21</v>
      </c>
      <c r="F979" s="190">
        <v>8.07</v>
      </c>
      <c r="G979" s="3">
        <v>66</v>
      </c>
      <c r="H979" s="7">
        <v>6.7</v>
      </c>
      <c r="I979" s="3"/>
      <c r="L979" s="3"/>
      <c r="M979" s="3"/>
      <c r="N979" s="3"/>
      <c r="O979" s="3"/>
      <c r="P979" s="3"/>
      <c r="Q979" s="61"/>
      <c r="R979" s="3"/>
      <c r="S979" s="20"/>
      <c r="T979" s="3"/>
      <c r="W979" s="3"/>
      <c r="X979" s="20"/>
    </row>
    <row r="980" spans="3:24" ht="15.75" customHeight="1" x14ac:dyDescent="0.2">
      <c r="C980" s="208">
        <v>43024</v>
      </c>
      <c r="D980" s="19">
        <v>0.4375</v>
      </c>
      <c r="E980" s="3">
        <v>23</v>
      </c>
      <c r="F980" s="190">
        <v>8.15</v>
      </c>
      <c r="G980" s="3">
        <v>66.3</v>
      </c>
      <c r="H980" s="7">
        <v>6.5</v>
      </c>
      <c r="I980" s="3"/>
      <c r="L980" s="3"/>
      <c r="M980" s="3"/>
      <c r="N980" s="3"/>
      <c r="O980" s="3"/>
      <c r="P980" s="3"/>
      <c r="Q980" s="61"/>
      <c r="R980" s="3"/>
      <c r="S980" s="20"/>
      <c r="T980" s="3"/>
      <c r="W980" s="3"/>
      <c r="X980" s="20"/>
    </row>
    <row r="981" spans="3:24" ht="15.75" customHeight="1" x14ac:dyDescent="0.2">
      <c r="C981" s="208">
        <v>43024</v>
      </c>
      <c r="D981" s="19">
        <v>0.4375</v>
      </c>
      <c r="E981" s="3">
        <v>25</v>
      </c>
      <c r="F981" s="190">
        <v>8.1999999999999993</v>
      </c>
      <c r="G981" s="3">
        <v>66.400000000000006</v>
      </c>
      <c r="H981" s="7">
        <v>6.3</v>
      </c>
      <c r="I981" s="3"/>
      <c r="L981" s="3"/>
      <c r="M981" s="3"/>
      <c r="N981" s="3"/>
      <c r="O981" s="3"/>
      <c r="P981" s="3"/>
      <c r="Q981" s="61"/>
      <c r="R981" s="3"/>
      <c r="S981" s="20"/>
      <c r="T981" s="3"/>
      <c r="W981" s="3"/>
      <c r="X981" s="20"/>
    </row>
    <row r="982" spans="3:24" ht="15.75" customHeight="1" x14ac:dyDescent="0.2">
      <c r="C982" s="208">
        <v>43024</v>
      </c>
      <c r="D982" s="19">
        <v>0.4375</v>
      </c>
      <c r="E982" s="3">
        <v>27</v>
      </c>
      <c r="F982" s="190">
        <v>8.18</v>
      </c>
      <c r="G982" s="3">
        <v>66.099999999999994</v>
      </c>
      <c r="H982" s="7">
        <v>6.2</v>
      </c>
      <c r="I982" s="3"/>
      <c r="L982" s="3"/>
      <c r="M982" s="3"/>
      <c r="N982" s="3"/>
      <c r="O982" s="3"/>
      <c r="P982" s="3"/>
      <c r="Q982" s="61"/>
      <c r="R982" s="3"/>
      <c r="S982" s="20"/>
      <c r="T982" s="3"/>
      <c r="W982" s="3"/>
      <c r="X982" s="20"/>
    </row>
    <row r="983" spans="3:24" ht="15.75" customHeight="1" x14ac:dyDescent="0.2">
      <c r="C983" s="208">
        <v>43024</v>
      </c>
      <c r="D983" s="19">
        <v>0.4375</v>
      </c>
      <c r="E983" s="3">
        <v>29</v>
      </c>
      <c r="F983" s="190">
        <v>8.17</v>
      </c>
      <c r="G983" s="3">
        <v>65.8</v>
      </c>
      <c r="H983" s="7">
        <v>6.1</v>
      </c>
      <c r="I983" s="3"/>
      <c r="L983" s="3"/>
      <c r="M983" s="3"/>
      <c r="N983" s="3"/>
      <c r="O983" s="3"/>
      <c r="P983" s="3"/>
      <c r="Q983" s="61"/>
      <c r="R983" s="3"/>
      <c r="S983" s="20"/>
      <c r="T983" s="3"/>
      <c r="W983" s="3"/>
      <c r="X983" s="20"/>
    </row>
    <row r="984" spans="3:24" ht="15.75" customHeight="1" x14ac:dyDescent="0.2">
      <c r="C984" s="208">
        <v>43024</v>
      </c>
      <c r="D984" s="19">
        <v>0.4375</v>
      </c>
      <c r="E984" s="3">
        <v>31</v>
      </c>
      <c r="F984" s="190">
        <v>8.1300000000000008</v>
      </c>
      <c r="G984" s="3">
        <v>65.3</v>
      </c>
      <c r="H984" s="7">
        <v>6.1</v>
      </c>
      <c r="I984" s="3"/>
      <c r="L984" s="3"/>
      <c r="M984" s="3"/>
      <c r="N984" s="3"/>
      <c r="O984" s="3"/>
      <c r="P984" s="3"/>
      <c r="Q984" s="61"/>
      <c r="R984" s="3"/>
      <c r="S984" s="20"/>
      <c r="T984" s="3"/>
      <c r="W984" s="3"/>
      <c r="X984" s="20"/>
    </row>
    <row r="985" spans="3:24" ht="15.75" customHeight="1" x14ac:dyDescent="0.2">
      <c r="C985" s="208">
        <v>43024</v>
      </c>
      <c r="D985" s="19">
        <v>0.4375</v>
      </c>
      <c r="E985" s="3">
        <v>33</v>
      </c>
      <c r="F985" s="190">
        <v>8.06</v>
      </c>
      <c r="G985" s="3">
        <v>64.599999999999994</v>
      </c>
      <c r="H985" s="7">
        <v>5.9</v>
      </c>
      <c r="I985" s="3"/>
      <c r="L985" s="3"/>
      <c r="M985" s="3"/>
      <c r="N985" s="3"/>
      <c r="O985" s="3"/>
      <c r="P985" s="3"/>
      <c r="Q985" s="61"/>
      <c r="R985" s="3"/>
      <c r="S985" s="20"/>
      <c r="T985" s="3"/>
      <c r="W985" s="3"/>
      <c r="X985" s="20"/>
    </row>
    <row r="986" spans="3:24" ht="15.75" customHeight="1" x14ac:dyDescent="0.2">
      <c r="C986" s="208">
        <v>43024</v>
      </c>
      <c r="D986" s="19">
        <v>0.4375</v>
      </c>
      <c r="E986" s="3">
        <v>35</v>
      </c>
      <c r="F986" s="190">
        <v>8.01</v>
      </c>
      <c r="G986" s="3">
        <v>64.2</v>
      </c>
      <c r="H986" s="7">
        <v>5.9</v>
      </c>
      <c r="I986" s="3"/>
      <c r="L986" s="3"/>
      <c r="M986" s="3"/>
      <c r="N986" s="3"/>
      <c r="O986" s="3"/>
      <c r="P986" s="3"/>
      <c r="Q986" s="61"/>
      <c r="R986" s="3"/>
      <c r="S986" s="20"/>
      <c r="T986" s="3"/>
      <c r="W986" s="3"/>
      <c r="X986" s="20"/>
    </row>
    <row r="987" spans="3:24" ht="15.75" customHeight="1" x14ac:dyDescent="0.2">
      <c r="C987" s="208">
        <v>43024</v>
      </c>
      <c r="D987" s="19">
        <v>0.4375</v>
      </c>
      <c r="E987" s="3">
        <v>37</v>
      </c>
      <c r="F987" s="190">
        <v>7.97</v>
      </c>
      <c r="G987" s="3">
        <v>63.8</v>
      </c>
      <c r="H987" s="7">
        <v>5.9</v>
      </c>
      <c r="I987" s="3"/>
      <c r="L987" s="3"/>
      <c r="M987" s="3"/>
      <c r="N987" s="3"/>
      <c r="O987" s="3"/>
      <c r="P987" s="3"/>
      <c r="Q987" s="61"/>
      <c r="R987" s="3"/>
      <c r="S987" s="20"/>
      <c r="T987" s="3"/>
      <c r="W987" s="3"/>
      <c r="X987" s="20"/>
    </row>
    <row r="988" spans="3:24" ht="15.75" customHeight="1" x14ac:dyDescent="0.2">
      <c r="C988" s="208">
        <v>43024</v>
      </c>
      <c r="D988" s="19">
        <v>0.4375</v>
      </c>
      <c r="E988" s="3">
        <v>39</v>
      </c>
      <c r="F988" s="190">
        <v>7.95</v>
      </c>
      <c r="G988" s="3">
        <v>63.5</v>
      </c>
      <c r="H988" s="7">
        <v>5.8</v>
      </c>
      <c r="I988" s="3"/>
      <c r="L988" s="3"/>
      <c r="M988" s="3"/>
      <c r="N988" s="3"/>
      <c r="O988" s="3"/>
      <c r="P988" s="3"/>
      <c r="Q988" s="61"/>
      <c r="R988" s="3"/>
      <c r="S988" s="20"/>
      <c r="T988" s="3"/>
      <c r="W988" s="3"/>
      <c r="X988" s="20"/>
    </row>
    <row r="989" spans="3:24" ht="15.75" customHeight="1" x14ac:dyDescent="0.2">
      <c r="C989" s="208">
        <v>43024</v>
      </c>
      <c r="D989" s="19">
        <v>0.4375</v>
      </c>
      <c r="E989" s="3">
        <v>41</v>
      </c>
      <c r="F989" s="190">
        <v>7.92</v>
      </c>
      <c r="G989" s="3">
        <v>63.3</v>
      </c>
      <c r="H989" s="7">
        <v>5.8</v>
      </c>
      <c r="I989" s="3"/>
      <c r="L989" s="3"/>
      <c r="M989" s="3"/>
      <c r="N989" s="3"/>
      <c r="O989" s="3"/>
      <c r="P989" s="3"/>
      <c r="Q989" s="61"/>
      <c r="R989" s="3"/>
      <c r="S989" s="20"/>
      <c r="T989" s="3"/>
      <c r="W989" s="3"/>
      <c r="X989" s="20"/>
    </row>
    <row r="990" spans="3:24" ht="15.75" customHeight="1" x14ac:dyDescent="0.2">
      <c r="C990" s="208"/>
      <c r="D990" s="19"/>
      <c r="E990" s="3"/>
      <c r="G990" s="3"/>
      <c r="I990" s="3"/>
      <c r="L990" s="3"/>
      <c r="M990" s="3"/>
      <c r="N990" s="3"/>
      <c r="O990" s="3"/>
      <c r="P990" s="3"/>
      <c r="Q990" s="61"/>
      <c r="R990" s="3"/>
      <c r="S990" s="20"/>
      <c r="T990" s="3"/>
      <c r="W990" s="3"/>
      <c r="X990" s="20"/>
    </row>
    <row r="991" spans="3:24" ht="15.75" customHeight="1" x14ac:dyDescent="0.2">
      <c r="C991" s="208">
        <v>42534</v>
      </c>
      <c r="D991" s="19">
        <v>0.3888888888888889</v>
      </c>
      <c r="E991" s="3"/>
      <c r="G991" s="3"/>
      <c r="I991" s="3"/>
      <c r="J991">
        <v>9</v>
      </c>
      <c r="K991">
        <v>13</v>
      </c>
      <c r="L991" s="3"/>
      <c r="M991" s="3"/>
      <c r="N991" s="3"/>
      <c r="O991" s="3"/>
      <c r="P991" s="3"/>
      <c r="Q991" s="61"/>
      <c r="R991" s="3"/>
      <c r="S991" s="20"/>
      <c r="T991" s="3"/>
      <c r="W991" s="3"/>
      <c r="X991" s="20"/>
    </row>
    <row r="992" spans="3:24" ht="15.75" customHeight="1" x14ac:dyDescent="0.2">
      <c r="C992" s="208">
        <v>42534</v>
      </c>
      <c r="D992" s="19">
        <v>0.40277777777777773</v>
      </c>
      <c r="E992" s="3">
        <v>0.1</v>
      </c>
      <c r="F992" s="190">
        <v>8.0500000000000007</v>
      </c>
      <c r="G992" s="3">
        <v>83.9</v>
      </c>
      <c r="H992" s="7">
        <v>17.3</v>
      </c>
      <c r="I992" s="7">
        <v>17.3</v>
      </c>
      <c r="J992" s="7"/>
      <c r="L992" s="3"/>
      <c r="M992" s="3"/>
      <c r="N992" s="3"/>
      <c r="O992" s="3"/>
      <c r="P992" s="3"/>
      <c r="Q992" s="62">
        <v>44502</v>
      </c>
      <c r="R992" s="19">
        <v>0.41666666666666669</v>
      </c>
      <c r="S992" s="20" t="s">
        <v>105</v>
      </c>
      <c r="T992" s="3"/>
      <c r="W992" s="3"/>
      <c r="X992" s="20" t="s">
        <v>182</v>
      </c>
    </row>
    <row r="993" spans="3:24" ht="15.75" customHeight="1" x14ac:dyDescent="0.2">
      <c r="C993" s="208">
        <v>42534</v>
      </c>
      <c r="D993" s="19">
        <v>0.40277777777777773</v>
      </c>
      <c r="E993" s="3">
        <v>1</v>
      </c>
      <c r="F993" s="190">
        <v>8.0500000000000007</v>
      </c>
      <c r="G993" s="3">
        <v>83.6</v>
      </c>
      <c r="H993" s="7">
        <v>17.2</v>
      </c>
      <c r="I993" s="7">
        <v>17.2</v>
      </c>
      <c r="J993" s="7"/>
      <c r="L993" s="3"/>
      <c r="M993" s="3"/>
      <c r="N993" s="3"/>
      <c r="O993" s="3"/>
      <c r="P993" s="3"/>
      <c r="Q993" s="62">
        <v>44502</v>
      </c>
      <c r="R993" s="19">
        <v>0.41666666666666669</v>
      </c>
      <c r="S993" s="20" t="s">
        <v>107</v>
      </c>
      <c r="T993" s="3"/>
      <c r="W993" s="3"/>
      <c r="X993" s="20" t="s">
        <v>182</v>
      </c>
    </row>
    <row r="994" spans="3:24" ht="15.75" customHeight="1" x14ac:dyDescent="0.2">
      <c r="C994" s="208">
        <v>42534</v>
      </c>
      <c r="D994" s="19">
        <v>0.40277777777777773</v>
      </c>
      <c r="E994" s="3">
        <v>2</v>
      </c>
      <c r="F994" s="190">
        <v>8.0399999999999991</v>
      </c>
      <c r="G994" s="3">
        <v>83.3</v>
      </c>
      <c r="H994" s="7">
        <v>17.100000000000001</v>
      </c>
      <c r="I994" s="7">
        <v>17.100000000000001</v>
      </c>
      <c r="J994" s="7"/>
      <c r="L994" s="3"/>
      <c r="M994" s="3"/>
      <c r="N994" s="3"/>
      <c r="O994" s="3"/>
      <c r="P994" s="3"/>
      <c r="Q994" s="3"/>
      <c r="R994" s="3"/>
      <c r="S994" s="3"/>
    </row>
    <row r="995" spans="3:24" ht="15.75" customHeight="1" x14ac:dyDescent="0.2">
      <c r="C995" s="208">
        <v>42534</v>
      </c>
      <c r="D995" s="19">
        <v>0.40277777777777773</v>
      </c>
      <c r="E995" s="3">
        <v>3</v>
      </c>
      <c r="F995" s="190">
        <v>8.01</v>
      </c>
      <c r="G995" s="3">
        <v>83.1</v>
      </c>
      <c r="H995" s="7">
        <v>17.100000000000001</v>
      </c>
      <c r="I995" s="7">
        <v>17.100000000000001</v>
      </c>
      <c r="J995" s="7"/>
      <c r="L995" s="3"/>
      <c r="M995" s="3"/>
      <c r="N995" s="3"/>
      <c r="O995" s="3"/>
      <c r="P995" s="3"/>
      <c r="Q995" s="3"/>
      <c r="R995" s="3"/>
      <c r="S995" s="3"/>
    </row>
    <row r="996" spans="3:24" ht="15.75" customHeight="1" x14ac:dyDescent="0.2">
      <c r="C996" s="208">
        <v>42534</v>
      </c>
      <c r="D996" s="19">
        <v>0.40277777777777773</v>
      </c>
      <c r="E996" s="3">
        <v>4</v>
      </c>
      <c r="F996" s="190">
        <v>8.01</v>
      </c>
      <c r="G996" s="3">
        <v>82.9</v>
      </c>
      <c r="H996" s="7">
        <v>17</v>
      </c>
      <c r="I996" s="7">
        <v>17</v>
      </c>
      <c r="J996" s="7"/>
      <c r="L996" s="3"/>
      <c r="M996" s="3"/>
      <c r="N996" s="3"/>
      <c r="O996" s="3"/>
      <c r="P996" s="3"/>
      <c r="Q996" s="3"/>
      <c r="R996" s="3"/>
      <c r="S996" s="3"/>
    </row>
    <row r="997" spans="3:24" ht="15.75" customHeight="1" x14ac:dyDescent="0.2">
      <c r="C997" s="208">
        <v>42534</v>
      </c>
      <c r="D997" s="19">
        <v>0.40277777777777773</v>
      </c>
      <c r="E997" s="3">
        <v>5</v>
      </c>
      <c r="F997" s="190">
        <v>8.02</v>
      </c>
      <c r="G997" s="3">
        <v>82.8</v>
      </c>
      <c r="H997" s="7">
        <v>16.899999999999999</v>
      </c>
      <c r="I997" s="7">
        <v>16.899999999999999</v>
      </c>
      <c r="J997" s="7"/>
      <c r="L997" s="3"/>
      <c r="M997" s="3"/>
      <c r="N997" s="3"/>
      <c r="O997" s="3"/>
      <c r="P997" s="3"/>
      <c r="Q997" s="3"/>
      <c r="R997" s="3"/>
      <c r="S997" s="3"/>
    </row>
    <row r="998" spans="3:24" ht="15.75" customHeight="1" x14ac:dyDescent="0.2">
      <c r="C998" s="208">
        <v>42534</v>
      </c>
      <c r="D998" s="19">
        <v>0.40277777777777773</v>
      </c>
      <c r="E998" s="3">
        <v>6</v>
      </c>
      <c r="F998" s="190">
        <v>8.0299999999999994</v>
      </c>
      <c r="G998" s="3">
        <v>82.7</v>
      </c>
      <c r="H998" s="7">
        <v>16.8</v>
      </c>
      <c r="I998" s="7">
        <v>16.8</v>
      </c>
      <c r="J998" s="7"/>
      <c r="L998" s="3"/>
      <c r="M998" s="3"/>
      <c r="N998" s="3"/>
      <c r="O998" s="3"/>
      <c r="P998" s="3"/>
      <c r="Q998" s="3"/>
      <c r="R998" s="3"/>
      <c r="S998" s="3"/>
    </row>
    <row r="999" spans="3:24" ht="15.75" customHeight="1" x14ac:dyDescent="0.2">
      <c r="C999" s="208">
        <v>42534</v>
      </c>
      <c r="D999" s="19">
        <v>0.40277777777777773</v>
      </c>
      <c r="E999" s="3">
        <v>7</v>
      </c>
      <c r="F999" s="190">
        <v>8.0500000000000007</v>
      </c>
      <c r="G999" s="3">
        <v>82.8</v>
      </c>
      <c r="H999" s="7">
        <v>16.7</v>
      </c>
      <c r="I999" s="7">
        <v>16.7</v>
      </c>
      <c r="J999" s="7"/>
      <c r="L999" s="3"/>
      <c r="M999" s="3"/>
      <c r="N999" s="3"/>
      <c r="O999" s="3"/>
      <c r="P999" s="3"/>
      <c r="Q999" s="3"/>
      <c r="R999" s="3"/>
      <c r="S999" s="3"/>
    </row>
    <row r="1000" spans="3:24" ht="15.75" customHeight="1" x14ac:dyDescent="0.2">
      <c r="C1000" s="208">
        <v>42534</v>
      </c>
      <c r="D1000" s="19">
        <v>0.40277777777777773</v>
      </c>
      <c r="E1000" s="3">
        <v>8</v>
      </c>
      <c r="F1000" s="190">
        <v>8.07</v>
      </c>
      <c r="G1000" s="3">
        <v>82.9</v>
      </c>
      <c r="H1000" s="7">
        <v>16.600000000000001</v>
      </c>
      <c r="I1000" s="7">
        <v>16.600000000000001</v>
      </c>
      <c r="J1000" s="7"/>
      <c r="L1000" s="3"/>
      <c r="M1000" s="3"/>
      <c r="N1000" s="3"/>
      <c r="O1000" s="3"/>
      <c r="P1000" s="3"/>
      <c r="Q1000" s="3"/>
      <c r="R1000" s="3"/>
      <c r="S1000" s="3"/>
    </row>
    <row r="1001" spans="3:24" ht="15.75" customHeight="1" x14ac:dyDescent="0.2">
      <c r="C1001" s="208">
        <v>42534</v>
      </c>
      <c r="D1001" s="19">
        <v>0.40277777777777773</v>
      </c>
      <c r="E1001" s="3">
        <v>9</v>
      </c>
      <c r="F1001" s="190">
        <v>8.09</v>
      </c>
      <c r="G1001" s="3">
        <v>81.599999999999994</v>
      </c>
      <c r="H1001" s="7">
        <v>15.8</v>
      </c>
      <c r="I1001" s="7">
        <v>15.8</v>
      </c>
      <c r="J1001" s="7"/>
      <c r="L1001" s="3"/>
      <c r="M1001" s="3"/>
      <c r="N1001" s="3"/>
      <c r="O1001" s="3"/>
      <c r="P1001" s="3"/>
      <c r="Q1001" s="3"/>
      <c r="R1001" s="3"/>
      <c r="S1001" s="3"/>
    </row>
    <row r="1002" spans="3:24" ht="15.75" customHeight="1" x14ac:dyDescent="0.2">
      <c r="C1002" s="208">
        <v>42534</v>
      </c>
      <c r="D1002" s="19">
        <v>0.40277777777777773</v>
      </c>
      <c r="E1002" s="3">
        <v>10</v>
      </c>
      <c r="F1002" s="190">
        <v>8.1300000000000008</v>
      </c>
      <c r="G1002" s="3">
        <v>81</v>
      </c>
      <c r="H1002" s="7">
        <v>15.2</v>
      </c>
      <c r="I1002" s="7">
        <v>15.2</v>
      </c>
      <c r="J1002" s="7"/>
      <c r="L1002" s="3"/>
      <c r="M1002" s="3"/>
      <c r="N1002" s="3"/>
      <c r="O1002" s="3"/>
      <c r="P1002" s="3"/>
      <c r="Q1002" s="3"/>
      <c r="R1002" s="3"/>
      <c r="S1002" s="3"/>
    </row>
    <row r="1003" spans="3:24" ht="15.75" customHeight="1" x14ac:dyDescent="0.2">
      <c r="C1003" s="208">
        <v>42534</v>
      </c>
      <c r="D1003" s="19">
        <v>0.40277777777777773</v>
      </c>
      <c r="E1003" s="3">
        <v>11</v>
      </c>
      <c r="F1003" s="190">
        <v>8.4700000000000006</v>
      </c>
      <c r="G1003" s="3">
        <v>77.599999999999994</v>
      </c>
      <c r="H1003" s="7">
        <v>11.4</v>
      </c>
      <c r="I1003" s="17">
        <f>AVERAGE(I992:I1002)</f>
        <v>16.7</v>
      </c>
      <c r="J1003" s="17"/>
      <c r="L1003" s="3"/>
      <c r="M1003" s="3"/>
      <c r="N1003" s="3"/>
      <c r="O1003" s="3"/>
      <c r="P1003" s="3"/>
      <c r="Q1003" s="3"/>
      <c r="R1003" s="3"/>
      <c r="S1003" s="3"/>
    </row>
    <row r="1004" spans="3:24" ht="15.75" customHeight="1" x14ac:dyDescent="0.2">
      <c r="C1004" s="208">
        <v>42534</v>
      </c>
      <c r="D1004" s="19">
        <v>0.40277777777777773</v>
      </c>
      <c r="E1004" s="3">
        <v>12</v>
      </c>
      <c r="F1004" s="190">
        <v>8.56</v>
      </c>
      <c r="G1004" s="3">
        <v>77.099999999999994</v>
      </c>
      <c r="H1004" s="7">
        <v>10.7</v>
      </c>
      <c r="I1004" s="3"/>
      <c r="L1004" s="3"/>
      <c r="M1004" s="3"/>
      <c r="N1004" s="3"/>
      <c r="O1004" s="3"/>
      <c r="P1004" s="3"/>
      <c r="Q1004" s="3"/>
      <c r="R1004" s="3"/>
      <c r="S1004" s="3"/>
    </row>
    <row r="1005" spans="3:24" ht="15.75" customHeight="1" x14ac:dyDescent="0.2">
      <c r="C1005" s="208">
        <v>42534</v>
      </c>
      <c r="D1005" s="19">
        <v>0.40277777777777773</v>
      </c>
      <c r="E1005" s="3">
        <v>13</v>
      </c>
      <c r="F1005" s="190">
        <v>8.7899999999999991</v>
      </c>
      <c r="G1005" s="3">
        <v>76.400000000000006</v>
      </c>
      <c r="H1005" s="7">
        <v>9.1999999999999993</v>
      </c>
      <c r="I1005" s="3"/>
      <c r="L1005" s="3"/>
      <c r="M1005" s="3"/>
      <c r="N1005" s="3"/>
      <c r="O1005" s="3"/>
      <c r="P1005" s="3"/>
      <c r="Q1005" s="3"/>
      <c r="R1005" s="3"/>
      <c r="S1005" s="3"/>
    </row>
    <row r="1006" spans="3:24" ht="15.75" customHeight="1" x14ac:dyDescent="0.2">
      <c r="C1006" s="208">
        <v>42534</v>
      </c>
      <c r="D1006" s="19">
        <v>0.40277777777777773</v>
      </c>
      <c r="E1006" s="3">
        <v>14</v>
      </c>
      <c r="F1006" s="190">
        <v>8.93</v>
      </c>
      <c r="G1006" s="3">
        <v>76.400000000000006</v>
      </c>
      <c r="H1006" s="7">
        <v>8.5</v>
      </c>
      <c r="I1006" s="3"/>
      <c r="L1006" s="3"/>
      <c r="M1006" s="3"/>
      <c r="N1006" s="3"/>
      <c r="O1006" s="3"/>
      <c r="P1006" s="3"/>
      <c r="Q1006" s="3"/>
      <c r="R1006" s="3"/>
      <c r="S1006" s="3"/>
    </row>
    <row r="1007" spans="3:24" ht="15.75" customHeight="1" x14ac:dyDescent="0.2">
      <c r="C1007" s="208">
        <v>42534</v>
      </c>
      <c r="D1007" s="19">
        <v>0.40277777777777773</v>
      </c>
      <c r="E1007" s="3">
        <v>15</v>
      </c>
      <c r="F1007" s="190">
        <v>8.9600000000000009</v>
      </c>
      <c r="G1007" s="3">
        <v>75.7</v>
      </c>
      <c r="H1007" s="7">
        <v>8</v>
      </c>
      <c r="I1007" s="3"/>
      <c r="L1007" s="3"/>
      <c r="M1007" s="3"/>
      <c r="N1007" s="3"/>
      <c r="O1007" s="3"/>
      <c r="P1007" s="3"/>
      <c r="Q1007" s="3"/>
      <c r="R1007" s="3"/>
      <c r="S1007" s="3"/>
    </row>
    <row r="1008" spans="3:24" ht="15.75" customHeight="1" x14ac:dyDescent="0.2">
      <c r="C1008" s="208">
        <v>42534</v>
      </c>
      <c r="D1008" s="19">
        <v>0.40277777777777773</v>
      </c>
      <c r="E1008" s="3">
        <v>16</v>
      </c>
      <c r="F1008" s="190">
        <v>8.92</v>
      </c>
      <c r="G1008" s="3">
        <v>74.8</v>
      </c>
      <c r="H1008" s="7">
        <v>7.7</v>
      </c>
      <c r="I1008" s="3"/>
      <c r="L1008" s="3"/>
      <c r="M1008" s="3"/>
      <c r="N1008" s="3"/>
      <c r="O1008" s="3"/>
      <c r="P1008" s="3"/>
      <c r="Q1008" s="3"/>
      <c r="R1008" s="3"/>
      <c r="S1008" s="3"/>
    </row>
    <row r="1009" spans="3:19" ht="15.75" customHeight="1" x14ac:dyDescent="0.2">
      <c r="C1009" s="208">
        <v>42534</v>
      </c>
      <c r="D1009" s="19">
        <v>0.40277777777777773</v>
      </c>
      <c r="E1009" s="3">
        <v>17</v>
      </c>
      <c r="F1009" s="190">
        <v>8.9</v>
      </c>
      <c r="G1009" s="3">
        <v>74.2</v>
      </c>
      <c r="H1009" s="7">
        <v>7.5</v>
      </c>
      <c r="I1009" s="3"/>
      <c r="L1009" s="3"/>
      <c r="M1009" s="3"/>
      <c r="N1009" s="3"/>
      <c r="O1009" s="3"/>
      <c r="P1009" s="3"/>
      <c r="Q1009" s="3"/>
      <c r="R1009" s="3"/>
      <c r="S1009" s="3"/>
    </row>
    <row r="1010" spans="3:19" ht="15.75" customHeight="1" x14ac:dyDescent="0.2">
      <c r="C1010" s="208">
        <v>42534</v>
      </c>
      <c r="D1010" s="19">
        <v>0.40277777777777773</v>
      </c>
      <c r="E1010" s="3">
        <v>18</v>
      </c>
      <c r="F1010" s="190">
        <v>8.92</v>
      </c>
      <c r="G1010" s="3">
        <v>73.7</v>
      </c>
      <c r="H1010" s="7">
        <v>7.1</v>
      </c>
      <c r="I1010" s="3"/>
      <c r="L1010" s="3"/>
      <c r="M1010" s="3"/>
      <c r="N1010" s="3"/>
      <c r="O1010" s="3"/>
      <c r="P1010" s="3"/>
      <c r="Q1010" s="3"/>
      <c r="R1010" s="3"/>
      <c r="S1010" s="3"/>
    </row>
    <row r="1011" spans="3:19" ht="15.75" customHeight="1" x14ac:dyDescent="0.2">
      <c r="C1011" s="208">
        <v>42534</v>
      </c>
      <c r="D1011" s="19">
        <v>0.40277777777777773</v>
      </c>
      <c r="E1011" s="3">
        <v>19</v>
      </c>
      <c r="F1011" s="190">
        <v>8.93</v>
      </c>
      <c r="G1011" s="3">
        <v>73.400000000000006</v>
      </c>
      <c r="H1011" s="7">
        <v>6.9</v>
      </c>
      <c r="I1011" s="3"/>
      <c r="L1011" s="3"/>
      <c r="M1011" s="3"/>
      <c r="N1011" s="3"/>
      <c r="O1011" s="3"/>
      <c r="P1011" s="3"/>
      <c r="Q1011" s="3"/>
      <c r="R1011" s="3"/>
      <c r="S1011" s="3"/>
    </row>
    <row r="1012" spans="3:19" ht="15.75" customHeight="1" x14ac:dyDescent="0.2">
      <c r="C1012" s="208">
        <v>42534</v>
      </c>
      <c r="D1012" s="19">
        <v>0.40277777777777773</v>
      </c>
      <c r="E1012" s="3">
        <v>20</v>
      </c>
      <c r="F1012" s="190">
        <v>8.9499999999999993</v>
      </c>
      <c r="G1012" s="3">
        <v>73.2</v>
      </c>
      <c r="H1012" s="7">
        <v>6.7</v>
      </c>
      <c r="I1012" s="3"/>
      <c r="L1012" s="3"/>
      <c r="M1012" s="3"/>
      <c r="N1012" s="3"/>
      <c r="O1012" s="3"/>
      <c r="P1012" s="3"/>
      <c r="Q1012" s="3"/>
      <c r="R1012" s="3"/>
      <c r="S1012" s="3"/>
    </row>
    <row r="1013" spans="3:19" ht="15.75" customHeight="1" x14ac:dyDescent="0.2">
      <c r="C1013" s="208">
        <v>42534</v>
      </c>
      <c r="D1013" s="19">
        <v>0.40277777777777773</v>
      </c>
      <c r="E1013" s="3">
        <v>21</v>
      </c>
      <c r="F1013" s="190">
        <v>8.94</v>
      </c>
      <c r="G1013" s="3">
        <v>72.8</v>
      </c>
      <c r="H1013" s="7">
        <v>6.6</v>
      </c>
      <c r="I1013" s="3"/>
      <c r="L1013" s="3"/>
      <c r="M1013" s="3"/>
      <c r="N1013" s="3"/>
      <c r="O1013" s="3"/>
      <c r="P1013" s="3"/>
      <c r="Q1013" s="3"/>
      <c r="R1013" s="3"/>
      <c r="S1013" s="3"/>
    </row>
    <row r="1014" spans="3:19" ht="15.75" customHeight="1" x14ac:dyDescent="0.2">
      <c r="C1014" s="208">
        <v>42534</v>
      </c>
      <c r="D1014" s="19">
        <v>0.40277777777777773</v>
      </c>
      <c r="E1014" s="3">
        <v>22</v>
      </c>
      <c r="F1014" s="190">
        <v>8.92</v>
      </c>
      <c r="G1014" s="3">
        <v>72.599999999999994</v>
      </c>
      <c r="H1014" s="7">
        <v>6.5</v>
      </c>
      <c r="I1014" s="3"/>
      <c r="L1014" s="3"/>
      <c r="M1014" s="3"/>
      <c r="N1014" s="3"/>
      <c r="O1014" s="3"/>
      <c r="P1014" s="3"/>
      <c r="Q1014" s="3"/>
      <c r="R1014" s="3"/>
      <c r="S1014" s="3"/>
    </row>
    <row r="1015" spans="3:19" ht="15.75" customHeight="1" x14ac:dyDescent="0.2">
      <c r="C1015" s="208">
        <v>42534</v>
      </c>
      <c r="D1015" s="19">
        <v>0.40277777777777773</v>
      </c>
      <c r="E1015" s="3">
        <v>23</v>
      </c>
      <c r="F1015" s="190">
        <v>8.91</v>
      </c>
      <c r="G1015" s="3">
        <v>72.3</v>
      </c>
      <c r="H1015" s="7">
        <v>6.4</v>
      </c>
      <c r="I1015" s="3"/>
      <c r="L1015" s="3"/>
      <c r="M1015" s="3"/>
      <c r="N1015" s="3"/>
      <c r="O1015" s="3"/>
      <c r="P1015" s="3"/>
      <c r="Q1015" s="3"/>
      <c r="R1015" s="3"/>
      <c r="S1015" s="3"/>
    </row>
    <row r="1016" spans="3:19" ht="15.75" customHeight="1" x14ac:dyDescent="0.2">
      <c r="C1016" s="208">
        <v>42534</v>
      </c>
      <c r="D1016" s="19">
        <v>0.40277777777777773</v>
      </c>
      <c r="E1016" s="3">
        <v>24</v>
      </c>
      <c r="F1016" s="190">
        <v>8.89</v>
      </c>
      <c r="G1016" s="3">
        <v>72</v>
      </c>
      <c r="H1016" s="7">
        <v>6.3</v>
      </c>
      <c r="I1016" s="3"/>
      <c r="L1016" s="3"/>
      <c r="M1016" s="3"/>
      <c r="N1016" s="3"/>
      <c r="O1016" s="3"/>
      <c r="P1016" s="3"/>
      <c r="Q1016" s="3"/>
      <c r="R1016" s="3"/>
      <c r="S1016" s="3"/>
    </row>
    <row r="1017" spans="3:19" ht="15.75" customHeight="1" x14ac:dyDescent="0.2">
      <c r="C1017" s="208">
        <v>42534</v>
      </c>
      <c r="D1017" s="19">
        <v>0.40277777777777773</v>
      </c>
      <c r="E1017" s="3">
        <v>25</v>
      </c>
      <c r="F1017" s="190">
        <v>8.8800000000000008</v>
      </c>
      <c r="G1017" s="3">
        <v>71.7</v>
      </c>
      <c r="H1017" s="7">
        <v>6.2</v>
      </c>
      <c r="I1017" s="3"/>
      <c r="L1017" s="3"/>
      <c r="M1017" s="3"/>
      <c r="N1017" s="3"/>
      <c r="O1017" s="3"/>
      <c r="P1017" s="3"/>
      <c r="Q1017" s="3"/>
      <c r="R1017" s="3"/>
      <c r="S1017" s="3"/>
    </row>
    <row r="1018" spans="3:19" ht="15.75" customHeight="1" x14ac:dyDescent="0.2">
      <c r="C1018" s="208">
        <v>42534</v>
      </c>
      <c r="D1018" s="19">
        <v>0.41666666666666669</v>
      </c>
      <c r="E1018" s="3">
        <v>26</v>
      </c>
      <c r="F1018" s="190">
        <v>8.86</v>
      </c>
      <c r="G1018" s="3">
        <v>71.400000000000006</v>
      </c>
      <c r="H1018" s="7">
        <v>6.1</v>
      </c>
      <c r="I1018" s="3"/>
      <c r="L1018" s="3"/>
      <c r="M1018" s="3"/>
      <c r="N1018" s="3"/>
      <c r="O1018" s="3"/>
      <c r="P1018" s="3"/>
      <c r="Q1018" s="3"/>
      <c r="R1018" s="3"/>
      <c r="S1018" s="3"/>
    </row>
    <row r="1019" spans="3:19" ht="15.75" customHeight="1" x14ac:dyDescent="0.2">
      <c r="C1019" s="208">
        <v>42534</v>
      </c>
      <c r="D1019" s="19">
        <v>0.41666666666666669</v>
      </c>
      <c r="E1019" s="3">
        <v>27</v>
      </c>
      <c r="F1019" s="190">
        <v>8.85</v>
      </c>
      <c r="G1019" s="3">
        <v>71.3</v>
      </c>
      <c r="H1019" s="7">
        <v>6.1</v>
      </c>
      <c r="I1019" s="3"/>
      <c r="L1019" s="3"/>
      <c r="M1019" s="3"/>
      <c r="N1019" s="3"/>
      <c r="O1019" s="3"/>
      <c r="P1019" s="3"/>
      <c r="Q1019" s="3"/>
      <c r="R1019" s="3"/>
      <c r="S1019" s="3"/>
    </row>
    <row r="1020" spans="3:19" ht="15.75" customHeight="1" x14ac:dyDescent="0.2">
      <c r="C1020" s="208">
        <v>42534</v>
      </c>
      <c r="D1020" s="19">
        <v>0.41666666666666669</v>
      </c>
      <c r="E1020" s="3">
        <v>28</v>
      </c>
      <c r="F1020" s="190">
        <v>8.84</v>
      </c>
      <c r="G1020" s="3">
        <v>71</v>
      </c>
      <c r="H1020" s="7">
        <v>6</v>
      </c>
      <c r="I1020" s="3"/>
      <c r="L1020" s="3"/>
      <c r="M1020" s="3"/>
      <c r="N1020" s="3"/>
      <c r="O1020" s="3"/>
      <c r="P1020" s="3"/>
      <c r="Q1020" s="3"/>
      <c r="R1020" s="3"/>
      <c r="S1020" s="3"/>
    </row>
    <row r="1021" spans="3:19" ht="15.75" customHeight="1" x14ac:dyDescent="0.2">
      <c r="C1021" s="208">
        <v>42534</v>
      </c>
      <c r="D1021" s="19">
        <v>0.41666666666666669</v>
      </c>
      <c r="E1021" s="3">
        <v>29</v>
      </c>
      <c r="F1021" s="190">
        <v>8.7799999999999994</v>
      </c>
      <c r="G1021" s="3">
        <v>70.5</v>
      </c>
      <c r="H1021" s="7">
        <v>6</v>
      </c>
      <c r="I1021" s="3"/>
      <c r="L1021" s="3"/>
      <c r="M1021" s="3"/>
      <c r="N1021" s="3"/>
      <c r="O1021" s="3"/>
      <c r="P1021" s="3"/>
      <c r="Q1021" s="3"/>
      <c r="R1021" s="3"/>
      <c r="S1021" s="3"/>
    </row>
    <row r="1022" spans="3:19" ht="15.75" customHeight="1" x14ac:dyDescent="0.2">
      <c r="C1022" s="208">
        <v>42534</v>
      </c>
      <c r="D1022" s="19">
        <v>0.41666666666666669</v>
      </c>
      <c r="E1022" s="3">
        <v>30</v>
      </c>
      <c r="F1022" s="190">
        <v>8.7799999999999994</v>
      </c>
      <c r="G1022" s="3">
        <v>70.3</v>
      </c>
      <c r="H1022" s="7">
        <v>5.9</v>
      </c>
      <c r="I1022" s="3"/>
      <c r="L1022" s="3"/>
      <c r="M1022" s="3"/>
      <c r="N1022" s="3"/>
      <c r="O1022" s="3"/>
      <c r="P1022" s="3"/>
      <c r="Q1022" s="3"/>
      <c r="R1022" s="3"/>
      <c r="S1022" s="3"/>
    </row>
    <row r="1023" spans="3:19" ht="15.75" customHeight="1" x14ac:dyDescent="0.2">
      <c r="C1023" s="208">
        <v>42534</v>
      </c>
      <c r="D1023" s="19">
        <v>0.41666666666666669</v>
      </c>
      <c r="E1023" s="3">
        <v>31</v>
      </c>
      <c r="F1023" s="190">
        <v>8.76</v>
      </c>
      <c r="G1023" s="3">
        <v>70.2</v>
      </c>
      <c r="H1023" s="7">
        <v>5.9</v>
      </c>
      <c r="I1023" s="3"/>
      <c r="L1023" s="3"/>
      <c r="M1023" s="3"/>
      <c r="N1023" s="3"/>
      <c r="O1023" s="3"/>
      <c r="P1023" s="3"/>
      <c r="Q1023" s="3"/>
      <c r="R1023" s="3"/>
      <c r="S1023" s="3"/>
    </row>
    <row r="1024" spans="3:19" ht="15.75" customHeight="1" x14ac:dyDescent="0.2">
      <c r="C1024" s="208">
        <v>42534</v>
      </c>
      <c r="D1024" s="19">
        <v>0.41666666666666669</v>
      </c>
      <c r="E1024" s="3">
        <v>32</v>
      </c>
      <c r="F1024" s="190">
        <v>7.75</v>
      </c>
      <c r="G1024" s="3">
        <v>69.900000000000006</v>
      </c>
      <c r="H1024" s="7">
        <v>5.8</v>
      </c>
      <c r="I1024" s="3"/>
      <c r="L1024" s="3"/>
      <c r="M1024" s="3"/>
      <c r="N1024" s="3"/>
      <c r="O1024" s="3"/>
      <c r="P1024" s="3"/>
      <c r="Q1024" s="3"/>
      <c r="R1024" s="3"/>
      <c r="S1024" s="3"/>
    </row>
    <row r="1025" spans="3:19" ht="15.75" customHeight="1" x14ac:dyDescent="0.2">
      <c r="C1025" s="208">
        <v>42534</v>
      </c>
      <c r="D1025" s="19">
        <v>0.41666666666666669</v>
      </c>
      <c r="E1025" s="3">
        <v>33</v>
      </c>
      <c r="F1025" s="190">
        <v>8.73</v>
      </c>
      <c r="G1025" s="3">
        <v>69.5</v>
      </c>
      <c r="H1025" s="7">
        <v>5.7</v>
      </c>
      <c r="I1025" s="3"/>
      <c r="L1025" s="3"/>
      <c r="M1025" s="3"/>
      <c r="N1025" s="3"/>
      <c r="O1025" s="3"/>
      <c r="P1025" s="3"/>
      <c r="Q1025" s="3"/>
      <c r="R1025" s="3"/>
      <c r="S1025" s="3"/>
    </row>
    <row r="1026" spans="3:19" ht="15.75" customHeight="1" x14ac:dyDescent="0.2">
      <c r="C1026" s="208">
        <v>42534</v>
      </c>
      <c r="D1026" s="19">
        <v>0.41666666666666669</v>
      </c>
      <c r="E1026" s="3">
        <v>34</v>
      </c>
      <c r="F1026" s="190">
        <v>8.69</v>
      </c>
      <c r="G1026" s="3">
        <v>69.3</v>
      </c>
      <c r="H1026" s="7">
        <v>5.7</v>
      </c>
      <c r="I1026" s="3"/>
      <c r="L1026" s="3"/>
      <c r="M1026" s="3"/>
      <c r="N1026" s="3"/>
      <c r="O1026" s="3"/>
      <c r="P1026" s="3"/>
      <c r="Q1026" s="3"/>
      <c r="R1026" s="3"/>
      <c r="S1026" s="3"/>
    </row>
    <row r="1027" spans="3:19" ht="15.75" customHeight="1" x14ac:dyDescent="0.2">
      <c r="C1027" s="208">
        <v>42534</v>
      </c>
      <c r="D1027" s="19">
        <v>0.41666666666666669</v>
      </c>
      <c r="E1027" s="3">
        <v>35</v>
      </c>
      <c r="F1027" s="190">
        <v>8.67</v>
      </c>
      <c r="G1027" s="3">
        <v>69.099999999999994</v>
      </c>
      <c r="H1027" s="7">
        <v>5.7</v>
      </c>
      <c r="I1027" s="3"/>
      <c r="L1027" s="3"/>
      <c r="M1027" s="3"/>
      <c r="N1027" s="3"/>
      <c r="O1027" s="3"/>
      <c r="P1027" s="3"/>
      <c r="Q1027" s="3"/>
      <c r="R1027" s="3"/>
      <c r="S1027" s="3"/>
    </row>
    <row r="1028" spans="3:19" ht="15.75" customHeight="1" x14ac:dyDescent="0.2">
      <c r="C1028" s="208">
        <v>42534</v>
      </c>
      <c r="D1028" s="19">
        <v>0.41666666666666669</v>
      </c>
      <c r="E1028" s="3">
        <v>36</v>
      </c>
      <c r="F1028" s="190">
        <v>8.64</v>
      </c>
      <c r="G1028" s="3">
        <v>68.900000000000006</v>
      </c>
      <c r="H1028" s="7">
        <v>5.7</v>
      </c>
      <c r="I1028" s="3"/>
      <c r="L1028" s="3"/>
      <c r="M1028" s="3"/>
      <c r="N1028" s="3"/>
      <c r="O1028" s="3"/>
      <c r="P1028" s="3"/>
      <c r="Q1028" s="3"/>
      <c r="R1028" s="3"/>
      <c r="S1028" s="3"/>
    </row>
    <row r="1029" spans="3:19" ht="15.75" customHeight="1" x14ac:dyDescent="0.2">
      <c r="C1029" s="208">
        <v>42534</v>
      </c>
      <c r="D1029" s="19">
        <v>0.41666666666666669</v>
      </c>
      <c r="E1029" s="3">
        <v>37</v>
      </c>
      <c r="F1029" s="190">
        <v>8.64</v>
      </c>
      <c r="G1029" s="3">
        <v>68.7</v>
      </c>
      <c r="H1029" s="7">
        <v>5.6</v>
      </c>
      <c r="I1029" s="3"/>
      <c r="L1029" s="3"/>
      <c r="M1029" s="3"/>
      <c r="N1029" s="3"/>
      <c r="O1029" s="3"/>
      <c r="P1029" s="3"/>
      <c r="Q1029" s="3"/>
      <c r="R1029" s="3"/>
      <c r="S1029" s="3"/>
    </row>
    <row r="1030" spans="3:19" ht="15.75" customHeight="1" x14ac:dyDescent="0.2">
      <c r="C1030" s="208">
        <v>42534</v>
      </c>
      <c r="D1030" s="19">
        <v>0.41666666666666669</v>
      </c>
      <c r="E1030" s="3">
        <v>38</v>
      </c>
      <c r="F1030" s="190">
        <v>8.58</v>
      </c>
      <c r="G1030" s="3">
        <v>68.400000000000006</v>
      </c>
      <c r="H1030" s="23">
        <v>5.7</v>
      </c>
      <c r="I1030" s="3"/>
      <c r="L1030" s="3"/>
      <c r="M1030" s="3"/>
      <c r="N1030" s="3"/>
      <c r="O1030" s="3"/>
      <c r="P1030" s="3"/>
      <c r="Q1030" s="3"/>
      <c r="R1030" s="3"/>
      <c r="S1030" s="3"/>
    </row>
    <row r="1031" spans="3:19" ht="15.75" customHeight="1" x14ac:dyDescent="0.2">
      <c r="C1031" s="208">
        <v>42534</v>
      </c>
      <c r="D1031" s="19">
        <v>0.41666666666666669</v>
      </c>
      <c r="E1031" s="3">
        <v>39</v>
      </c>
      <c r="F1031" s="190">
        <v>8.59</v>
      </c>
      <c r="G1031" s="3">
        <v>68.2</v>
      </c>
      <c r="H1031" s="7">
        <v>5.6</v>
      </c>
      <c r="I1031" s="3"/>
      <c r="L1031" s="3"/>
      <c r="M1031" s="3"/>
      <c r="N1031" s="3"/>
      <c r="O1031" s="3"/>
      <c r="P1031" s="3"/>
      <c r="Q1031" s="3"/>
      <c r="R1031" s="3"/>
      <c r="S1031" s="3"/>
    </row>
    <row r="1032" spans="3:19" ht="15.75" customHeight="1" x14ac:dyDescent="0.2">
      <c r="C1032" s="208">
        <v>42534</v>
      </c>
      <c r="D1032" s="19">
        <v>0.41666666666666669</v>
      </c>
      <c r="E1032" s="3">
        <v>40</v>
      </c>
      <c r="F1032" s="190">
        <v>8.5399999999999991</v>
      </c>
      <c r="G1032" s="3">
        <v>67.8</v>
      </c>
      <c r="H1032" s="7">
        <v>5.6</v>
      </c>
      <c r="I1032" s="3"/>
      <c r="L1032" s="3"/>
      <c r="M1032" s="3"/>
      <c r="N1032" s="3"/>
      <c r="O1032" s="3"/>
      <c r="P1032" s="3"/>
      <c r="Q1032" s="3"/>
      <c r="R1032" s="3"/>
      <c r="S1032" s="3"/>
    </row>
    <row r="1033" spans="3:19" ht="15.75" customHeight="1" x14ac:dyDescent="0.2">
      <c r="C1033" s="208">
        <v>42534</v>
      </c>
      <c r="D1033" s="19">
        <v>0.41666666666666669</v>
      </c>
      <c r="E1033" s="3">
        <v>41</v>
      </c>
      <c r="F1033" s="190">
        <v>8.5</v>
      </c>
      <c r="G1033" s="3">
        <v>67.5</v>
      </c>
      <c r="H1033" s="7">
        <v>5.6</v>
      </c>
      <c r="I1033" s="3"/>
      <c r="L1033" s="3"/>
      <c r="M1033" s="3"/>
      <c r="N1033" s="3"/>
      <c r="O1033" s="3"/>
      <c r="P1033" s="3"/>
      <c r="Q1033" s="3"/>
      <c r="R1033" s="3"/>
      <c r="S1033" s="3"/>
    </row>
    <row r="1034" spans="3:19" ht="15.75" customHeight="1" x14ac:dyDescent="0.2">
      <c r="C1034" s="208">
        <v>42534</v>
      </c>
      <c r="D1034" s="19">
        <v>0.41666666666666669</v>
      </c>
      <c r="E1034" s="3">
        <v>42</v>
      </c>
      <c r="F1034" s="190">
        <v>8.4600000000000009</v>
      </c>
      <c r="G1034" s="3">
        <v>67.2</v>
      </c>
      <c r="H1034" s="7">
        <v>5.6</v>
      </c>
      <c r="I1034" s="3"/>
      <c r="L1034" s="3"/>
      <c r="M1034" s="3"/>
      <c r="N1034" s="3"/>
      <c r="O1034" s="3"/>
      <c r="P1034" s="3"/>
      <c r="Q1034" s="3"/>
      <c r="R1034" s="3"/>
      <c r="S1034" s="3"/>
    </row>
    <row r="1035" spans="3:19" ht="15.75" customHeight="1" x14ac:dyDescent="0.2">
      <c r="C1035" s="208">
        <v>42534</v>
      </c>
      <c r="D1035" s="19">
        <v>0.41666666666666669</v>
      </c>
      <c r="E1035" s="3">
        <v>43</v>
      </c>
      <c r="F1035" s="190">
        <v>8.43</v>
      </c>
      <c r="G1035" s="3">
        <v>67</v>
      </c>
      <c r="H1035" s="7">
        <v>5.6</v>
      </c>
      <c r="I1035" s="3"/>
      <c r="L1035" s="3"/>
      <c r="M1035" s="3"/>
      <c r="N1035" s="3"/>
      <c r="O1035" s="3"/>
      <c r="P1035" s="3"/>
      <c r="Q1035" s="3"/>
      <c r="R1035" s="3"/>
      <c r="S1035" s="3"/>
    </row>
    <row r="1036" spans="3:19" ht="15.75" customHeight="1" x14ac:dyDescent="0.2">
      <c r="C1036" s="208"/>
      <c r="D1036" s="19"/>
      <c r="E1036" s="3"/>
      <c r="G1036" s="3"/>
      <c r="H1036" s="7"/>
      <c r="I1036" s="3"/>
      <c r="L1036" s="3"/>
      <c r="M1036" s="3"/>
      <c r="N1036" s="3"/>
      <c r="O1036" s="3"/>
      <c r="P1036" s="3"/>
      <c r="Q1036" s="3"/>
      <c r="R1036" s="3"/>
      <c r="S1036" s="3"/>
    </row>
    <row r="1037" spans="3:19" ht="15.75" customHeight="1" x14ac:dyDescent="0.2">
      <c r="C1037" s="208">
        <v>42569</v>
      </c>
      <c r="D1037" s="19">
        <v>0.3888888888888889</v>
      </c>
      <c r="E1037" s="3"/>
      <c r="G1037" s="3"/>
      <c r="H1037" s="7"/>
      <c r="I1037" s="3"/>
      <c r="J1037">
        <v>9.5</v>
      </c>
      <c r="K1037">
        <v>11</v>
      </c>
      <c r="L1037" s="3"/>
      <c r="M1037" s="3"/>
      <c r="N1037" s="3"/>
      <c r="O1037" s="3"/>
      <c r="P1037" s="3"/>
      <c r="Q1037" s="3"/>
      <c r="R1037" s="3"/>
      <c r="S1037" s="3"/>
    </row>
    <row r="1038" spans="3:19" ht="15.75" customHeight="1" x14ac:dyDescent="0.2">
      <c r="C1038" s="208">
        <v>42569</v>
      </c>
      <c r="D1038" s="19">
        <v>0.40138888888888885</v>
      </c>
      <c r="E1038" s="3">
        <v>0.1</v>
      </c>
      <c r="F1038" s="190">
        <v>7.93</v>
      </c>
      <c r="G1038" s="3">
        <v>86.7</v>
      </c>
      <c r="H1038" s="7">
        <v>19.600000000000001</v>
      </c>
      <c r="I1038" s="7">
        <v>19.600000000000001</v>
      </c>
      <c r="J1038" s="7"/>
      <c r="L1038" s="3"/>
      <c r="M1038" s="3"/>
      <c r="N1038" s="3"/>
      <c r="O1038" s="3"/>
      <c r="P1038" s="3"/>
      <c r="Q1038" s="3"/>
      <c r="R1038" s="3"/>
      <c r="S1038" s="3"/>
    </row>
    <row r="1039" spans="3:19" ht="15.75" customHeight="1" x14ac:dyDescent="0.2">
      <c r="C1039" s="208">
        <v>42569</v>
      </c>
      <c r="D1039" s="19">
        <v>0.40138888888888885</v>
      </c>
      <c r="E1039" s="3">
        <v>1</v>
      </c>
      <c r="F1039" s="190">
        <v>7.94</v>
      </c>
      <c r="G1039" s="3">
        <v>86.6</v>
      </c>
      <c r="H1039" s="7">
        <v>19.600000000000001</v>
      </c>
      <c r="I1039" s="7">
        <v>19.600000000000001</v>
      </c>
      <c r="J1039" s="7"/>
      <c r="L1039" s="3"/>
      <c r="M1039" s="3"/>
      <c r="N1039" s="3"/>
      <c r="O1039" s="3"/>
      <c r="P1039" s="3"/>
      <c r="Q1039" s="3"/>
      <c r="R1039" s="3"/>
      <c r="S1039" s="3"/>
    </row>
    <row r="1040" spans="3:19" ht="15.75" customHeight="1" x14ac:dyDescent="0.2">
      <c r="C1040" s="208">
        <v>42569</v>
      </c>
      <c r="D1040" s="19">
        <v>0.40138888888888885</v>
      </c>
      <c r="E1040" s="3">
        <v>2</v>
      </c>
      <c r="F1040" s="190">
        <v>7.93</v>
      </c>
      <c r="G1040" s="3">
        <v>86.4</v>
      </c>
      <c r="H1040" s="7">
        <v>19.600000000000001</v>
      </c>
      <c r="I1040" s="7">
        <v>19.600000000000001</v>
      </c>
      <c r="J1040" s="7"/>
      <c r="L1040" s="3"/>
      <c r="M1040" s="3"/>
      <c r="N1040" s="3"/>
      <c r="O1040" s="3"/>
      <c r="P1040" s="3"/>
      <c r="Q1040" s="3"/>
      <c r="R1040" s="3"/>
      <c r="S1040" s="3"/>
    </row>
    <row r="1041" spans="3:19" ht="15.75" customHeight="1" x14ac:dyDescent="0.2">
      <c r="C1041" s="208">
        <v>42569</v>
      </c>
      <c r="D1041" s="19">
        <v>0.40138888888888885</v>
      </c>
      <c r="E1041" s="3">
        <v>3</v>
      </c>
      <c r="F1041" s="190">
        <v>7.93</v>
      </c>
      <c r="G1041" s="3">
        <v>86.2</v>
      </c>
      <c r="H1041" s="7">
        <v>19.399999999999999</v>
      </c>
      <c r="I1041" s="7">
        <v>19.399999999999999</v>
      </c>
      <c r="J1041" s="7"/>
      <c r="L1041" s="3"/>
      <c r="M1041" s="3"/>
      <c r="N1041" s="3"/>
      <c r="O1041" s="3"/>
      <c r="P1041" s="3"/>
      <c r="Q1041" s="3"/>
      <c r="R1041" s="3"/>
      <c r="S1041" s="3"/>
    </row>
    <row r="1042" spans="3:19" ht="15.75" customHeight="1" x14ac:dyDescent="0.2">
      <c r="C1042" s="208">
        <v>42569</v>
      </c>
      <c r="D1042" s="19">
        <v>0.40138888888888885</v>
      </c>
      <c r="E1042" s="3">
        <v>4</v>
      </c>
      <c r="F1042" s="190">
        <v>7.93</v>
      </c>
      <c r="G1042" s="3">
        <v>86.1</v>
      </c>
      <c r="H1042" s="7">
        <v>19.3</v>
      </c>
      <c r="I1042" s="7">
        <v>19.3</v>
      </c>
      <c r="J1042" s="7"/>
      <c r="L1042" s="3"/>
      <c r="M1042" s="3"/>
      <c r="N1042" s="3"/>
      <c r="O1042" s="3"/>
      <c r="P1042" s="3"/>
      <c r="Q1042" s="3"/>
      <c r="R1042" s="3"/>
      <c r="S1042" s="3"/>
    </row>
    <row r="1043" spans="3:19" ht="15.75" customHeight="1" x14ac:dyDescent="0.2">
      <c r="C1043" s="208">
        <v>42569</v>
      </c>
      <c r="D1043" s="19">
        <v>0.40138888888888885</v>
      </c>
      <c r="E1043" s="3">
        <v>5</v>
      </c>
      <c r="F1043" s="190">
        <v>7.92</v>
      </c>
      <c r="G1043" s="3">
        <v>85.9</v>
      </c>
      <c r="H1043" s="7">
        <v>19.3</v>
      </c>
      <c r="I1043" s="7">
        <v>19.3</v>
      </c>
      <c r="J1043" s="7"/>
      <c r="L1043" s="3"/>
      <c r="M1043" s="3"/>
      <c r="N1043" s="3"/>
      <c r="O1043" s="3"/>
      <c r="P1043" s="3"/>
      <c r="Q1043" s="3"/>
      <c r="R1043" s="3"/>
      <c r="S1043" s="3"/>
    </row>
    <row r="1044" spans="3:19" ht="15.75" customHeight="1" x14ac:dyDescent="0.2">
      <c r="C1044" s="208">
        <v>42569</v>
      </c>
      <c r="D1044" s="19">
        <v>0.40138888888888885</v>
      </c>
      <c r="E1044" s="3">
        <v>6</v>
      </c>
      <c r="F1044" s="190">
        <v>7.92</v>
      </c>
      <c r="G1044" s="3">
        <v>85.8</v>
      </c>
      <c r="H1044" s="7">
        <v>19.2</v>
      </c>
      <c r="I1044" s="7">
        <v>19.2</v>
      </c>
      <c r="J1044" s="7"/>
      <c r="L1044" s="3"/>
      <c r="M1044" s="3"/>
      <c r="N1044" s="3"/>
      <c r="O1044" s="3"/>
      <c r="P1044" s="3"/>
      <c r="Q1044" s="3"/>
      <c r="R1044" s="3"/>
      <c r="S1044" s="3"/>
    </row>
    <row r="1045" spans="3:19" ht="15.75" customHeight="1" x14ac:dyDescent="0.2">
      <c r="C1045" s="208">
        <v>42569</v>
      </c>
      <c r="D1045" s="19">
        <v>0.40138888888888885</v>
      </c>
      <c r="E1045" s="3">
        <v>7</v>
      </c>
      <c r="F1045" s="190">
        <v>7.91</v>
      </c>
      <c r="G1045" s="3">
        <v>85.6</v>
      </c>
      <c r="H1045" s="7">
        <v>19.2</v>
      </c>
      <c r="I1045" s="7">
        <v>19.2</v>
      </c>
      <c r="J1045" s="7"/>
      <c r="L1045" s="3"/>
      <c r="M1045" s="3"/>
      <c r="N1045" s="3"/>
      <c r="O1045" s="3"/>
      <c r="P1045" s="3"/>
      <c r="Q1045" s="3"/>
      <c r="R1045" s="3"/>
      <c r="S1045" s="3"/>
    </row>
    <row r="1046" spans="3:19" ht="15.75" customHeight="1" x14ac:dyDescent="0.2">
      <c r="C1046" s="208">
        <v>42569</v>
      </c>
      <c r="D1046" s="19">
        <v>0.40138888888888885</v>
      </c>
      <c r="E1046" s="3">
        <v>8</v>
      </c>
      <c r="F1046" s="190">
        <v>8.0399999999999991</v>
      </c>
      <c r="G1046" s="3">
        <v>85.6</v>
      </c>
      <c r="H1046" s="7">
        <v>18.5</v>
      </c>
      <c r="I1046" s="7">
        <v>18.5</v>
      </c>
      <c r="J1046" s="7"/>
      <c r="L1046" s="3"/>
      <c r="M1046" s="3"/>
      <c r="N1046" s="3"/>
      <c r="O1046" s="3"/>
      <c r="P1046" s="3"/>
      <c r="Q1046" s="3"/>
      <c r="R1046" s="3"/>
      <c r="S1046" s="3"/>
    </row>
    <row r="1047" spans="3:19" ht="15.75" customHeight="1" x14ac:dyDescent="0.2">
      <c r="C1047" s="208">
        <v>42569</v>
      </c>
      <c r="D1047" s="19">
        <v>0.40138888888888885</v>
      </c>
      <c r="E1047" s="3">
        <v>9</v>
      </c>
      <c r="F1047" s="190">
        <v>8.44</v>
      </c>
      <c r="G1047" s="3">
        <v>85.9</v>
      </c>
      <c r="H1047" s="7">
        <v>16.3</v>
      </c>
      <c r="I1047" s="7">
        <v>16.3</v>
      </c>
      <c r="J1047" s="7"/>
      <c r="L1047" s="3"/>
      <c r="M1047" s="3"/>
      <c r="N1047" s="3"/>
      <c r="O1047" s="3"/>
      <c r="P1047" s="3"/>
      <c r="Q1047" s="3"/>
      <c r="R1047" s="3"/>
      <c r="S1047" s="3"/>
    </row>
    <row r="1048" spans="3:19" ht="15.75" customHeight="1" x14ac:dyDescent="0.2">
      <c r="C1048" s="208">
        <v>42569</v>
      </c>
      <c r="D1048" s="19">
        <v>0.40138888888888885</v>
      </c>
      <c r="E1048" s="3">
        <v>10</v>
      </c>
      <c r="F1048" s="190">
        <v>8.51</v>
      </c>
      <c r="G1048" s="3">
        <v>85.4</v>
      </c>
      <c r="H1048" s="7">
        <v>15.6</v>
      </c>
      <c r="I1048" s="7">
        <v>15.6</v>
      </c>
      <c r="J1048" s="7"/>
      <c r="L1048" s="3"/>
      <c r="M1048" s="3"/>
      <c r="N1048" s="3"/>
      <c r="O1048" s="3"/>
      <c r="P1048" s="3"/>
      <c r="Q1048" s="3"/>
      <c r="R1048" s="3"/>
      <c r="S1048" s="3"/>
    </row>
    <row r="1049" spans="3:19" ht="15.75" customHeight="1" x14ac:dyDescent="0.2">
      <c r="C1049" s="208">
        <v>42569</v>
      </c>
      <c r="D1049" s="19">
        <v>0.40138888888888885</v>
      </c>
      <c r="E1049" s="3">
        <v>11</v>
      </c>
      <c r="F1049" s="190">
        <v>8.5299999999999994</v>
      </c>
      <c r="G1049" s="3">
        <v>84.8</v>
      </c>
      <c r="H1049" s="7">
        <v>15.1</v>
      </c>
      <c r="I1049" s="7">
        <v>15.1</v>
      </c>
      <c r="J1049" s="7"/>
      <c r="L1049" s="3"/>
      <c r="M1049" s="3"/>
      <c r="N1049" s="3"/>
      <c r="O1049" s="3"/>
      <c r="P1049" s="3"/>
      <c r="Q1049" s="3"/>
      <c r="R1049" s="3"/>
      <c r="S1049" s="3"/>
    </row>
    <row r="1050" spans="3:19" ht="15.75" customHeight="1" x14ac:dyDescent="0.2">
      <c r="C1050" s="208">
        <v>42569</v>
      </c>
      <c r="D1050" s="19">
        <v>0.40138888888888885</v>
      </c>
      <c r="E1050" s="3">
        <v>12</v>
      </c>
      <c r="F1050" s="190">
        <v>8.5500000000000007</v>
      </c>
      <c r="G1050" s="3">
        <v>83.7</v>
      </c>
      <c r="H1050" s="7">
        <v>14.6</v>
      </c>
      <c r="I1050" s="7">
        <v>14.6</v>
      </c>
      <c r="J1050" s="7"/>
      <c r="L1050" s="3"/>
      <c r="M1050" s="3"/>
      <c r="N1050" s="3"/>
      <c r="O1050" s="3"/>
      <c r="P1050" s="3"/>
      <c r="Q1050" s="3"/>
      <c r="R1050" s="3"/>
      <c r="S1050" s="3"/>
    </row>
    <row r="1051" spans="3:19" ht="15.75" customHeight="1" x14ac:dyDescent="0.2">
      <c r="C1051" s="208">
        <v>42569</v>
      </c>
      <c r="D1051" s="19">
        <v>0.40138888888888885</v>
      </c>
      <c r="E1051" s="3">
        <v>13</v>
      </c>
      <c r="F1051" s="190">
        <v>8.59</v>
      </c>
      <c r="G1051" s="3">
        <v>81.900000000000006</v>
      </c>
      <c r="H1051" s="7">
        <v>13.3</v>
      </c>
      <c r="I1051" s="17">
        <f>AVERAGE(I1038:I1050)</f>
        <v>18.099999999999998</v>
      </c>
      <c r="J1051" s="17"/>
      <c r="L1051" s="3"/>
      <c r="M1051" s="3"/>
      <c r="N1051" s="3"/>
      <c r="O1051" s="3"/>
      <c r="P1051" s="3"/>
      <c r="Q1051" s="3"/>
      <c r="R1051" s="3"/>
      <c r="S1051" s="3"/>
    </row>
    <row r="1052" spans="3:19" ht="15.75" customHeight="1" x14ac:dyDescent="0.2">
      <c r="C1052" s="208">
        <v>42569</v>
      </c>
      <c r="D1052" s="19">
        <v>0.40138888888888885</v>
      </c>
      <c r="E1052" s="3">
        <v>14</v>
      </c>
      <c r="F1052" s="190">
        <v>8.48</v>
      </c>
      <c r="G1052" s="3">
        <v>78.599999999999994</v>
      </c>
      <c r="H1052" s="7">
        <v>12.1</v>
      </c>
      <c r="I1052" s="3"/>
      <c r="L1052" s="3"/>
      <c r="M1052" s="3"/>
      <c r="N1052" s="3"/>
      <c r="O1052" s="3"/>
      <c r="P1052" s="3"/>
      <c r="Q1052" s="3"/>
      <c r="R1052" s="3"/>
      <c r="S1052" s="3"/>
    </row>
    <row r="1053" spans="3:19" ht="15.75" customHeight="1" x14ac:dyDescent="0.2">
      <c r="C1053" s="208">
        <v>42569</v>
      </c>
      <c r="D1053" s="19">
        <v>0.40138888888888885</v>
      </c>
      <c r="E1053" s="3">
        <v>15</v>
      </c>
      <c r="F1053" s="190">
        <v>8.4600000000000009</v>
      </c>
      <c r="G1053" s="3">
        <v>76.900000000000006</v>
      </c>
      <c r="H1053" s="7">
        <v>11.1</v>
      </c>
      <c r="I1053" s="3"/>
      <c r="L1053" s="3"/>
      <c r="M1053" s="3"/>
      <c r="N1053" s="3"/>
      <c r="O1053" s="3"/>
      <c r="P1053" s="3"/>
      <c r="Q1053" s="3"/>
      <c r="R1053" s="3"/>
      <c r="S1053" s="3"/>
    </row>
    <row r="1054" spans="3:19" ht="15.75" customHeight="1" x14ac:dyDescent="0.2">
      <c r="C1054" s="208">
        <v>42569</v>
      </c>
      <c r="D1054" s="19">
        <v>0.40138888888888885</v>
      </c>
      <c r="E1054" s="3">
        <v>16</v>
      </c>
      <c r="F1054" s="190">
        <v>8.59</v>
      </c>
      <c r="G1054" s="3">
        <v>76.2</v>
      </c>
      <c r="H1054" s="7">
        <v>10</v>
      </c>
      <c r="I1054" s="3"/>
      <c r="L1054" s="3"/>
      <c r="M1054" s="3"/>
      <c r="N1054" s="3"/>
      <c r="O1054" s="3"/>
      <c r="P1054" s="3"/>
      <c r="Q1054" s="3"/>
      <c r="R1054" s="3"/>
      <c r="S1054" s="3"/>
    </row>
    <row r="1055" spans="3:19" ht="15.75" customHeight="1" x14ac:dyDescent="0.2">
      <c r="C1055" s="208">
        <v>42569</v>
      </c>
      <c r="D1055" s="19">
        <v>0.40138888888888885</v>
      </c>
      <c r="E1055" s="3">
        <v>17</v>
      </c>
      <c r="F1055" s="190">
        <v>8.7200000000000006</v>
      </c>
      <c r="G1055" s="3">
        <v>75.400000000000006</v>
      </c>
      <c r="H1055" s="7">
        <v>9.1</v>
      </c>
      <c r="I1055" s="3"/>
      <c r="L1055" s="3"/>
      <c r="M1055" s="3"/>
      <c r="N1055" s="3"/>
      <c r="O1055" s="3"/>
      <c r="P1055" s="3"/>
      <c r="Q1055" s="3"/>
      <c r="R1055" s="3"/>
      <c r="S1055" s="3"/>
    </row>
    <row r="1056" spans="3:19" ht="15.75" customHeight="1" x14ac:dyDescent="0.2">
      <c r="C1056" s="208">
        <v>42569</v>
      </c>
      <c r="D1056" s="19">
        <v>0.40138888888888885</v>
      </c>
      <c r="E1056" s="3">
        <v>18</v>
      </c>
      <c r="F1056" s="190">
        <v>8.64</v>
      </c>
      <c r="G1056" s="3">
        <v>73.3</v>
      </c>
      <c r="H1056" s="7">
        <v>8.3000000000000007</v>
      </c>
      <c r="I1056" s="3"/>
      <c r="L1056" s="3"/>
      <c r="M1056" s="3"/>
      <c r="N1056" s="3"/>
      <c r="O1056" s="3"/>
      <c r="P1056" s="3"/>
      <c r="Q1056" s="3"/>
      <c r="R1056" s="3"/>
      <c r="S1056" s="3"/>
    </row>
    <row r="1057" spans="2:19" ht="15.75" customHeight="1" x14ac:dyDescent="0.2">
      <c r="C1057" s="208">
        <v>42569</v>
      </c>
      <c r="D1057" s="19">
        <v>0.40138888888888885</v>
      </c>
      <c r="E1057" s="3">
        <v>19</v>
      </c>
      <c r="F1057" s="190">
        <v>8.52</v>
      </c>
      <c r="G1057" s="3">
        <v>71.3</v>
      </c>
      <c r="H1057" s="7">
        <v>7.7</v>
      </c>
      <c r="I1057" s="3"/>
      <c r="L1057" s="3"/>
      <c r="M1057" s="3"/>
      <c r="N1057" s="3"/>
      <c r="O1057" s="3"/>
      <c r="P1057" s="3"/>
      <c r="Q1057" s="3"/>
      <c r="R1057" s="3"/>
      <c r="S1057" s="3"/>
    </row>
    <row r="1058" spans="2:19" ht="15.75" customHeight="1" x14ac:dyDescent="0.2">
      <c r="C1058" s="208">
        <v>42569</v>
      </c>
      <c r="D1058" s="19">
        <v>0.40138888888888885</v>
      </c>
      <c r="E1058" s="3">
        <v>20</v>
      </c>
      <c r="F1058" s="190">
        <v>8.4499999999999993</v>
      </c>
      <c r="G1058" s="3">
        <v>70.5</v>
      </c>
      <c r="H1058" s="7">
        <v>7.5</v>
      </c>
      <c r="I1058" s="3"/>
      <c r="L1058" s="3"/>
      <c r="M1058" s="3"/>
      <c r="N1058" s="3"/>
      <c r="O1058" s="3"/>
      <c r="P1058" s="3"/>
      <c r="Q1058" s="3"/>
      <c r="R1058" s="3"/>
      <c r="S1058" s="3"/>
    </row>
    <row r="1059" spans="2:19" ht="15.75" customHeight="1" x14ac:dyDescent="0.2">
      <c r="C1059" s="208">
        <v>42569</v>
      </c>
      <c r="D1059" s="19">
        <v>0.40138888888888885</v>
      </c>
      <c r="E1059" s="3">
        <v>21</v>
      </c>
      <c r="F1059" s="190">
        <v>8.42</v>
      </c>
      <c r="G1059" s="3">
        <v>70</v>
      </c>
      <c r="H1059" s="7">
        <v>7.4</v>
      </c>
      <c r="I1059" s="3"/>
      <c r="L1059" s="3"/>
      <c r="M1059" s="3"/>
      <c r="N1059" s="3"/>
      <c r="O1059" s="3"/>
      <c r="P1059" s="3"/>
      <c r="Q1059" s="3"/>
      <c r="R1059" s="3"/>
      <c r="S1059" s="3"/>
    </row>
    <row r="1060" spans="2:19" ht="15.75" customHeight="1" x14ac:dyDescent="0.2">
      <c r="B1060" s="62"/>
      <c r="C1060" s="208">
        <v>42569</v>
      </c>
      <c r="D1060" s="19">
        <v>0.40138888888888885</v>
      </c>
      <c r="E1060" s="3">
        <v>22</v>
      </c>
      <c r="F1060" s="190">
        <v>8.41</v>
      </c>
      <c r="G1060" s="3">
        <v>69.599999999999994</v>
      </c>
      <c r="H1060" s="7">
        <v>7.2</v>
      </c>
      <c r="I1060" s="3"/>
      <c r="L1060" s="3"/>
      <c r="M1060" s="3"/>
      <c r="N1060" s="3"/>
      <c r="O1060" s="3"/>
      <c r="P1060" s="3"/>
      <c r="Q1060" s="3"/>
      <c r="R1060" s="3"/>
      <c r="S1060" s="3"/>
    </row>
    <row r="1061" spans="2:19" ht="15.75" customHeight="1" x14ac:dyDescent="0.2">
      <c r="B1061" s="62"/>
      <c r="C1061" s="208">
        <v>42569</v>
      </c>
      <c r="D1061" s="19">
        <v>0.40138888888888885</v>
      </c>
      <c r="E1061" s="3">
        <v>23</v>
      </c>
      <c r="F1061" s="190">
        <v>8.41</v>
      </c>
      <c r="G1061" s="3">
        <v>69.5</v>
      </c>
      <c r="H1061" s="7">
        <v>7.1</v>
      </c>
      <c r="I1061" s="3"/>
      <c r="L1061" s="3"/>
      <c r="M1061" s="3"/>
      <c r="N1061" s="3"/>
      <c r="O1061" s="3"/>
      <c r="P1061" s="3"/>
      <c r="Q1061" s="3"/>
      <c r="R1061" s="3"/>
      <c r="S1061" s="3"/>
    </row>
    <row r="1062" spans="2:19" ht="15.75" customHeight="1" x14ac:dyDescent="0.2">
      <c r="B1062" s="62"/>
      <c r="C1062" s="208">
        <v>42569</v>
      </c>
      <c r="D1062" s="19">
        <v>0.40138888888888885</v>
      </c>
      <c r="E1062" s="3">
        <v>24</v>
      </c>
      <c r="F1062" s="190">
        <v>8.41</v>
      </c>
      <c r="G1062" s="3">
        <v>69.3</v>
      </c>
      <c r="H1062" s="7">
        <v>7</v>
      </c>
      <c r="I1062" s="3"/>
      <c r="L1062" s="3"/>
      <c r="M1062" s="3"/>
      <c r="N1062" s="3"/>
      <c r="O1062" s="3"/>
      <c r="P1062" s="3"/>
      <c r="Q1062" s="3"/>
      <c r="R1062" s="3"/>
      <c r="S1062" s="3"/>
    </row>
    <row r="1063" spans="2:19" ht="15.75" customHeight="1" x14ac:dyDescent="0.2">
      <c r="B1063" s="62"/>
      <c r="C1063" s="208">
        <v>42569</v>
      </c>
      <c r="D1063" s="19">
        <v>0.40138888888888885</v>
      </c>
      <c r="E1063" s="3">
        <v>25</v>
      </c>
      <c r="F1063" s="190">
        <v>8.43</v>
      </c>
      <c r="G1063" s="3">
        <v>69.3</v>
      </c>
      <c r="H1063" s="7">
        <v>6.9</v>
      </c>
      <c r="I1063" s="3"/>
      <c r="L1063" s="3"/>
      <c r="M1063" s="3"/>
      <c r="N1063" s="3"/>
      <c r="O1063" s="3"/>
      <c r="P1063" s="3"/>
      <c r="Q1063" s="3"/>
      <c r="R1063" s="3"/>
      <c r="S1063" s="3"/>
    </row>
    <row r="1064" spans="2:19" ht="15.75" customHeight="1" x14ac:dyDescent="0.2">
      <c r="B1064" s="62"/>
      <c r="C1064" s="208">
        <v>42569</v>
      </c>
      <c r="D1064" s="19">
        <v>0.40138888888888885</v>
      </c>
      <c r="E1064" s="3">
        <v>26</v>
      </c>
      <c r="F1064" s="190">
        <v>8.52</v>
      </c>
      <c r="G1064" s="3">
        <v>69.7</v>
      </c>
      <c r="H1064" s="7">
        <v>6.7</v>
      </c>
      <c r="I1064" s="3"/>
      <c r="L1064" s="3"/>
      <c r="M1064" s="3"/>
      <c r="N1064" s="3"/>
      <c r="O1064" s="3"/>
      <c r="P1064" s="3"/>
      <c r="Q1064" s="3"/>
      <c r="R1064" s="3"/>
      <c r="S1064" s="3"/>
    </row>
    <row r="1065" spans="2:19" ht="15.75" customHeight="1" x14ac:dyDescent="0.2">
      <c r="B1065" s="62"/>
      <c r="C1065" s="208">
        <v>42569</v>
      </c>
      <c r="D1065" s="19">
        <v>0.40138888888888885</v>
      </c>
      <c r="E1065" s="3">
        <v>27</v>
      </c>
      <c r="F1065" s="190">
        <v>8.51</v>
      </c>
      <c r="G1065" s="3">
        <v>69.599999999999994</v>
      </c>
      <c r="H1065" s="7">
        <v>6.7</v>
      </c>
      <c r="I1065" s="3"/>
      <c r="L1065" s="3"/>
      <c r="M1065" s="3"/>
      <c r="N1065" s="3"/>
      <c r="O1065" s="3"/>
      <c r="P1065" s="3"/>
      <c r="Q1065" s="3"/>
      <c r="R1065" s="3"/>
      <c r="S1065" s="3"/>
    </row>
    <row r="1066" spans="2:19" ht="15.75" customHeight="1" x14ac:dyDescent="0.2">
      <c r="B1066" s="62"/>
      <c r="C1066" s="208">
        <v>42569</v>
      </c>
      <c r="D1066" s="19">
        <v>0.40138888888888885</v>
      </c>
      <c r="E1066" s="3">
        <v>28</v>
      </c>
      <c r="F1066" s="190">
        <v>8.52</v>
      </c>
      <c r="G1066" s="3">
        <v>69.5</v>
      </c>
      <c r="H1066" s="7">
        <v>6.6</v>
      </c>
      <c r="I1066" s="3"/>
      <c r="L1066" s="3"/>
      <c r="M1066" s="3"/>
      <c r="N1066" s="3"/>
      <c r="O1066" s="3"/>
      <c r="P1066" s="3"/>
      <c r="Q1066" s="3"/>
      <c r="R1066" s="3"/>
      <c r="S1066" s="3"/>
    </row>
    <row r="1067" spans="2:19" ht="15.75" customHeight="1" x14ac:dyDescent="0.2">
      <c r="B1067" s="62"/>
      <c r="C1067" s="208">
        <v>42569</v>
      </c>
      <c r="D1067" s="19">
        <v>0.40138888888888885</v>
      </c>
      <c r="E1067" s="3">
        <v>29</v>
      </c>
      <c r="F1067" s="190">
        <v>8.5500000000000007</v>
      </c>
      <c r="G1067" s="3">
        <v>69.599999999999994</v>
      </c>
      <c r="H1067" s="7">
        <v>6.5</v>
      </c>
      <c r="I1067" s="3"/>
      <c r="L1067" s="3"/>
      <c r="M1067" s="3"/>
      <c r="N1067" s="3"/>
      <c r="O1067" s="3"/>
      <c r="P1067" s="3"/>
      <c r="Q1067" s="3"/>
      <c r="R1067" s="3"/>
      <c r="S1067" s="3"/>
    </row>
    <row r="1068" spans="2:19" ht="15.75" customHeight="1" x14ac:dyDescent="0.2">
      <c r="B1068" s="62"/>
      <c r="C1068" s="208">
        <v>42569</v>
      </c>
      <c r="D1068" s="19">
        <v>0.40138888888888885</v>
      </c>
      <c r="E1068" s="3">
        <v>30</v>
      </c>
      <c r="F1068" s="190">
        <v>8.5</v>
      </c>
      <c r="G1068" s="3">
        <v>69</v>
      </c>
      <c r="H1068" s="7">
        <v>6.4</v>
      </c>
      <c r="I1068" s="3"/>
      <c r="L1068" s="3"/>
      <c r="M1068" s="3"/>
      <c r="N1068" s="3"/>
      <c r="O1068" s="3"/>
      <c r="P1068" s="3"/>
      <c r="Q1068" s="3"/>
      <c r="R1068" s="3"/>
      <c r="S1068" s="3"/>
    </row>
    <row r="1069" spans="2:19" ht="15.75" customHeight="1" x14ac:dyDescent="0.2">
      <c r="B1069" s="62"/>
      <c r="C1069" s="208">
        <v>42569</v>
      </c>
      <c r="D1069" s="19">
        <v>0.40138888888888885</v>
      </c>
      <c r="E1069" s="3">
        <v>31</v>
      </c>
      <c r="F1069" s="190">
        <v>8.4499999999999993</v>
      </c>
      <c r="G1069" s="3">
        <v>68.3</v>
      </c>
      <c r="H1069" s="7">
        <v>6.3</v>
      </c>
      <c r="I1069" s="3"/>
      <c r="L1069" s="3"/>
      <c r="M1069" s="3"/>
      <c r="N1069" s="3"/>
      <c r="O1069" s="3"/>
      <c r="P1069" s="3"/>
      <c r="Q1069" s="3"/>
      <c r="R1069" s="3"/>
      <c r="S1069" s="3"/>
    </row>
    <row r="1070" spans="2:19" ht="15.75" customHeight="1" x14ac:dyDescent="0.2">
      <c r="B1070" s="62"/>
      <c r="C1070" s="208">
        <v>42569</v>
      </c>
      <c r="D1070" s="19">
        <v>0.40138888888888885</v>
      </c>
      <c r="E1070" s="3">
        <v>32</v>
      </c>
      <c r="F1070" s="190">
        <v>8.41</v>
      </c>
      <c r="G1070" s="3">
        <v>68.099999999999994</v>
      </c>
      <c r="H1070" s="7">
        <v>6.3</v>
      </c>
      <c r="I1070" s="3"/>
      <c r="L1070" s="3"/>
      <c r="M1070" s="3"/>
      <c r="N1070" s="3"/>
      <c r="O1070" s="3"/>
      <c r="P1070" s="3"/>
      <c r="Q1070" s="3"/>
      <c r="R1070" s="3"/>
      <c r="S1070" s="3"/>
    </row>
    <row r="1071" spans="2:19" ht="15.75" customHeight="1" x14ac:dyDescent="0.2">
      <c r="B1071" s="62"/>
      <c r="C1071" s="208">
        <v>42569</v>
      </c>
      <c r="D1071" s="19">
        <v>0.40138888888888885</v>
      </c>
      <c r="E1071" s="3">
        <v>33</v>
      </c>
      <c r="F1071" s="190">
        <v>8.41</v>
      </c>
      <c r="G1071" s="3">
        <v>68.2</v>
      </c>
      <c r="H1071" s="7">
        <v>6.3</v>
      </c>
      <c r="I1071" s="3"/>
      <c r="L1071" s="3"/>
      <c r="M1071" s="3"/>
      <c r="N1071" s="3"/>
      <c r="O1071" s="3"/>
      <c r="P1071" s="3"/>
      <c r="Q1071" s="3"/>
      <c r="R1071" s="3"/>
      <c r="S1071" s="3"/>
    </row>
    <row r="1072" spans="2:19" ht="15.75" customHeight="1" x14ac:dyDescent="0.2">
      <c r="B1072" s="62"/>
      <c r="C1072" s="208">
        <v>42569</v>
      </c>
      <c r="D1072" s="19">
        <v>0.40138888888888885</v>
      </c>
      <c r="E1072" s="3">
        <v>34</v>
      </c>
      <c r="F1072" s="190">
        <v>8.4700000000000006</v>
      </c>
      <c r="G1072" s="3">
        <v>68.400000000000006</v>
      </c>
      <c r="H1072" s="7">
        <v>6.2</v>
      </c>
      <c r="I1072" s="3"/>
      <c r="L1072" s="3"/>
      <c r="M1072" s="3"/>
      <c r="N1072" s="3"/>
      <c r="O1072" s="3"/>
      <c r="P1072" s="3"/>
      <c r="Q1072" s="3"/>
      <c r="R1072" s="3"/>
      <c r="S1072" s="3"/>
    </row>
    <row r="1073" spans="2:19" ht="15.75" customHeight="1" x14ac:dyDescent="0.2">
      <c r="B1073" s="62"/>
      <c r="C1073" s="208">
        <v>42569</v>
      </c>
      <c r="D1073" s="19">
        <v>0.40138888888888885</v>
      </c>
      <c r="E1073" s="3">
        <v>35</v>
      </c>
      <c r="F1073" s="190">
        <v>8.4600000000000009</v>
      </c>
      <c r="G1073" s="3">
        <v>68.3</v>
      </c>
      <c r="H1073" s="7">
        <v>6.2</v>
      </c>
      <c r="I1073" s="3"/>
      <c r="L1073" s="3"/>
      <c r="M1073" s="3"/>
      <c r="N1073" s="3"/>
      <c r="O1073" s="3"/>
      <c r="P1073" s="3"/>
      <c r="Q1073" s="3"/>
      <c r="R1073" s="3"/>
      <c r="S1073" s="3"/>
    </row>
    <row r="1074" spans="2:19" ht="15.75" customHeight="1" x14ac:dyDescent="0.2">
      <c r="B1074" s="62"/>
      <c r="C1074" s="208">
        <v>42569</v>
      </c>
      <c r="D1074" s="19">
        <v>0.40138888888888885</v>
      </c>
      <c r="E1074" s="3">
        <v>36</v>
      </c>
      <c r="F1074" s="190">
        <v>8.4499999999999993</v>
      </c>
      <c r="G1074" s="3">
        <v>68.2</v>
      </c>
      <c r="H1074" s="7">
        <v>6.2</v>
      </c>
      <c r="I1074" s="3"/>
      <c r="L1074" s="3"/>
      <c r="M1074" s="3"/>
      <c r="N1074" s="3"/>
      <c r="O1074" s="3"/>
      <c r="P1074" s="3"/>
      <c r="Q1074" s="3"/>
      <c r="R1074" s="3"/>
      <c r="S1074" s="3"/>
    </row>
    <row r="1075" spans="2:19" ht="15.75" customHeight="1" x14ac:dyDescent="0.2">
      <c r="B1075" s="62"/>
      <c r="C1075" s="208">
        <v>42569</v>
      </c>
      <c r="D1075" s="19">
        <v>0.40138888888888885</v>
      </c>
      <c r="E1075" s="3">
        <v>37</v>
      </c>
      <c r="F1075" s="190">
        <v>8.43</v>
      </c>
      <c r="G1075" s="3">
        <v>68.099999999999994</v>
      </c>
      <c r="H1075" s="7">
        <v>6.2</v>
      </c>
      <c r="I1075" s="3"/>
      <c r="L1075" s="3"/>
      <c r="M1075" s="3"/>
      <c r="N1075" s="3"/>
      <c r="O1075" s="3"/>
      <c r="P1075" s="3"/>
      <c r="Q1075" s="3"/>
      <c r="R1075" s="3"/>
      <c r="S1075" s="3"/>
    </row>
    <row r="1076" spans="2:19" ht="15.75" customHeight="1" x14ac:dyDescent="0.2">
      <c r="B1076" s="62"/>
      <c r="C1076" s="208">
        <v>42569</v>
      </c>
      <c r="D1076" s="19">
        <v>0.40138888888888885</v>
      </c>
      <c r="E1076" s="3">
        <v>38</v>
      </c>
      <c r="F1076" s="190">
        <v>8.41</v>
      </c>
      <c r="G1076" s="3">
        <v>67.900000000000006</v>
      </c>
      <c r="H1076" s="7">
        <v>6.2</v>
      </c>
      <c r="I1076" s="3"/>
      <c r="L1076" s="3"/>
      <c r="M1076" s="3"/>
      <c r="N1076" s="3"/>
      <c r="O1076" s="3"/>
      <c r="P1076" s="3"/>
      <c r="Q1076" s="3"/>
      <c r="R1076" s="3"/>
      <c r="S1076" s="3"/>
    </row>
    <row r="1077" spans="2:19" ht="15.75" customHeight="1" x14ac:dyDescent="0.2">
      <c r="B1077" s="62"/>
      <c r="C1077" s="208">
        <v>42569</v>
      </c>
      <c r="D1077" s="19">
        <v>0.40138888888888885</v>
      </c>
      <c r="E1077" s="3">
        <v>39</v>
      </c>
      <c r="F1077" s="190">
        <v>8.3800000000000008</v>
      </c>
      <c r="G1077" s="3">
        <v>67.7</v>
      </c>
      <c r="H1077" s="7">
        <v>6.2</v>
      </c>
      <c r="I1077" s="3"/>
      <c r="L1077" s="3"/>
      <c r="M1077" s="3"/>
      <c r="N1077" s="3"/>
      <c r="O1077" s="3"/>
      <c r="P1077" s="3"/>
      <c r="Q1077" s="3"/>
      <c r="R1077" s="3"/>
      <c r="S1077" s="3"/>
    </row>
    <row r="1078" spans="2:19" ht="15.75" customHeight="1" x14ac:dyDescent="0.2">
      <c r="B1078" s="62"/>
      <c r="C1078" s="208">
        <v>42569</v>
      </c>
      <c r="D1078" s="19">
        <v>0.40138888888888885</v>
      </c>
      <c r="E1078" s="3">
        <v>40</v>
      </c>
      <c r="F1078" s="190">
        <v>8.3699999999999992</v>
      </c>
      <c r="G1078" s="3">
        <v>67.400000000000006</v>
      </c>
      <c r="H1078" s="7">
        <v>6.1</v>
      </c>
      <c r="I1078" s="3"/>
      <c r="L1078" s="3"/>
      <c r="M1078" s="3"/>
      <c r="N1078" s="3"/>
      <c r="O1078" s="3"/>
      <c r="P1078" s="3"/>
      <c r="Q1078" s="3"/>
      <c r="R1078" s="3"/>
      <c r="S1078" s="3"/>
    </row>
    <row r="1079" spans="2:19" ht="15.75" customHeight="1" x14ac:dyDescent="0.2">
      <c r="B1079" s="62"/>
      <c r="C1079" s="208">
        <v>42569</v>
      </c>
      <c r="D1079" s="19">
        <v>0.40138888888888885</v>
      </c>
      <c r="E1079" s="3">
        <v>41</v>
      </c>
      <c r="F1079" s="190">
        <v>8.3800000000000008</v>
      </c>
      <c r="G1079" s="3">
        <v>67.5</v>
      </c>
      <c r="H1079" s="7">
        <v>6.1</v>
      </c>
      <c r="I1079" s="3"/>
      <c r="L1079" s="3"/>
      <c r="M1079" s="3"/>
      <c r="N1079" s="3"/>
      <c r="O1079" s="3"/>
      <c r="P1079" s="3"/>
      <c r="Q1079" s="3"/>
      <c r="R1079" s="3"/>
      <c r="S1079" s="3"/>
    </row>
    <row r="1080" spans="2:19" ht="15.75" customHeight="1" x14ac:dyDescent="0.2">
      <c r="B1080" s="62"/>
      <c r="C1080" s="208">
        <v>42569</v>
      </c>
      <c r="D1080" s="19">
        <v>0.40138888888888885</v>
      </c>
      <c r="E1080" s="3">
        <v>42</v>
      </c>
      <c r="F1080" s="190">
        <v>8.39</v>
      </c>
      <c r="G1080" s="3">
        <v>67.599999999999994</v>
      </c>
      <c r="H1080" s="7">
        <v>6.1</v>
      </c>
      <c r="I1080" s="3"/>
      <c r="L1080" s="3"/>
      <c r="M1080" s="3"/>
      <c r="N1080" s="3"/>
      <c r="O1080" s="3"/>
      <c r="P1080" s="3"/>
      <c r="Q1080" s="3"/>
      <c r="R1080" s="3"/>
      <c r="S1080" s="3"/>
    </row>
    <row r="1081" spans="2:19" ht="15.75" customHeight="1" x14ac:dyDescent="0.2">
      <c r="B1081" s="62"/>
      <c r="C1081" s="208">
        <v>42569</v>
      </c>
      <c r="D1081" s="19">
        <v>0.40138888888888885</v>
      </c>
      <c r="E1081" s="3">
        <v>43</v>
      </c>
      <c r="F1081" s="190">
        <v>8.3800000000000008</v>
      </c>
      <c r="G1081" s="3">
        <v>67.400000000000006</v>
      </c>
      <c r="H1081" s="7">
        <v>6.1</v>
      </c>
      <c r="I1081" s="3"/>
      <c r="L1081" s="3"/>
      <c r="M1081" s="3"/>
      <c r="N1081" s="3"/>
      <c r="O1081" s="3"/>
      <c r="P1081" s="3"/>
      <c r="Q1081" s="3"/>
      <c r="R1081" s="3"/>
      <c r="S1081" s="3"/>
    </row>
    <row r="1082" spans="2:19" ht="15.75" customHeight="1" x14ac:dyDescent="0.2">
      <c r="B1082" s="62"/>
      <c r="C1082" s="208">
        <v>42569</v>
      </c>
      <c r="D1082" s="19">
        <v>0.40138888888888885</v>
      </c>
      <c r="E1082" s="3">
        <v>44</v>
      </c>
      <c r="F1082" s="190">
        <v>8.32</v>
      </c>
      <c r="G1082" s="3">
        <v>66.900000000000006</v>
      </c>
      <c r="H1082" s="7">
        <v>6.1</v>
      </c>
      <c r="I1082" s="3"/>
      <c r="L1082" s="3"/>
      <c r="M1082" s="3"/>
      <c r="N1082" s="3"/>
      <c r="O1082" s="3"/>
      <c r="P1082" s="3"/>
      <c r="Q1082" s="3"/>
      <c r="R1082" s="3"/>
      <c r="S1082" s="3"/>
    </row>
    <row r="1083" spans="2:19" ht="15.75" customHeight="1" x14ac:dyDescent="0.2">
      <c r="B1083" s="62"/>
      <c r="C1083" s="208">
        <v>42569</v>
      </c>
      <c r="D1083" s="19">
        <v>0.40138888888888885</v>
      </c>
      <c r="E1083" s="3">
        <v>45</v>
      </c>
      <c r="F1083" s="190">
        <v>8.2799999999999994</v>
      </c>
      <c r="G1083" s="3">
        <v>66.5</v>
      </c>
      <c r="H1083" s="7">
        <v>6.1</v>
      </c>
      <c r="I1083" s="3"/>
      <c r="L1083" s="3"/>
      <c r="M1083" s="3"/>
      <c r="N1083" s="3"/>
      <c r="O1083" s="3"/>
      <c r="P1083" s="3"/>
      <c r="Q1083" s="3"/>
      <c r="R1083" s="3"/>
      <c r="S1083" s="3"/>
    </row>
    <row r="1084" spans="2:19" ht="15.75" customHeight="1" x14ac:dyDescent="0.2">
      <c r="B1084" s="62"/>
      <c r="C1084" s="208">
        <v>42569</v>
      </c>
      <c r="D1084" s="19">
        <v>0.40138888888888885</v>
      </c>
      <c r="E1084" s="3">
        <v>46</v>
      </c>
      <c r="F1084" s="190">
        <v>8.1999999999999993</v>
      </c>
      <c r="G1084" s="3">
        <v>65.599999999999994</v>
      </c>
      <c r="H1084" s="7">
        <v>6</v>
      </c>
      <c r="I1084" s="3"/>
      <c r="L1084" s="3"/>
      <c r="M1084" s="3"/>
      <c r="N1084" s="3"/>
      <c r="O1084" s="3"/>
      <c r="P1084" s="3"/>
      <c r="Q1084" s="3"/>
      <c r="R1084" s="3"/>
      <c r="S1084" s="3"/>
    </row>
    <row r="1085" spans="2:19" ht="15.75" customHeight="1" x14ac:dyDescent="0.2">
      <c r="B1085" s="62"/>
      <c r="C1085" s="208"/>
      <c r="D1085" s="19"/>
      <c r="G1085" s="3"/>
      <c r="H1085" s="7"/>
      <c r="I1085" s="3"/>
      <c r="L1085" s="3"/>
      <c r="M1085" s="3"/>
      <c r="N1085" s="3"/>
      <c r="O1085" s="3"/>
      <c r="P1085" s="3"/>
      <c r="Q1085" s="3"/>
      <c r="R1085" s="3"/>
      <c r="S1085" s="3"/>
    </row>
    <row r="1086" spans="2:19" ht="15.75" customHeight="1" x14ac:dyDescent="0.2">
      <c r="B1086" s="62"/>
      <c r="C1086" s="208">
        <v>42597</v>
      </c>
      <c r="D1086" s="19">
        <v>0.375</v>
      </c>
      <c r="G1086" s="3"/>
      <c r="H1086" s="7"/>
      <c r="I1086" s="3"/>
      <c r="J1086">
        <v>13</v>
      </c>
      <c r="K1086">
        <v>15.5</v>
      </c>
      <c r="L1086" s="3"/>
      <c r="M1086" s="3"/>
      <c r="N1086" s="3"/>
      <c r="O1086" s="3"/>
      <c r="P1086" s="3"/>
      <c r="Q1086" s="3"/>
      <c r="R1086" s="3"/>
      <c r="S1086" s="3"/>
    </row>
    <row r="1087" spans="2:19" ht="15.75" customHeight="1" x14ac:dyDescent="0.2">
      <c r="B1087" s="62"/>
      <c r="C1087" s="208">
        <v>42597</v>
      </c>
      <c r="D1087" s="19">
        <v>0.3888888888888889</v>
      </c>
      <c r="E1087" s="3">
        <v>0.1</v>
      </c>
      <c r="F1087" s="190">
        <v>7.48</v>
      </c>
      <c r="G1087" s="3">
        <v>85.1</v>
      </c>
      <c r="H1087" s="7">
        <v>21.7</v>
      </c>
      <c r="I1087" s="7">
        <v>21.7</v>
      </c>
      <c r="J1087" s="7"/>
      <c r="L1087" s="3"/>
      <c r="M1087" s="3"/>
      <c r="N1087" s="3"/>
      <c r="O1087" s="3"/>
      <c r="P1087" s="3"/>
      <c r="Q1087" s="3"/>
      <c r="R1087" s="3"/>
      <c r="S1087" s="3"/>
    </row>
    <row r="1088" spans="2:19" ht="15.75" customHeight="1" x14ac:dyDescent="0.2">
      <c r="B1088" s="62"/>
      <c r="C1088" s="208">
        <v>42597</v>
      </c>
      <c r="D1088" s="19">
        <v>0.3888888888888889</v>
      </c>
      <c r="E1088" s="3">
        <v>1</v>
      </c>
      <c r="F1088" s="190">
        <v>7.5</v>
      </c>
      <c r="G1088" s="3">
        <v>85.2</v>
      </c>
      <c r="H1088" s="7">
        <v>21.6</v>
      </c>
      <c r="I1088" s="7">
        <v>21.6</v>
      </c>
      <c r="J1088" s="7"/>
      <c r="L1088" s="3"/>
      <c r="M1088" s="3"/>
      <c r="N1088" s="3"/>
      <c r="O1088" s="3"/>
      <c r="P1088" s="3"/>
      <c r="Q1088" s="3"/>
      <c r="R1088" s="3"/>
      <c r="S1088" s="3"/>
    </row>
    <row r="1089" spans="2:19" ht="15.75" customHeight="1" x14ac:dyDescent="0.2">
      <c r="B1089" s="62"/>
      <c r="C1089" s="208">
        <v>42597</v>
      </c>
      <c r="D1089" s="19">
        <v>0.3888888888888889</v>
      </c>
      <c r="E1089" s="3">
        <v>2</v>
      </c>
      <c r="F1089" s="190">
        <v>7.52</v>
      </c>
      <c r="G1089" s="3">
        <v>85.2</v>
      </c>
      <c r="H1089" s="7">
        <v>21.5</v>
      </c>
      <c r="I1089" s="7">
        <v>21.5</v>
      </c>
      <c r="J1089" s="7"/>
      <c r="L1089" s="3"/>
      <c r="M1089" s="3"/>
      <c r="N1089" s="3"/>
      <c r="O1089" s="3"/>
      <c r="P1089" s="3"/>
      <c r="Q1089" s="3"/>
      <c r="R1089" s="3"/>
      <c r="S1089" s="3"/>
    </row>
    <row r="1090" spans="2:19" ht="15.75" customHeight="1" x14ac:dyDescent="0.2">
      <c r="B1090" s="62"/>
      <c r="C1090" s="208">
        <v>42597</v>
      </c>
      <c r="D1090" s="19">
        <v>0.3888888888888889</v>
      </c>
      <c r="E1090" s="3">
        <v>3</v>
      </c>
      <c r="F1090" s="190">
        <v>7.51</v>
      </c>
      <c r="G1090" s="3">
        <v>85.1</v>
      </c>
      <c r="H1090" s="7">
        <v>21.5</v>
      </c>
      <c r="I1090" s="7">
        <v>21.5</v>
      </c>
      <c r="J1090" s="7"/>
      <c r="L1090" s="3"/>
      <c r="M1090" s="3"/>
      <c r="N1090" s="3"/>
      <c r="O1090" s="3"/>
      <c r="P1090" s="3"/>
      <c r="Q1090" s="3"/>
      <c r="R1090" s="3"/>
      <c r="S1090" s="3"/>
    </row>
    <row r="1091" spans="2:19" ht="15.75" customHeight="1" x14ac:dyDescent="0.2">
      <c r="B1091" s="62"/>
      <c r="C1091" s="208">
        <v>42597</v>
      </c>
      <c r="D1091" s="19">
        <v>0.3888888888888889</v>
      </c>
      <c r="E1091" s="3">
        <v>4</v>
      </c>
      <c r="F1091" s="190">
        <v>7.52</v>
      </c>
      <c r="G1091" s="3">
        <v>85</v>
      </c>
      <c r="H1091" s="7">
        <v>21.4</v>
      </c>
      <c r="I1091" s="7">
        <v>21.4</v>
      </c>
      <c r="J1091" s="7"/>
      <c r="L1091" s="3"/>
      <c r="M1091" s="3"/>
      <c r="N1091" s="3"/>
      <c r="O1091" s="3"/>
      <c r="P1091" s="3"/>
      <c r="Q1091" s="3"/>
      <c r="R1091" s="3"/>
      <c r="S1091" s="3"/>
    </row>
    <row r="1092" spans="2:19" ht="15.75" customHeight="1" x14ac:dyDescent="0.2">
      <c r="B1092" s="62"/>
      <c r="C1092" s="208">
        <v>42597</v>
      </c>
      <c r="D1092" s="19">
        <v>0.3888888888888889</v>
      </c>
      <c r="E1092" s="3">
        <v>5</v>
      </c>
      <c r="F1092" s="190">
        <v>7.51</v>
      </c>
      <c r="G1092" s="3">
        <v>84.9</v>
      </c>
      <c r="H1092" s="7">
        <v>21.4</v>
      </c>
      <c r="I1092" s="7">
        <v>21.4</v>
      </c>
      <c r="J1092" s="7"/>
      <c r="L1092" s="3"/>
      <c r="M1092" s="3"/>
      <c r="N1092" s="3"/>
      <c r="O1092" s="3"/>
      <c r="P1092" s="3"/>
      <c r="Q1092" s="3"/>
      <c r="R1092" s="3"/>
      <c r="S1092" s="3"/>
    </row>
    <row r="1093" spans="2:19" ht="15.75" customHeight="1" x14ac:dyDescent="0.2">
      <c r="B1093" s="62"/>
      <c r="C1093" s="208">
        <v>42597</v>
      </c>
      <c r="D1093" s="19">
        <v>0.3888888888888889</v>
      </c>
      <c r="E1093" s="3">
        <v>6</v>
      </c>
      <c r="F1093" s="190">
        <v>7.51</v>
      </c>
      <c r="G1093" s="3">
        <v>84.7</v>
      </c>
      <c r="H1093" s="7">
        <v>21.3</v>
      </c>
      <c r="I1093" s="7">
        <v>21.3</v>
      </c>
      <c r="J1093" s="7"/>
      <c r="L1093" s="3"/>
      <c r="M1093" s="3"/>
      <c r="N1093" s="3"/>
      <c r="O1093" s="3"/>
      <c r="P1093" s="3"/>
      <c r="Q1093" s="3"/>
      <c r="R1093" s="3"/>
      <c r="S1093" s="3"/>
    </row>
    <row r="1094" spans="2:19" ht="15.75" customHeight="1" x14ac:dyDescent="0.2">
      <c r="B1094" s="62"/>
      <c r="C1094" s="208">
        <v>42597</v>
      </c>
      <c r="D1094" s="19">
        <v>0.3888888888888889</v>
      </c>
      <c r="E1094" s="3">
        <v>7</v>
      </c>
      <c r="F1094" s="190">
        <v>7.52</v>
      </c>
      <c r="G1094" s="3">
        <v>84.5</v>
      </c>
      <c r="H1094" s="7">
        <v>21.1</v>
      </c>
      <c r="I1094" s="7">
        <v>21.1</v>
      </c>
      <c r="J1094" s="7"/>
      <c r="L1094" s="3"/>
      <c r="M1094" s="3"/>
      <c r="N1094" s="3"/>
      <c r="O1094" s="3"/>
      <c r="P1094" s="3"/>
      <c r="Q1094" s="3"/>
      <c r="R1094" s="3"/>
      <c r="S1094" s="3"/>
    </row>
    <row r="1095" spans="2:19" ht="15.75" customHeight="1" x14ac:dyDescent="0.2">
      <c r="B1095" s="62"/>
      <c r="C1095" s="208">
        <v>42597</v>
      </c>
      <c r="D1095" s="19">
        <v>0.3888888888888889</v>
      </c>
      <c r="E1095" s="3">
        <v>8</v>
      </c>
      <c r="F1095" s="190">
        <v>7.52</v>
      </c>
      <c r="G1095" s="3">
        <v>84.3</v>
      </c>
      <c r="H1095" s="7">
        <v>21</v>
      </c>
      <c r="I1095" s="7">
        <v>21</v>
      </c>
      <c r="J1095" s="7"/>
      <c r="L1095" s="3"/>
      <c r="M1095" s="3"/>
      <c r="N1095" s="3"/>
      <c r="O1095" s="3"/>
      <c r="P1095" s="3"/>
      <c r="Q1095" s="3"/>
      <c r="R1095" s="3"/>
      <c r="S1095" s="3"/>
    </row>
    <row r="1096" spans="2:19" ht="15.75" customHeight="1" x14ac:dyDescent="0.2">
      <c r="B1096" s="62"/>
      <c r="C1096" s="208">
        <v>42597</v>
      </c>
      <c r="D1096" s="19">
        <v>0.3888888888888889</v>
      </c>
      <c r="E1096" s="3">
        <v>9</v>
      </c>
      <c r="F1096" s="190">
        <v>7.53</v>
      </c>
      <c r="G1096" s="3">
        <v>84.2</v>
      </c>
      <c r="H1096" s="7">
        <v>20.9</v>
      </c>
      <c r="I1096" s="7">
        <v>20.9</v>
      </c>
      <c r="J1096" s="7"/>
      <c r="L1096" s="3"/>
      <c r="M1096" s="3"/>
      <c r="N1096" s="3"/>
      <c r="O1096" s="3"/>
      <c r="P1096" s="3"/>
      <c r="Q1096" s="3"/>
      <c r="R1096" s="3"/>
      <c r="S1096" s="3"/>
    </row>
    <row r="1097" spans="2:19" ht="15.75" customHeight="1" x14ac:dyDescent="0.2">
      <c r="B1097" s="62"/>
      <c r="C1097" s="208">
        <v>42597</v>
      </c>
      <c r="D1097" s="19">
        <v>0.3888888888888889</v>
      </c>
      <c r="E1097" s="3">
        <v>10</v>
      </c>
      <c r="F1097" s="190">
        <v>8.34</v>
      </c>
      <c r="G1097" s="3">
        <v>88.5</v>
      </c>
      <c r="H1097" s="7">
        <v>18.2</v>
      </c>
      <c r="I1097" s="17">
        <f>AVERAGE(I1087:I1096)</f>
        <v>21.34</v>
      </c>
      <c r="J1097" s="17"/>
      <c r="L1097" s="3"/>
      <c r="M1097" s="3"/>
      <c r="N1097" s="3"/>
      <c r="O1097" s="3"/>
      <c r="P1097" s="3"/>
      <c r="Q1097" s="3"/>
      <c r="R1097" s="3"/>
      <c r="S1097" s="3"/>
    </row>
    <row r="1098" spans="2:19" ht="15.75" customHeight="1" x14ac:dyDescent="0.2">
      <c r="B1098" s="62"/>
      <c r="C1098" s="208">
        <v>42597</v>
      </c>
      <c r="D1098" s="19">
        <v>0.3888888888888889</v>
      </c>
      <c r="E1098" s="3">
        <v>11</v>
      </c>
      <c r="F1098" s="190">
        <v>8.65</v>
      </c>
      <c r="G1098" s="3">
        <v>88.9</v>
      </c>
      <c r="H1098" s="7">
        <v>16.7</v>
      </c>
      <c r="I1098" s="3"/>
      <c r="L1098" s="3"/>
      <c r="M1098" s="3"/>
      <c r="N1098" s="3"/>
      <c r="O1098" s="3"/>
      <c r="P1098" s="3"/>
      <c r="Q1098" s="3"/>
      <c r="R1098" s="3"/>
      <c r="S1098" s="3"/>
    </row>
    <row r="1099" spans="2:19" ht="15.75" customHeight="1" x14ac:dyDescent="0.2">
      <c r="B1099" s="62"/>
      <c r="C1099" s="208">
        <v>42597</v>
      </c>
      <c r="D1099" s="19">
        <v>0.3888888888888889</v>
      </c>
      <c r="E1099" s="3">
        <v>12</v>
      </c>
      <c r="F1099" s="190">
        <v>8.5299999999999994</v>
      </c>
      <c r="G1099" s="3">
        <v>84.6</v>
      </c>
      <c r="H1099" s="7">
        <v>15.1</v>
      </c>
      <c r="I1099" s="3"/>
      <c r="L1099" s="3"/>
      <c r="M1099" s="3"/>
      <c r="N1099" s="3"/>
      <c r="O1099" s="3"/>
      <c r="P1099" s="3"/>
      <c r="Q1099" s="3"/>
      <c r="R1099" s="3"/>
      <c r="S1099" s="3"/>
    </row>
    <row r="1100" spans="2:19" ht="15.75" customHeight="1" x14ac:dyDescent="0.2">
      <c r="B1100" s="62"/>
      <c r="C1100" s="208">
        <v>42597</v>
      </c>
      <c r="D1100" s="19">
        <v>0.3888888888888889</v>
      </c>
      <c r="E1100" s="3">
        <v>13</v>
      </c>
      <c r="F1100" s="190">
        <v>8.5399999999999991</v>
      </c>
      <c r="G1100" s="3">
        <v>82.7</v>
      </c>
      <c r="H1100" s="7">
        <v>14</v>
      </c>
      <c r="I1100" s="3"/>
      <c r="L1100" s="3"/>
      <c r="M1100" s="3"/>
      <c r="N1100" s="3"/>
      <c r="O1100" s="3"/>
      <c r="P1100" s="3"/>
      <c r="Q1100" s="3"/>
      <c r="R1100" s="3"/>
      <c r="S1100" s="3"/>
    </row>
    <row r="1101" spans="2:19" ht="15.75" customHeight="1" x14ac:dyDescent="0.2">
      <c r="B1101" s="62"/>
      <c r="C1101" s="208">
        <v>42597</v>
      </c>
      <c r="D1101" s="19">
        <v>0.3888888888888889</v>
      </c>
      <c r="E1101" s="3">
        <v>14</v>
      </c>
      <c r="F1101" s="190">
        <v>8.67</v>
      </c>
      <c r="G1101" s="3">
        <v>81.599999999999994</v>
      </c>
      <c r="H1101" s="7">
        <v>12.6</v>
      </c>
      <c r="I1101" s="3"/>
      <c r="L1101" s="3"/>
      <c r="M1101" s="3"/>
      <c r="N1101" s="3"/>
      <c r="O1101" s="3"/>
      <c r="P1101" s="3"/>
      <c r="Q1101" s="3"/>
      <c r="R1101" s="3"/>
      <c r="S1101" s="3"/>
    </row>
    <row r="1102" spans="2:19" ht="15.75" customHeight="1" x14ac:dyDescent="0.2">
      <c r="B1102" s="62"/>
      <c r="C1102" s="208">
        <v>42597</v>
      </c>
      <c r="D1102" s="19">
        <v>0.3888888888888889</v>
      </c>
      <c r="E1102" s="3">
        <v>15</v>
      </c>
      <c r="F1102" s="190">
        <v>8.75</v>
      </c>
      <c r="G1102" s="3">
        <v>79.099999999999994</v>
      </c>
      <c r="H1102" s="7">
        <v>10.9</v>
      </c>
      <c r="I1102" s="3"/>
      <c r="L1102" s="3"/>
      <c r="M1102" s="3"/>
      <c r="N1102" s="3"/>
      <c r="O1102" s="3"/>
      <c r="P1102" s="3"/>
      <c r="Q1102" s="3"/>
      <c r="R1102" s="3"/>
      <c r="S1102" s="3"/>
    </row>
    <row r="1103" spans="2:19" ht="15.75" customHeight="1" x14ac:dyDescent="0.2">
      <c r="B1103" s="62"/>
      <c r="C1103" s="208">
        <v>42597</v>
      </c>
      <c r="D1103" s="19">
        <v>0.3888888888888889</v>
      </c>
      <c r="E1103" s="3">
        <v>16</v>
      </c>
      <c r="F1103" s="190">
        <v>8.74</v>
      </c>
      <c r="G1103" s="3">
        <v>77.7</v>
      </c>
      <c r="H1103" s="7">
        <v>10.199999999999999</v>
      </c>
      <c r="I1103" s="3"/>
      <c r="L1103" s="3"/>
      <c r="M1103" s="3"/>
      <c r="N1103" s="3"/>
      <c r="O1103" s="3"/>
      <c r="P1103" s="3"/>
      <c r="Q1103" s="3"/>
      <c r="R1103" s="3"/>
      <c r="S1103" s="3"/>
    </row>
    <row r="1104" spans="2:19" ht="15.75" customHeight="1" x14ac:dyDescent="0.2">
      <c r="B1104" s="62"/>
      <c r="C1104" s="208">
        <v>42597</v>
      </c>
      <c r="D1104" s="19">
        <v>0.3888888888888889</v>
      </c>
      <c r="E1104" s="3">
        <v>17</v>
      </c>
      <c r="F1104" s="190">
        <v>8.73</v>
      </c>
      <c r="G1104" s="3">
        <v>76.599999999999994</v>
      </c>
      <c r="H1104" s="7">
        <v>9.6999999999999993</v>
      </c>
      <c r="I1104" s="3"/>
      <c r="L1104" s="3"/>
      <c r="M1104" s="3"/>
      <c r="N1104" s="3"/>
      <c r="O1104" s="3"/>
      <c r="P1104" s="3"/>
      <c r="Q1104" s="3"/>
      <c r="R1104" s="3"/>
      <c r="S1104" s="3"/>
    </row>
    <row r="1105" spans="2:19" ht="15.75" customHeight="1" x14ac:dyDescent="0.2">
      <c r="B1105" s="62"/>
      <c r="C1105" s="208">
        <v>42597</v>
      </c>
      <c r="D1105" s="19">
        <v>0.3888888888888889</v>
      </c>
      <c r="E1105" s="3">
        <v>18</v>
      </c>
      <c r="F1105" s="190">
        <v>8.66</v>
      </c>
      <c r="G1105" s="3">
        <v>74.900000000000006</v>
      </c>
      <c r="H1105" s="7">
        <v>9</v>
      </c>
      <c r="I1105" s="3"/>
      <c r="L1105" s="3"/>
      <c r="M1105" s="3"/>
      <c r="N1105" s="3"/>
      <c r="O1105" s="3"/>
      <c r="P1105" s="3"/>
      <c r="Q1105" s="3"/>
      <c r="R1105" s="3"/>
      <c r="S1105" s="3"/>
    </row>
    <row r="1106" spans="2:19" ht="15.75" customHeight="1" x14ac:dyDescent="0.2">
      <c r="B1106" s="62"/>
      <c r="C1106" s="208">
        <v>42597</v>
      </c>
      <c r="D1106" s="19">
        <v>0.3888888888888889</v>
      </c>
      <c r="E1106" s="3">
        <v>19</v>
      </c>
      <c r="F1106" s="190">
        <v>8.6300000000000008</v>
      </c>
      <c r="G1106" s="3">
        <v>73.599999999999994</v>
      </c>
      <c r="H1106" s="7">
        <v>8.5</v>
      </c>
      <c r="I1106" s="3"/>
      <c r="L1106" s="3"/>
      <c r="M1106" s="3"/>
      <c r="N1106" s="3"/>
      <c r="O1106" s="3"/>
      <c r="P1106" s="3"/>
      <c r="Q1106" s="3"/>
      <c r="R1106" s="3"/>
      <c r="S1106" s="3"/>
    </row>
    <row r="1107" spans="2:19" ht="15.75" customHeight="1" x14ac:dyDescent="0.2">
      <c r="B1107" s="62"/>
      <c r="C1107" s="208">
        <v>42597</v>
      </c>
      <c r="D1107" s="19">
        <v>0.3888888888888889</v>
      </c>
      <c r="E1107" s="3">
        <v>20</v>
      </c>
      <c r="F1107" s="190">
        <v>8.5500000000000007</v>
      </c>
      <c r="G1107" s="3">
        <v>72</v>
      </c>
      <c r="H1107" s="7">
        <v>7.9</v>
      </c>
      <c r="I1107" s="3"/>
      <c r="L1107" s="3"/>
      <c r="M1107" s="3"/>
      <c r="N1107" s="3"/>
      <c r="O1107" s="3"/>
      <c r="P1107" s="3"/>
      <c r="Q1107" s="3"/>
      <c r="R1107" s="3"/>
      <c r="S1107" s="3"/>
    </row>
    <row r="1108" spans="2:19" ht="15.75" customHeight="1" x14ac:dyDescent="0.2">
      <c r="B1108" s="62"/>
      <c r="C1108" s="208">
        <v>42597</v>
      </c>
      <c r="D1108" s="19">
        <v>0.3888888888888889</v>
      </c>
      <c r="E1108" s="3">
        <v>21</v>
      </c>
      <c r="F1108" s="190">
        <v>8.42</v>
      </c>
      <c r="G1108" s="3">
        <v>70.400000000000006</v>
      </c>
      <c r="H1108" s="7">
        <v>7.6</v>
      </c>
      <c r="I1108" s="3"/>
      <c r="L1108" s="3"/>
      <c r="M1108" s="3"/>
      <c r="N1108" s="3"/>
      <c r="O1108" s="3"/>
      <c r="P1108" s="3"/>
      <c r="Q1108" s="3"/>
      <c r="R1108" s="3"/>
      <c r="S1108" s="3"/>
    </row>
    <row r="1109" spans="2:19" ht="15.75" customHeight="1" x14ac:dyDescent="0.2">
      <c r="B1109" s="62"/>
      <c r="C1109" s="208">
        <v>42597</v>
      </c>
      <c r="D1109" s="19">
        <v>0.3888888888888889</v>
      </c>
      <c r="E1109" s="3">
        <v>22</v>
      </c>
      <c r="F1109" s="190">
        <v>8.39</v>
      </c>
      <c r="G1109" s="3">
        <v>69.8</v>
      </c>
      <c r="H1109" s="7">
        <v>7.4</v>
      </c>
      <c r="I1109" s="3"/>
      <c r="L1109" s="3"/>
      <c r="M1109" s="3"/>
      <c r="N1109" s="3"/>
      <c r="O1109" s="3"/>
      <c r="P1109" s="3"/>
      <c r="Q1109" s="3"/>
      <c r="R1109" s="3"/>
      <c r="S1109" s="3"/>
    </row>
    <row r="1110" spans="2:19" ht="15.75" customHeight="1" x14ac:dyDescent="0.2">
      <c r="B1110" s="62"/>
      <c r="C1110" s="208">
        <v>42597</v>
      </c>
      <c r="D1110" s="19">
        <v>0.3888888888888889</v>
      </c>
      <c r="E1110" s="3">
        <v>23</v>
      </c>
      <c r="F1110" s="190">
        <v>8.3800000000000008</v>
      </c>
      <c r="G1110" s="3">
        <v>69.400000000000006</v>
      </c>
      <c r="H1110" s="7">
        <v>7.2</v>
      </c>
      <c r="I1110" s="3"/>
      <c r="L1110" s="3"/>
      <c r="M1110" s="3"/>
      <c r="N1110" s="3"/>
      <c r="O1110" s="3"/>
      <c r="P1110" s="3"/>
      <c r="Q1110" s="3"/>
      <c r="R1110" s="3"/>
      <c r="S1110" s="3"/>
    </row>
    <row r="1111" spans="2:19" ht="15.75" customHeight="1" x14ac:dyDescent="0.2">
      <c r="B1111" s="62"/>
      <c r="C1111" s="208">
        <v>42597</v>
      </c>
      <c r="D1111" s="19">
        <v>0.3888888888888889</v>
      </c>
      <c r="E1111" s="3">
        <v>24</v>
      </c>
      <c r="F1111" s="190">
        <v>8.36</v>
      </c>
      <c r="G1111" s="3">
        <v>69</v>
      </c>
      <c r="H1111" s="7">
        <v>7.1</v>
      </c>
      <c r="I1111" s="3"/>
      <c r="L1111" s="3"/>
      <c r="M1111" s="3"/>
      <c r="N1111" s="3"/>
      <c r="O1111" s="3"/>
      <c r="P1111" s="3"/>
      <c r="Q1111" s="3"/>
      <c r="R1111" s="3"/>
      <c r="S1111" s="3"/>
    </row>
    <row r="1112" spans="2:19" ht="15.75" customHeight="1" x14ac:dyDescent="0.2">
      <c r="B1112" s="62"/>
      <c r="C1112" s="208">
        <v>42597</v>
      </c>
      <c r="D1112" s="19">
        <v>0.3888888888888889</v>
      </c>
      <c r="E1112" s="3">
        <v>25</v>
      </c>
      <c r="F1112" s="190">
        <v>8.3800000000000008</v>
      </c>
      <c r="G1112" s="3">
        <v>68.900000000000006</v>
      </c>
      <c r="H1112" s="7">
        <v>6.9</v>
      </c>
      <c r="I1112" s="3"/>
      <c r="L1112" s="3"/>
      <c r="M1112" s="3"/>
      <c r="N1112" s="3"/>
      <c r="O1112" s="3"/>
      <c r="P1112" s="3"/>
      <c r="Q1112" s="3"/>
      <c r="R1112" s="3"/>
      <c r="S1112" s="3"/>
    </row>
    <row r="1113" spans="2:19" ht="15.75" customHeight="1" x14ac:dyDescent="0.2">
      <c r="B1113" s="62"/>
      <c r="C1113" s="208">
        <v>42597</v>
      </c>
      <c r="D1113" s="19">
        <v>0.3888888888888889</v>
      </c>
      <c r="E1113" s="3">
        <v>26</v>
      </c>
      <c r="F1113" s="190">
        <v>8.3800000000000008</v>
      </c>
      <c r="G1113" s="3">
        <v>68.7</v>
      </c>
      <c r="H1113" s="7">
        <v>6.8</v>
      </c>
      <c r="I1113" s="3"/>
      <c r="L1113" s="3"/>
      <c r="M1113" s="3"/>
      <c r="N1113" s="3"/>
      <c r="O1113" s="3"/>
      <c r="P1113" s="3"/>
      <c r="Q1113" s="3"/>
      <c r="R1113" s="3"/>
      <c r="S1113" s="3"/>
    </row>
    <row r="1114" spans="2:19" ht="15.75" customHeight="1" x14ac:dyDescent="0.2">
      <c r="B1114" s="62"/>
      <c r="C1114" s="208">
        <v>42597</v>
      </c>
      <c r="D1114" s="19">
        <v>0.3888888888888889</v>
      </c>
      <c r="E1114" s="3">
        <v>27</v>
      </c>
      <c r="F1114" s="190">
        <v>8.39</v>
      </c>
      <c r="G1114" s="3">
        <v>68.599999999999994</v>
      </c>
      <c r="H1114" s="7">
        <v>6.7</v>
      </c>
      <c r="I1114" s="3"/>
      <c r="L1114" s="3"/>
      <c r="M1114" s="3"/>
      <c r="N1114" s="3"/>
      <c r="O1114" s="3"/>
      <c r="P1114" s="3"/>
      <c r="Q1114" s="3"/>
      <c r="R1114" s="3"/>
      <c r="S1114" s="3"/>
    </row>
    <row r="1115" spans="2:19" ht="15.75" customHeight="1" x14ac:dyDescent="0.2">
      <c r="B1115" s="62"/>
      <c r="C1115" s="208">
        <v>42597</v>
      </c>
      <c r="D1115" s="19">
        <v>0.3888888888888889</v>
      </c>
      <c r="E1115" s="3">
        <v>28</v>
      </c>
      <c r="F1115" s="190">
        <v>8.3800000000000008</v>
      </c>
      <c r="G1115" s="3">
        <v>68.400000000000006</v>
      </c>
      <c r="H1115" s="7">
        <v>6.7</v>
      </c>
      <c r="I1115" s="3"/>
      <c r="L1115" s="3"/>
      <c r="M1115" s="3"/>
      <c r="N1115" s="3"/>
      <c r="O1115" s="3"/>
      <c r="P1115" s="3"/>
      <c r="Q1115" s="3"/>
      <c r="R1115" s="3"/>
      <c r="S1115" s="3"/>
    </row>
    <row r="1116" spans="2:19" ht="15.75" customHeight="1" x14ac:dyDescent="0.2">
      <c r="B1116" s="62"/>
      <c r="C1116" s="208">
        <v>42597</v>
      </c>
      <c r="D1116" s="19">
        <v>0.3888888888888889</v>
      </c>
      <c r="E1116" s="3">
        <v>29</v>
      </c>
      <c r="F1116" s="190">
        <v>8.36</v>
      </c>
      <c r="G1116" s="3">
        <v>68.2</v>
      </c>
      <c r="H1116" s="7">
        <v>6.6</v>
      </c>
      <c r="I1116" s="3"/>
      <c r="L1116" s="3"/>
      <c r="M1116" s="3"/>
      <c r="N1116" s="3"/>
      <c r="O1116" s="3"/>
      <c r="P1116" s="3"/>
      <c r="Q1116" s="3"/>
      <c r="R1116" s="3"/>
      <c r="S1116" s="3"/>
    </row>
    <row r="1117" spans="2:19" ht="15.75" customHeight="1" x14ac:dyDescent="0.2">
      <c r="B1117" s="62"/>
      <c r="C1117" s="208">
        <v>42597</v>
      </c>
      <c r="D1117" s="19">
        <v>0.3888888888888889</v>
      </c>
      <c r="E1117" s="3">
        <v>30</v>
      </c>
      <c r="F1117" s="190">
        <v>8.36</v>
      </c>
      <c r="G1117" s="3">
        <v>68</v>
      </c>
      <c r="H1117" s="7">
        <v>6.5</v>
      </c>
      <c r="I1117" s="3"/>
      <c r="L1117" s="3"/>
      <c r="M1117" s="3"/>
      <c r="N1117" s="3"/>
      <c r="O1117" s="3"/>
      <c r="P1117" s="3"/>
      <c r="Q1117" s="3"/>
      <c r="R1117" s="3"/>
      <c r="S1117" s="3"/>
    </row>
    <row r="1118" spans="2:19" ht="15.75" customHeight="1" x14ac:dyDescent="0.2">
      <c r="B1118" s="62"/>
      <c r="C1118" s="208">
        <v>42597</v>
      </c>
      <c r="D1118" s="19">
        <v>0.3888888888888889</v>
      </c>
      <c r="E1118" s="3">
        <v>32</v>
      </c>
      <c r="F1118" s="190">
        <v>8.31</v>
      </c>
      <c r="G1118" s="3">
        <v>67.400000000000006</v>
      </c>
      <c r="H1118" s="7">
        <v>6.4</v>
      </c>
      <c r="I1118" s="3"/>
      <c r="L1118" s="3"/>
      <c r="M1118" s="3"/>
      <c r="N1118" s="3"/>
      <c r="O1118" s="3"/>
      <c r="P1118" s="3"/>
      <c r="Q1118" s="3"/>
      <c r="R1118" s="3"/>
      <c r="S1118" s="3"/>
    </row>
    <row r="1119" spans="2:19" ht="15.75" customHeight="1" x14ac:dyDescent="0.2">
      <c r="B1119" s="62"/>
      <c r="C1119" s="208">
        <v>42597</v>
      </c>
      <c r="D1119" s="19">
        <v>0.3888888888888889</v>
      </c>
      <c r="E1119" s="3">
        <v>34</v>
      </c>
      <c r="F1119" s="190">
        <v>8.2799999999999994</v>
      </c>
      <c r="G1119" s="3">
        <v>67.099999999999994</v>
      </c>
      <c r="H1119" s="7">
        <v>6.4</v>
      </c>
      <c r="I1119" s="3"/>
      <c r="L1119" s="3"/>
      <c r="M1119" s="3"/>
      <c r="N1119" s="3"/>
      <c r="O1119" s="3"/>
      <c r="P1119" s="3"/>
      <c r="Q1119" s="3"/>
      <c r="R1119" s="3"/>
      <c r="S1119" s="3"/>
    </row>
    <row r="1120" spans="2:19" ht="15.75" customHeight="1" x14ac:dyDescent="0.2">
      <c r="B1120" s="62"/>
      <c r="C1120" s="208">
        <v>42597</v>
      </c>
      <c r="D1120" s="19">
        <v>0.3888888888888889</v>
      </c>
      <c r="E1120" s="3">
        <v>36</v>
      </c>
      <c r="F1120" s="190">
        <v>8.26</v>
      </c>
      <c r="G1120" s="3">
        <v>66.8</v>
      </c>
      <c r="H1120" s="7">
        <v>6.3</v>
      </c>
      <c r="I1120" s="3"/>
      <c r="L1120" s="3"/>
      <c r="M1120" s="3"/>
      <c r="N1120" s="3"/>
      <c r="O1120" s="3"/>
      <c r="P1120" s="3"/>
      <c r="Q1120" s="3"/>
      <c r="R1120" s="3"/>
      <c r="S1120" s="3"/>
    </row>
    <row r="1121" spans="2:19" ht="15.75" customHeight="1" x14ac:dyDescent="0.2">
      <c r="B1121" s="62"/>
      <c r="C1121" s="208">
        <v>42597</v>
      </c>
      <c r="D1121" s="19">
        <v>0.3888888888888889</v>
      </c>
      <c r="E1121" s="3">
        <v>38</v>
      </c>
      <c r="F1121" s="190">
        <v>8.19</v>
      </c>
      <c r="G1121" s="3">
        <v>66.2</v>
      </c>
      <c r="H1121" s="7">
        <v>6.3</v>
      </c>
      <c r="I1121" s="3"/>
      <c r="L1121" s="3"/>
      <c r="M1121" s="3"/>
      <c r="N1121" s="3"/>
      <c r="O1121" s="3"/>
      <c r="P1121" s="3"/>
      <c r="Q1121" s="3"/>
      <c r="R1121" s="3"/>
      <c r="S1121" s="3"/>
    </row>
    <row r="1122" spans="2:19" ht="15.75" customHeight="1" x14ac:dyDescent="0.2">
      <c r="B1122" s="62"/>
      <c r="C1122" s="208">
        <v>42597</v>
      </c>
      <c r="D1122" s="19">
        <v>0.3888888888888889</v>
      </c>
      <c r="E1122" s="3">
        <v>40</v>
      </c>
      <c r="F1122" s="190">
        <v>8.1</v>
      </c>
      <c r="G1122" s="3">
        <v>65.400000000000006</v>
      </c>
      <c r="H1122" s="7">
        <v>6.2</v>
      </c>
      <c r="I1122" s="3"/>
      <c r="L1122" s="3"/>
      <c r="M1122" s="3"/>
      <c r="N1122" s="3"/>
      <c r="O1122" s="3"/>
      <c r="P1122" s="3"/>
      <c r="Q1122" s="3"/>
      <c r="R1122" s="3"/>
      <c r="S1122" s="3"/>
    </row>
    <row r="1123" spans="2:19" ht="15.75" customHeight="1" x14ac:dyDescent="0.2">
      <c r="B1123" s="62"/>
      <c r="C1123" s="208">
        <v>42597</v>
      </c>
      <c r="D1123" s="19">
        <v>0.3888888888888889</v>
      </c>
      <c r="E1123" s="3">
        <v>42</v>
      </c>
      <c r="F1123" s="190">
        <v>7.9</v>
      </c>
      <c r="G1123" s="3">
        <v>64.3</v>
      </c>
      <c r="H1123" s="7">
        <v>6.2</v>
      </c>
      <c r="I1123" s="3"/>
      <c r="L1123" s="3"/>
      <c r="M1123" s="3"/>
      <c r="N1123" s="3"/>
      <c r="O1123" s="3"/>
      <c r="P1123" s="3"/>
      <c r="Q1123" s="3"/>
      <c r="R1123" s="3"/>
      <c r="S1123" s="3"/>
    </row>
    <row r="1124" spans="2:19" ht="15.75" customHeight="1" x14ac:dyDescent="0.2">
      <c r="B1124" s="62"/>
      <c r="C1124" s="208">
        <v>42597</v>
      </c>
      <c r="D1124" s="19">
        <v>0.3888888888888889</v>
      </c>
      <c r="E1124" s="3">
        <v>44</v>
      </c>
      <c r="F1124" s="190">
        <v>7.85</v>
      </c>
      <c r="G1124" s="3">
        <v>63.3</v>
      </c>
      <c r="H1124" s="7">
        <v>6.2</v>
      </c>
      <c r="I1124" s="3"/>
      <c r="L1124" s="3"/>
      <c r="M1124" s="3"/>
      <c r="N1124" s="3"/>
      <c r="O1124" s="3"/>
      <c r="P1124" s="3"/>
      <c r="Q1124" s="3"/>
      <c r="R1124" s="3"/>
      <c r="S1124" s="3"/>
    </row>
    <row r="1125" spans="2:19" ht="15.75" customHeight="1" x14ac:dyDescent="0.2">
      <c r="B1125" s="62"/>
      <c r="C1125" s="208">
        <v>42597</v>
      </c>
      <c r="D1125" s="19">
        <v>0.3888888888888889</v>
      </c>
      <c r="E1125" s="3">
        <v>46</v>
      </c>
      <c r="F1125" s="190">
        <v>7.7</v>
      </c>
      <c r="G1125" s="3">
        <v>62.1</v>
      </c>
      <c r="H1125" s="7">
        <v>6.2</v>
      </c>
      <c r="I1125" s="3"/>
      <c r="L1125" s="3"/>
      <c r="M1125" s="3"/>
      <c r="N1125" s="3"/>
      <c r="O1125" s="3"/>
      <c r="P1125" s="3"/>
      <c r="Q1125" s="3"/>
      <c r="R1125" s="3"/>
      <c r="S1125" s="3"/>
    </row>
    <row r="1126" spans="2:19" ht="15.75" customHeight="1" x14ac:dyDescent="0.2">
      <c r="B1126" s="62"/>
      <c r="C1126" s="208">
        <v>42597</v>
      </c>
      <c r="D1126" s="19">
        <v>0.3888888888888889</v>
      </c>
      <c r="E1126" s="3">
        <v>48</v>
      </c>
      <c r="F1126" s="190">
        <v>7.45</v>
      </c>
      <c r="G1126" s="3">
        <v>60.1</v>
      </c>
      <c r="H1126" s="7">
        <v>6.2</v>
      </c>
      <c r="I1126" s="3"/>
      <c r="L1126" s="3"/>
      <c r="M1126" s="3"/>
      <c r="N1126" s="3"/>
      <c r="O1126" s="3"/>
      <c r="P1126" s="3"/>
      <c r="Q1126" s="3"/>
      <c r="R1126" s="3"/>
      <c r="S1126" s="3"/>
    </row>
    <row r="1127" spans="2:19" ht="15.75" customHeight="1" x14ac:dyDescent="0.2">
      <c r="B1127" s="62"/>
      <c r="C1127" s="208"/>
      <c r="D1127" s="19"/>
      <c r="E1127" s="3"/>
      <c r="G1127" s="3"/>
      <c r="I1127" s="3"/>
      <c r="L1127" s="3"/>
      <c r="M1127" s="3"/>
      <c r="N1127" s="3"/>
      <c r="O1127" s="3"/>
      <c r="P1127" s="3"/>
      <c r="Q1127" s="3"/>
      <c r="R1127" s="3"/>
      <c r="S1127" s="3"/>
    </row>
    <row r="1128" spans="2:19" ht="15.75" customHeight="1" x14ac:dyDescent="0.2">
      <c r="B1128" s="62"/>
      <c r="C1128" s="208">
        <v>42128</v>
      </c>
      <c r="D1128" s="19">
        <v>0.41666666666666669</v>
      </c>
      <c r="E1128" s="3"/>
      <c r="G1128" s="3"/>
      <c r="I1128" s="3"/>
      <c r="J1128">
        <v>7</v>
      </c>
      <c r="K1128">
        <v>7</v>
      </c>
      <c r="L1128" s="3"/>
      <c r="M1128" s="3"/>
      <c r="N1128" s="3"/>
      <c r="O1128" s="3"/>
      <c r="P1128" s="3"/>
      <c r="Q1128" s="3"/>
      <c r="R1128" s="3"/>
      <c r="S1128" s="3"/>
    </row>
    <row r="1129" spans="2:19" ht="15.75" customHeight="1" x14ac:dyDescent="0.2">
      <c r="B1129" s="62"/>
      <c r="C1129" s="208">
        <v>42128</v>
      </c>
      <c r="D1129" s="19">
        <v>0.41666666666666669</v>
      </c>
      <c r="E1129" s="3">
        <v>0.1</v>
      </c>
      <c r="F1129" s="190">
        <v>9.1300000000000008</v>
      </c>
      <c r="G1129" s="3">
        <v>83.4</v>
      </c>
      <c r="H1129" s="7">
        <v>11.3</v>
      </c>
      <c r="I1129" s="3"/>
      <c r="L1129" s="3"/>
      <c r="M1129" s="3"/>
      <c r="N1129" s="3"/>
      <c r="O1129" s="3"/>
      <c r="P1129" s="3"/>
      <c r="Q1129" s="3"/>
      <c r="R1129" s="3"/>
      <c r="S1129" s="3"/>
    </row>
    <row r="1130" spans="2:19" ht="15.75" customHeight="1" x14ac:dyDescent="0.2">
      <c r="B1130" s="62"/>
      <c r="C1130" s="208">
        <v>42128</v>
      </c>
      <c r="D1130" s="19">
        <v>0.41666666666666669</v>
      </c>
      <c r="E1130" s="3">
        <v>1</v>
      </c>
      <c r="F1130" s="190">
        <v>9.16</v>
      </c>
      <c r="G1130" s="3">
        <v>83.1</v>
      </c>
      <c r="H1130" s="7">
        <v>11.1</v>
      </c>
      <c r="I1130" s="3"/>
      <c r="L1130" s="3"/>
      <c r="M1130" s="3"/>
      <c r="N1130" s="3"/>
      <c r="O1130" s="3"/>
      <c r="P1130" s="3"/>
      <c r="Q1130" s="3"/>
      <c r="R1130" s="3"/>
      <c r="S1130" s="3"/>
    </row>
    <row r="1131" spans="2:19" ht="15.75" customHeight="1" x14ac:dyDescent="0.2">
      <c r="B1131" s="62"/>
      <c r="C1131" s="208">
        <v>42128</v>
      </c>
      <c r="D1131" s="19">
        <v>0.41666666666666669</v>
      </c>
      <c r="E1131" s="3">
        <v>2</v>
      </c>
      <c r="F1131" s="190">
        <v>9.16</v>
      </c>
      <c r="G1131" s="3">
        <v>82.7</v>
      </c>
      <c r="H1131" s="7">
        <v>10.9</v>
      </c>
      <c r="I1131" s="3"/>
      <c r="L1131" s="3"/>
      <c r="M1131" s="3"/>
      <c r="N1131" s="3"/>
      <c r="O1131" s="3"/>
      <c r="P1131" s="3"/>
      <c r="Q1131" s="3"/>
      <c r="R1131" s="3"/>
      <c r="S1131" s="3"/>
    </row>
    <row r="1132" spans="2:19" ht="15.75" customHeight="1" x14ac:dyDescent="0.2">
      <c r="B1132" s="62"/>
      <c r="C1132" s="208">
        <v>42128</v>
      </c>
      <c r="D1132" s="19">
        <v>0.41666666666666669</v>
      </c>
      <c r="E1132" s="3">
        <v>3</v>
      </c>
      <c r="F1132" s="190">
        <v>9.1999999999999993</v>
      </c>
      <c r="G1132" s="3">
        <v>82.5</v>
      </c>
      <c r="H1132" s="7">
        <v>10.5</v>
      </c>
      <c r="I1132" s="3"/>
      <c r="L1132" s="3"/>
      <c r="M1132" s="3"/>
      <c r="N1132" s="3"/>
      <c r="O1132" s="3"/>
      <c r="P1132" s="3"/>
      <c r="Q1132" s="3"/>
      <c r="R1132" s="3"/>
      <c r="S1132" s="3"/>
    </row>
    <row r="1133" spans="2:19" ht="15.75" customHeight="1" x14ac:dyDescent="0.2">
      <c r="B1133" s="62"/>
      <c r="C1133" s="208">
        <v>42128</v>
      </c>
      <c r="D1133" s="19">
        <v>0.41666666666666669</v>
      </c>
      <c r="E1133" s="3">
        <v>4</v>
      </c>
      <c r="F1133" s="190">
        <v>9.2200000000000006</v>
      </c>
      <c r="G1133" s="3">
        <v>81.599999999999994</v>
      </c>
      <c r="H1133" s="7">
        <v>10.199999999999999</v>
      </c>
      <c r="I1133" s="3"/>
      <c r="L1133" s="3"/>
      <c r="M1133" s="3"/>
      <c r="N1133" s="3"/>
      <c r="O1133" s="3"/>
      <c r="P1133" s="3"/>
      <c r="Q1133" s="3"/>
      <c r="R1133" s="3"/>
      <c r="S1133" s="3"/>
    </row>
    <row r="1134" spans="2:19" ht="15.75" customHeight="1" x14ac:dyDescent="0.2">
      <c r="B1134" s="62"/>
      <c r="C1134" s="208">
        <v>42128</v>
      </c>
      <c r="D1134" s="19">
        <v>0.41666666666666669</v>
      </c>
      <c r="E1134" s="3">
        <v>5</v>
      </c>
      <c r="F1134" s="190">
        <v>9.25</v>
      </c>
      <c r="G1134" s="3">
        <v>81.5</v>
      </c>
      <c r="H1134" s="7">
        <v>9.8000000000000007</v>
      </c>
      <c r="I1134" s="3"/>
      <c r="L1134" s="3"/>
      <c r="M1134" s="3"/>
      <c r="N1134" s="3"/>
      <c r="O1134" s="3"/>
      <c r="P1134" s="3"/>
      <c r="Q1134" s="3"/>
      <c r="R1134" s="3"/>
      <c r="S1134" s="3"/>
    </row>
    <row r="1135" spans="2:19" ht="15.75" customHeight="1" x14ac:dyDescent="0.2">
      <c r="B1135" s="62"/>
      <c r="C1135" s="208">
        <v>42128</v>
      </c>
      <c r="D1135" s="19">
        <v>0.41666666666666669</v>
      </c>
      <c r="E1135" s="3">
        <v>6</v>
      </c>
      <c r="F1135" s="190">
        <v>9.25</v>
      </c>
      <c r="G1135" s="3">
        <v>81.3</v>
      </c>
      <c r="H1135" s="7">
        <v>9.6999999999999993</v>
      </c>
      <c r="I1135" s="3"/>
      <c r="L1135" s="3"/>
      <c r="M1135" s="3"/>
      <c r="N1135" s="3"/>
      <c r="O1135" s="3"/>
      <c r="P1135" s="3"/>
      <c r="Q1135" s="3"/>
      <c r="R1135" s="3"/>
      <c r="S1135" s="3"/>
    </row>
    <row r="1136" spans="2:19" ht="15.75" customHeight="1" x14ac:dyDescent="0.2">
      <c r="B1136" s="62"/>
      <c r="C1136" s="208">
        <v>42128</v>
      </c>
      <c r="D1136" s="19">
        <v>0.41666666666666669</v>
      </c>
      <c r="E1136" s="3">
        <v>7</v>
      </c>
      <c r="F1136" s="190">
        <v>9.25</v>
      </c>
      <c r="G1136" s="3">
        <v>81</v>
      </c>
      <c r="H1136" s="7">
        <v>9.5</v>
      </c>
      <c r="I1136" s="3"/>
      <c r="L1136" s="3"/>
      <c r="M1136" s="3"/>
      <c r="N1136" s="3"/>
      <c r="O1136" s="3"/>
      <c r="P1136" s="3"/>
      <c r="Q1136" s="3"/>
      <c r="R1136" s="3"/>
      <c r="S1136" s="3"/>
    </row>
    <row r="1137" spans="2:19" ht="15.75" customHeight="1" x14ac:dyDescent="0.2">
      <c r="B1137" s="62"/>
      <c r="C1137" s="208">
        <v>42128</v>
      </c>
      <c r="D1137" s="19">
        <v>0.41666666666666669</v>
      </c>
      <c r="E1137" s="3">
        <v>8</v>
      </c>
      <c r="F1137" s="190">
        <v>9.25</v>
      </c>
      <c r="G1137" s="3">
        <v>80.7</v>
      </c>
      <c r="H1137" s="7">
        <v>9.4</v>
      </c>
      <c r="I1137" s="3"/>
      <c r="L1137" s="3"/>
      <c r="M1137" s="3"/>
      <c r="N1137" s="3"/>
      <c r="O1137" s="3"/>
      <c r="P1137" s="3"/>
      <c r="Q1137" s="3"/>
      <c r="R1137" s="3"/>
      <c r="S1137" s="3"/>
    </row>
    <row r="1138" spans="2:19" ht="15.75" customHeight="1" x14ac:dyDescent="0.2">
      <c r="B1138" s="62"/>
      <c r="C1138" s="208">
        <v>42128</v>
      </c>
      <c r="D1138" s="19">
        <v>0.41666666666666669</v>
      </c>
      <c r="E1138" s="3">
        <v>9</v>
      </c>
      <c r="F1138" s="190">
        <v>9.2200000000000006</v>
      </c>
      <c r="G1138" s="3">
        <v>80.099999999999994</v>
      </c>
      <c r="H1138" s="7">
        <v>9.3000000000000007</v>
      </c>
      <c r="I1138" s="3"/>
      <c r="L1138" s="3"/>
      <c r="M1138" s="3"/>
      <c r="N1138" s="3"/>
      <c r="O1138" s="3"/>
      <c r="P1138" s="3"/>
      <c r="Q1138" s="3"/>
      <c r="R1138" s="3"/>
      <c r="S1138" s="3"/>
    </row>
    <row r="1139" spans="2:19" ht="15.75" customHeight="1" x14ac:dyDescent="0.2">
      <c r="B1139" s="62"/>
      <c r="C1139" s="208">
        <v>42128</v>
      </c>
      <c r="D1139" s="19">
        <v>0.41666666666666669</v>
      </c>
      <c r="E1139" s="3">
        <v>10</v>
      </c>
      <c r="F1139" s="190">
        <v>9.2100000000000009</v>
      </c>
      <c r="G1139" s="3">
        <v>79.8</v>
      </c>
      <c r="H1139" s="7">
        <v>9</v>
      </c>
      <c r="I1139" s="3"/>
      <c r="L1139" s="3"/>
      <c r="M1139" s="3"/>
      <c r="N1139" s="3"/>
      <c r="O1139" s="3"/>
      <c r="P1139" s="3"/>
      <c r="Q1139" s="3"/>
      <c r="R1139" s="3"/>
      <c r="S1139" s="3"/>
    </row>
    <row r="1140" spans="2:19" ht="15.75" customHeight="1" x14ac:dyDescent="0.2">
      <c r="B1140" s="62"/>
      <c r="C1140" s="208">
        <v>42128</v>
      </c>
      <c r="D1140" s="19">
        <v>0.41666666666666669</v>
      </c>
      <c r="E1140" s="3">
        <v>11</v>
      </c>
      <c r="F1140" s="190">
        <v>9.1999999999999993</v>
      </c>
      <c r="G1140" s="3">
        <v>79.400000000000006</v>
      </c>
      <c r="H1140" s="7">
        <v>8.9</v>
      </c>
      <c r="I1140" s="3"/>
      <c r="L1140" s="3"/>
      <c r="M1140" s="3"/>
      <c r="N1140" s="3"/>
      <c r="O1140" s="3"/>
      <c r="P1140" s="3"/>
      <c r="Q1140" s="3"/>
      <c r="R1140" s="3"/>
      <c r="S1140" s="3"/>
    </row>
    <row r="1141" spans="2:19" ht="15.75" customHeight="1" x14ac:dyDescent="0.2">
      <c r="B1141" s="62"/>
      <c r="C1141" s="208">
        <v>42128</v>
      </c>
      <c r="D1141" s="19">
        <v>0.41666666666666669</v>
      </c>
      <c r="E1141" s="3">
        <v>12</v>
      </c>
      <c r="F1141" s="190">
        <v>9.18</v>
      </c>
      <c r="G1141" s="3">
        <v>78.900000000000006</v>
      </c>
      <c r="H1141" s="7">
        <v>8.8000000000000007</v>
      </c>
      <c r="I1141" s="3"/>
      <c r="L1141" s="3"/>
      <c r="M1141" s="3"/>
      <c r="N1141" s="3"/>
      <c r="O1141" s="3"/>
      <c r="P1141" s="3"/>
      <c r="Q1141" s="3"/>
      <c r="R1141" s="3"/>
      <c r="S1141" s="3"/>
    </row>
    <row r="1142" spans="2:19" ht="15.75" customHeight="1" x14ac:dyDescent="0.2">
      <c r="B1142" s="62"/>
      <c r="C1142" s="208">
        <v>42128</v>
      </c>
      <c r="D1142" s="19">
        <v>0.41666666666666669</v>
      </c>
      <c r="E1142" s="3">
        <v>13</v>
      </c>
      <c r="F1142" s="190">
        <v>9.18</v>
      </c>
      <c r="G1142" s="3">
        <v>78.400000000000006</v>
      </c>
      <c r="H1142" s="7">
        <v>8.5</v>
      </c>
      <c r="I1142" s="3"/>
      <c r="L1142" s="3"/>
      <c r="M1142" s="3"/>
      <c r="N1142" s="3"/>
      <c r="O1142" s="3"/>
      <c r="P1142" s="3"/>
      <c r="Q1142" s="3"/>
      <c r="R1142" s="3"/>
      <c r="S1142" s="3"/>
    </row>
    <row r="1143" spans="2:19" ht="15.75" customHeight="1" x14ac:dyDescent="0.2">
      <c r="B1143" s="62"/>
      <c r="C1143" s="208">
        <v>42128</v>
      </c>
      <c r="D1143" s="19">
        <v>0.41666666666666669</v>
      </c>
      <c r="E1143" s="3">
        <v>14</v>
      </c>
      <c r="F1143" s="190">
        <v>9.16</v>
      </c>
      <c r="G1143" s="3">
        <v>78.099999999999994</v>
      </c>
      <c r="H1143" s="7">
        <v>8.4</v>
      </c>
      <c r="I1143" s="3"/>
      <c r="L1143" s="3"/>
      <c r="M1143" s="3"/>
      <c r="N1143" s="3"/>
      <c r="O1143" s="3"/>
      <c r="P1143" s="3"/>
      <c r="Q1143" s="3"/>
      <c r="R1143" s="3"/>
      <c r="S1143" s="3"/>
    </row>
    <row r="1144" spans="2:19" ht="15.75" customHeight="1" x14ac:dyDescent="0.2">
      <c r="B1144" s="62"/>
      <c r="C1144" s="208">
        <v>42128</v>
      </c>
      <c r="D1144" s="19">
        <v>0.41666666666666669</v>
      </c>
      <c r="E1144" s="3">
        <v>15</v>
      </c>
      <c r="F1144" s="190">
        <v>9.15</v>
      </c>
      <c r="G1144" s="3">
        <v>77.8</v>
      </c>
      <c r="H1144" s="7">
        <v>8.3000000000000007</v>
      </c>
      <c r="I1144" s="3"/>
      <c r="L1144" s="3"/>
      <c r="M1144" s="3"/>
      <c r="N1144" s="3"/>
      <c r="O1144" s="3"/>
      <c r="P1144" s="3"/>
      <c r="Q1144" s="3"/>
      <c r="R1144" s="3"/>
      <c r="S1144" s="3"/>
    </row>
    <row r="1145" spans="2:19" ht="15.75" customHeight="1" x14ac:dyDescent="0.2">
      <c r="B1145" s="62"/>
      <c r="C1145" s="208">
        <v>42128</v>
      </c>
      <c r="D1145" s="19">
        <v>0.41666666666666669</v>
      </c>
      <c r="E1145" s="3">
        <v>16</v>
      </c>
      <c r="F1145" s="190">
        <v>9.1300000000000008</v>
      </c>
      <c r="G1145" s="3">
        <v>77.5</v>
      </c>
      <c r="H1145" s="7">
        <v>8.1999999999999993</v>
      </c>
      <c r="I1145" s="3"/>
      <c r="L1145" s="3"/>
      <c r="M1145" s="3"/>
      <c r="N1145" s="3"/>
      <c r="O1145" s="3"/>
      <c r="P1145" s="3"/>
      <c r="Q1145" s="3"/>
      <c r="R1145" s="3"/>
      <c r="S1145" s="3"/>
    </row>
    <row r="1146" spans="2:19" ht="15.75" customHeight="1" x14ac:dyDescent="0.2">
      <c r="B1146" s="62"/>
      <c r="C1146" s="208">
        <v>42128</v>
      </c>
      <c r="D1146" s="19">
        <v>0.41666666666666669</v>
      </c>
      <c r="E1146" s="3">
        <v>17</v>
      </c>
      <c r="F1146" s="190">
        <v>9.1199999999999992</v>
      </c>
      <c r="G1146" s="3">
        <v>77.2</v>
      </c>
      <c r="H1146" s="7">
        <v>8.1999999999999993</v>
      </c>
      <c r="I1146" s="3"/>
      <c r="L1146" s="3"/>
      <c r="M1146" s="3"/>
      <c r="N1146" s="3"/>
      <c r="O1146" s="3"/>
      <c r="P1146" s="3"/>
      <c r="Q1146" s="3"/>
      <c r="R1146" s="3"/>
      <c r="S1146" s="3"/>
    </row>
    <row r="1147" spans="2:19" ht="15.75" customHeight="1" x14ac:dyDescent="0.2">
      <c r="B1147" s="62"/>
      <c r="C1147" s="208">
        <v>42128</v>
      </c>
      <c r="D1147" s="19">
        <v>0.41666666666666669</v>
      </c>
      <c r="E1147" s="3">
        <v>18</v>
      </c>
      <c r="F1147" s="190">
        <v>9.1</v>
      </c>
      <c r="G1147" s="3">
        <v>76.7</v>
      </c>
      <c r="H1147" s="7">
        <v>8.1</v>
      </c>
      <c r="I1147" s="3"/>
      <c r="L1147" s="3"/>
      <c r="M1147" s="3"/>
      <c r="N1147" s="3"/>
      <c r="O1147" s="3"/>
      <c r="P1147" s="3"/>
      <c r="Q1147" s="3"/>
      <c r="R1147" s="3"/>
      <c r="S1147" s="3"/>
    </row>
    <row r="1148" spans="2:19" ht="15.75" customHeight="1" x14ac:dyDescent="0.2">
      <c r="B1148" s="62"/>
      <c r="C1148" s="208">
        <v>42128</v>
      </c>
      <c r="D1148" s="19">
        <v>0.41666666666666669</v>
      </c>
      <c r="E1148" s="3">
        <v>19</v>
      </c>
      <c r="F1148" s="190">
        <v>9.07</v>
      </c>
      <c r="G1148" s="3">
        <v>76.3</v>
      </c>
      <c r="H1148" s="7">
        <v>7.9</v>
      </c>
      <c r="I1148" s="3"/>
      <c r="L1148" s="3"/>
      <c r="M1148" s="3"/>
      <c r="N1148" s="3"/>
      <c r="O1148" s="3"/>
      <c r="P1148" s="3"/>
      <c r="Q1148" s="3"/>
      <c r="R1148" s="3"/>
      <c r="S1148" s="3"/>
    </row>
    <row r="1149" spans="2:19" ht="15.75" customHeight="1" x14ac:dyDescent="0.2">
      <c r="B1149" s="62"/>
      <c r="C1149" s="208">
        <v>42128</v>
      </c>
      <c r="D1149" s="19">
        <v>0.41666666666666669</v>
      </c>
      <c r="E1149" s="3">
        <v>20</v>
      </c>
      <c r="F1149" s="190">
        <v>9</v>
      </c>
      <c r="G1149" s="3">
        <v>75.3</v>
      </c>
      <c r="H1149" s="7">
        <v>7.8</v>
      </c>
      <c r="I1149" s="3"/>
      <c r="L1149" s="3"/>
      <c r="M1149" s="3"/>
      <c r="N1149" s="3"/>
      <c r="O1149" s="3"/>
      <c r="P1149" s="3"/>
      <c r="Q1149" s="3"/>
      <c r="R1149" s="3"/>
      <c r="S1149" s="3"/>
    </row>
    <row r="1150" spans="2:19" ht="15.75" customHeight="1" x14ac:dyDescent="0.2">
      <c r="B1150" s="62"/>
      <c r="C1150" s="208">
        <v>42128</v>
      </c>
      <c r="D1150" s="19">
        <v>0.41666666666666669</v>
      </c>
      <c r="E1150" s="3">
        <v>21</v>
      </c>
      <c r="F1150" s="190">
        <v>8.9700000000000006</v>
      </c>
      <c r="G1150" s="3">
        <v>74.2</v>
      </c>
      <c r="H1150" s="7">
        <v>7.4</v>
      </c>
      <c r="I1150" s="3"/>
      <c r="L1150" s="3"/>
      <c r="M1150" s="3"/>
      <c r="N1150" s="3"/>
      <c r="O1150" s="3"/>
      <c r="P1150" s="3"/>
      <c r="Q1150" s="3"/>
      <c r="R1150" s="3"/>
      <c r="S1150" s="3"/>
    </row>
    <row r="1151" spans="2:19" ht="15.75" customHeight="1" x14ac:dyDescent="0.2">
      <c r="B1151" s="62"/>
      <c r="C1151" s="208">
        <v>42128</v>
      </c>
      <c r="D1151" s="19">
        <v>0.41666666666666669</v>
      </c>
      <c r="E1151" s="3">
        <v>22</v>
      </c>
      <c r="F1151" s="190">
        <v>8.98</v>
      </c>
      <c r="G1151" s="3">
        <v>73.8</v>
      </c>
      <c r="H1151" s="7">
        <v>7</v>
      </c>
      <c r="I1151" s="3"/>
      <c r="L1151" s="3"/>
      <c r="M1151" s="3"/>
      <c r="N1151" s="3"/>
      <c r="O1151" s="3"/>
      <c r="P1151" s="3"/>
      <c r="Q1151" s="3"/>
      <c r="R1151" s="3"/>
      <c r="S1151" s="3"/>
    </row>
    <row r="1152" spans="2:19" ht="15.75" customHeight="1" x14ac:dyDescent="0.2">
      <c r="B1152" s="62"/>
      <c r="C1152" s="208">
        <v>42128</v>
      </c>
      <c r="D1152" s="19">
        <v>0.41666666666666669</v>
      </c>
      <c r="E1152" s="3">
        <v>23</v>
      </c>
      <c r="F1152" s="190">
        <v>8.98</v>
      </c>
      <c r="G1152" s="3">
        <v>73.599999999999994</v>
      </c>
      <c r="H1152" s="7">
        <v>6.8</v>
      </c>
      <c r="I1152" s="3"/>
      <c r="L1152" s="3"/>
      <c r="M1152" s="3"/>
      <c r="N1152" s="3"/>
      <c r="O1152" s="3"/>
      <c r="P1152" s="3"/>
      <c r="Q1152" s="3"/>
      <c r="R1152" s="3"/>
      <c r="S1152" s="3"/>
    </row>
    <row r="1153" spans="2:19" ht="15.75" customHeight="1" x14ac:dyDescent="0.2">
      <c r="B1153" s="62"/>
      <c r="C1153" s="208">
        <v>42128</v>
      </c>
      <c r="D1153" s="19">
        <v>0.41666666666666669</v>
      </c>
      <c r="E1153" s="3">
        <v>24</v>
      </c>
      <c r="F1153" s="190">
        <v>8.9700000000000006</v>
      </c>
      <c r="G1153" s="3">
        <v>73.400000000000006</v>
      </c>
      <c r="H1153" s="7">
        <v>6.7</v>
      </c>
      <c r="I1153" s="3"/>
      <c r="L1153" s="3"/>
      <c r="M1153" s="3"/>
      <c r="N1153" s="3"/>
      <c r="O1153" s="3"/>
      <c r="P1153" s="3"/>
      <c r="Q1153" s="3"/>
      <c r="R1153" s="3"/>
      <c r="S1153" s="3"/>
    </row>
    <row r="1154" spans="2:19" ht="15.75" customHeight="1" x14ac:dyDescent="0.2">
      <c r="B1154" s="62"/>
      <c r="C1154" s="208">
        <v>42128</v>
      </c>
      <c r="D1154" s="19">
        <v>0.41666666666666669</v>
      </c>
      <c r="E1154" s="3">
        <v>25</v>
      </c>
      <c r="F1154" s="190">
        <v>8.9600000000000009</v>
      </c>
      <c r="G1154" s="3">
        <v>73</v>
      </c>
      <c r="H1154" s="7">
        <v>6.6</v>
      </c>
      <c r="I1154" s="3"/>
      <c r="L1154" s="3"/>
      <c r="M1154" s="3"/>
      <c r="N1154" s="3"/>
      <c r="O1154" s="3"/>
      <c r="P1154" s="3"/>
      <c r="Q1154" s="3"/>
      <c r="R1154" s="3"/>
      <c r="S1154" s="3"/>
    </row>
    <row r="1155" spans="2:19" ht="15.75" customHeight="1" x14ac:dyDescent="0.2">
      <c r="B1155" s="62"/>
      <c r="C1155" s="208">
        <v>42128</v>
      </c>
      <c r="D1155" s="19">
        <v>0.41666666666666669</v>
      </c>
      <c r="E1155" s="3">
        <v>26</v>
      </c>
      <c r="F1155" s="190">
        <v>8.89</v>
      </c>
      <c r="G1155" s="3">
        <v>72.099999999999994</v>
      </c>
      <c r="H1155" s="7">
        <v>6.5</v>
      </c>
      <c r="I1155" s="3"/>
      <c r="L1155" s="3"/>
      <c r="M1155" s="3"/>
      <c r="N1155" s="3"/>
      <c r="O1155" s="3"/>
      <c r="P1155" s="3"/>
      <c r="Q1155" s="3"/>
      <c r="R1155" s="3"/>
      <c r="S1155" s="3"/>
    </row>
    <row r="1156" spans="2:19" ht="15.75" customHeight="1" x14ac:dyDescent="0.2">
      <c r="B1156" s="62"/>
      <c r="C1156" s="208">
        <v>42128</v>
      </c>
      <c r="D1156" s="19">
        <v>0.41666666666666669</v>
      </c>
      <c r="E1156" s="3">
        <v>27</v>
      </c>
      <c r="F1156" s="190">
        <v>8.8800000000000008</v>
      </c>
      <c r="G1156" s="3">
        <v>71.599999999999994</v>
      </c>
      <c r="H1156" s="7">
        <v>6.2</v>
      </c>
      <c r="I1156" s="3"/>
      <c r="L1156" s="3"/>
      <c r="M1156" s="3"/>
      <c r="N1156" s="3"/>
      <c r="O1156" s="3"/>
      <c r="P1156" s="3"/>
      <c r="Q1156" s="3"/>
      <c r="R1156" s="3"/>
      <c r="S1156" s="3"/>
    </row>
    <row r="1157" spans="2:19" ht="15.75" customHeight="1" x14ac:dyDescent="0.2">
      <c r="B1157" s="62"/>
      <c r="C1157" s="208">
        <v>42128</v>
      </c>
      <c r="D1157" s="19">
        <v>0.41666666666666669</v>
      </c>
      <c r="E1157" s="3">
        <v>28</v>
      </c>
      <c r="F1157" s="190">
        <v>8.83</v>
      </c>
      <c r="G1157" s="3">
        <v>70.7</v>
      </c>
      <c r="H1157" s="7">
        <v>5.9</v>
      </c>
      <c r="I1157" s="3"/>
      <c r="L1157" s="3"/>
      <c r="M1157" s="3"/>
      <c r="N1157" s="3"/>
      <c r="O1157" s="3"/>
      <c r="P1157" s="3"/>
      <c r="Q1157" s="3"/>
      <c r="R1157" s="3"/>
      <c r="S1157" s="3"/>
    </row>
    <row r="1158" spans="2:19" ht="15.75" customHeight="1" x14ac:dyDescent="0.2">
      <c r="B1158" s="62"/>
      <c r="C1158" s="208">
        <v>42128</v>
      </c>
      <c r="D1158" s="19">
        <v>0.41666666666666669</v>
      </c>
      <c r="E1158" s="3">
        <v>29</v>
      </c>
      <c r="F1158" s="190">
        <v>8.8000000000000007</v>
      </c>
      <c r="G1158" s="3">
        <v>70.400000000000006</v>
      </c>
      <c r="H1158" s="7">
        <v>5.9</v>
      </c>
      <c r="I1158" s="3"/>
      <c r="L1158" s="3"/>
      <c r="M1158" s="3"/>
      <c r="N1158" s="3"/>
      <c r="O1158" s="3"/>
      <c r="P1158" s="3"/>
      <c r="Q1158" s="3"/>
      <c r="R1158" s="3"/>
      <c r="S1158" s="3"/>
    </row>
    <row r="1159" spans="2:19" ht="15.75" customHeight="1" x14ac:dyDescent="0.2">
      <c r="B1159" s="62"/>
      <c r="C1159" s="208">
        <v>42128</v>
      </c>
      <c r="D1159" s="19">
        <v>0.41666666666666669</v>
      </c>
      <c r="E1159" s="3">
        <v>30</v>
      </c>
      <c r="F1159" s="190">
        <v>8.8000000000000007</v>
      </c>
      <c r="G1159" s="3">
        <v>70.2</v>
      </c>
      <c r="H1159" s="7">
        <v>5.8</v>
      </c>
      <c r="I1159" s="3"/>
      <c r="L1159" s="3"/>
      <c r="M1159" s="3"/>
      <c r="N1159" s="3"/>
      <c r="O1159" s="3"/>
      <c r="P1159" s="3"/>
      <c r="Q1159" s="3"/>
      <c r="R1159" s="3"/>
      <c r="S1159" s="3"/>
    </row>
    <row r="1160" spans="2:19" ht="15.75" customHeight="1" x14ac:dyDescent="0.2">
      <c r="B1160" s="62"/>
      <c r="C1160" s="208">
        <v>42128</v>
      </c>
      <c r="D1160" s="19">
        <v>0.41666666666666669</v>
      </c>
      <c r="E1160" s="3">
        <v>31</v>
      </c>
      <c r="F1160" s="190">
        <v>8.82</v>
      </c>
      <c r="G1160" s="3">
        <v>70.099999999999994</v>
      </c>
      <c r="H1160" s="7">
        <v>5.7</v>
      </c>
      <c r="I1160" s="3"/>
      <c r="L1160" s="3"/>
      <c r="M1160" s="3"/>
      <c r="N1160" s="3"/>
      <c r="O1160" s="3"/>
      <c r="P1160" s="3"/>
      <c r="Q1160" s="3"/>
      <c r="R1160" s="3"/>
      <c r="S1160" s="3"/>
    </row>
    <row r="1161" spans="2:19" ht="15.75" customHeight="1" x14ac:dyDescent="0.2">
      <c r="B1161" s="62"/>
      <c r="C1161" s="208">
        <v>42128</v>
      </c>
      <c r="D1161" s="19">
        <v>0.41666666666666669</v>
      </c>
      <c r="E1161" s="3">
        <v>32</v>
      </c>
      <c r="F1161" s="190">
        <v>8.7899999999999991</v>
      </c>
      <c r="G1161" s="3">
        <v>69.900000000000006</v>
      </c>
      <c r="H1161" s="7">
        <v>5.6</v>
      </c>
      <c r="I1161" s="3"/>
      <c r="L1161" s="3"/>
      <c r="M1161" s="3"/>
      <c r="N1161" s="3"/>
      <c r="O1161" s="3"/>
      <c r="P1161" s="3"/>
      <c r="Q1161" s="3"/>
      <c r="R1161" s="3"/>
      <c r="S1161" s="3"/>
    </row>
    <row r="1162" spans="2:19" ht="15.75" customHeight="1" x14ac:dyDescent="0.2">
      <c r="B1162" s="62"/>
      <c r="C1162" s="208">
        <v>42128</v>
      </c>
      <c r="D1162" s="19">
        <v>0.41666666666666669</v>
      </c>
      <c r="E1162" s="3">
        <v>33</v>
      </c>
      <c r="F1162" s="190">
        <v>8.7799999999999994</v>
      </c>
      <c r="G1162" s="3">
        <v>69.400000000000006</v>
      </c>
      <c r="H1162" s="7">
        <v>5.5</v>
      </c>
      <c r="I1162" s="3"/>
      <c r="L1162" s="3"/>
      <c r="M1162" s="3"/>
      <c r="N1162" s="3"/>
      <c r="O1162" s="3"/>
      <c r="P1162" s="3"/>
      <c r="Q1162" s="3"/>
      <c r="R1162" s="3"/>
      <c r="S1162" s="3"/>
    </row>
    <row r="1163" spans="2:19" ht="15.75" customHeight="1" x14ac:dyDescent="0.2">
      <c r="B1163" s="62"/>
      <c r="C1163" s="208">
        <v>42128</v>
      </c>
      <c r="D1163" s="19">
        <v>0.41666666666666669</v>
      </c>
      <c r="E1163" s="3">
        <v>34</v>
      </c>
      <c r="F1163" s="190">
        <v>8.68</v>
      </c>
      <c r="G1163" s="3">
        <v>68.7</v>
      </c>
      <c r="H1163" s="7">
        <v>5.5</v>
      </c>
      <c r="I1163" s="3"/>
      <c r="L1163" s="3"/>
      <c r="M1163" s="3"/>
      <c r="N1163" s="3"/>
      <c r="O1163" s="3"/>
      <c r="P1163" s="3"/>
      <c r="Q1163" s="3"/>
      <c r="R1163" s="3"/>
      <c r="S1163" s="3"/>
    </row>
    <row r="1164" spans="2:19" ht="15.75" customHeight="1" x14ac:dyDescent="0.2">
      <c r="B1164" s="62"/>
      <c r="C1164" s="208">
        <v>42128</v>
      </c>
      <c r="D1164" s="19">
        <v>0.41666666666666669</v>
      </c>
      <c r="E1164" s="3">
        <v>35</v>
      </c>
      <c r="F1164" s="190">
        <v>8.6199999999999992</v>
      </c>
      <c r="G1164" s="3">
        <v>68.3</v>
      </c>
      <c r="H1164" s="7">
        <v>5.5</v>
      </c>
      <c r="I1164" s="3"/>
      <c r="L1164" s="3"/>
      <c r="M1164" s="3"/>
      <c r="N1164" s="3"/>
      <c r="O1164" s="3"/>
      <c r="P1164" s="3"/>
      <c r="Q1164" s="3"/>
      <c r="R1164" s="3"/>
      <c r="S1164" s="3"/>
    </row>
    <row r="1165" spans="2:19" ht="15.75" customHeight="1" x14ac:dyDescent="0.2">
      <c r="B1165" s="62"/>
      <c r="C1165" s="208">
        <v>42128</v>
      </c>
      <c r="D1165" s="19">
        <v>0.41666666666666669</v>
      </c>
      <c r="E1165" s="3">
        <v>36</v>
      </c>
      <c r="G1165" s="3"/>
      <c r="H1165" s="7">
        <v>5.5</v>
      </c>
      <c r="I1165" s="3"/>
      <c r="L1165" s="3"/>
      <c r="M1165" s="3"/>
      <c r="N1165" s="3"/>
      <c r="O1165" s="3"/>
      <c r="P1165" s="3"/>
      <c r="Q1165" s="3"/>
      <c r="R1165" s="3"/>
      <c r="S1165" s="3"/>
    </row>
    <row r="1166" spans="2:19" ht="15.75" customHeight="1" x14ac:dyDescent="0.2">
      <c r="B1166" s="62"/>
      <c r="C1166" s="208"/>
      <c r="D1166" s="19"/>
      <c r="E1166" s="3"/>
      <c r="G1166" s="3"/>
      <c r="I1166" s="3"/>
      <c r="L1166" s="3"/>
      <c r="M1166" s="3"/>
      <c r="N1166" s="3"/>
      <c r="O1166" s="3"/>
      <c r="P1166" s="3"/>
      <c r="Q1166" s="3"/>
      <c r="R1166" s="3"/>
      <c r="S1166" s="3"/>
    </row>
    <row r="1167" spans="2:19" ht="15.75" customHeight="1" x14ac:dyDescent="0.2">
      <c r="B1167" s="62"/>
      <c r="C1167" s="208"/>
      <c r="D1167" s="19"/>
      <c r="E1167" s="3"/>
      <c r="G1167" s="3"/>
      <c r="I1167" s="3"/>
      <c r="L1167" s="3"/>
      <c r="M1167" s="3"/>
      <c r="N1167" s="3"/>
      <c r="O1167" s="3"/>
      <c r="P1167" s="3"/>
      <c r="Q1167" s="3"/>
      <c r="R1167" s="3"/>
      <c r="S1167" s="3"/>
    </row>
    <row r="1168" spans="2:19" ht="15.75" customHeight="1" x14ac:dyDescent="0.2">
      <c r="B1168" s="62"/>
      <c r="C1168" s="208">
        <v>42170</v>
      </c>
      <c r="D1168" s="19">
        <v>0.4236111111111111</v>
      </c>
      <c r="E1168" s="3"/>
      <c r="G1168" s="3"/>
      <c r="I1168" s="3"/>
      <c r="J1168">
        <v>7</v>
      </c>
      <c r="K1168">
        <v>9</v>
      </c>
      <c r="L1168" s="3"/>
      <c r="M1168" s="3"/>
      <c r="N1168" s="3"/>
      <c r="O1168" s="3"/>
      <c r="P1168" s="3"/>
      <c r="Q1168" s="3"/>
      <c r="R1168" s="3"/>
      <c r="S1168" s="3"/>
    </row>
    <row r="1169" spans="2:19" ht="15.75" customHeight="1" x14ac:dyDescent="0.2">
      <c r="B1169" s="62"/>
      <c r="C1169" s="208">
        <v>42170</v>
      </c>
      <c r="D1169" s="19">
        <v>0.4236111111111111</v>
      </c>
      <c r="E1169" s="3">
        <v>0.1</v>
      </c>
      <c r="F1169" s="3">
        <v>7.34</v>
      </c>
      <c r="G1169" s="3">
        <v>79.5</v>
      </c>
      <c r="H1169" s="7">
        <v>19.3</v>
      </c>
      <c r="I1169" s="7">
        <v>19.3</v>
      </c>
      <c r="J1169" s="7"/>
      <c r="L1169" s="3"/>
      <c r="M1169" s="3"/>
      <c r="N1169" s="3"/>
      <c r="O1169" s="3"/>
      <c r="P1169" s="3"/>
      <c r="Q1169" s="3"/>
      <c r="R1169" s="3"/>
      <c r="S1169" s="3"/>
    </row>
    <row r="1170" spans="2:19" ht="15.75" customHeight="1" x14ac:dyDescent="0.2">
      <c r="B1170" s="62"/>
      <c r="C1170" s="208">
        <v>42170</v>
      </c>
      <c r="D1170" s="19">
        <v>0.4236111111111111</v>
      </c>
      <c r="E1170" s="3">
        <v>1</v>
      </c>
      <c r="F1170" s="3">
        <v>7.32</v>
      </c>
      <c r="G1170" s="3">
        <v>79.400000000000006</v>
      </c>
      <c r="H1170" s="7">
        <v>19.3</v>
      </c>
      <c r="I1170" s="7">
        <v>19.3</v>
      </c>
      <c r="J1170" s="7"/>
      <c r="L1170" s="3"/>
      <c r="M1170" s="3"/>
      <c r="N1170" s="3"/>
      <c r="O1170" s="3"/>
      <c r="P1170" s="3"/>
      <c r="Q1170" s="3"/>
      <c r="R1170" s="3"/>
      <c r="S1170" s="3"/>
    </row>
    <row r="1171" spans="2:19" ht="15.75" customHeight="1" x14ac:dyDescent="0.2">
      <c r="B1171" s="62"/>
      <c r="C1171" s="208">
        <v>42170</v>
      </c>
      <c r="D1171" s="19">
        <v>0.4236111111111111</v>
      </c>
      <c r="E1171" s="3">
        <v>2</v>
      </c>
      <c r="F1171" s="3">
        <v>7.29</v>
      </c>
      <c r="G1171" s="3">
        <v>79.099999999999994</v>
      </c>
      <c r="H1171" s="7">
        <v>19.3</v>
      </c>
      <c r="I1171" s="7">
        <v>19.3</v>
      </c>
      <c r="J1171" s="7"/>
      <c r="L1171" s="3"/>
      <c r="M1171" s="3"/>
      <c r="N1171" s="3"/>
      <c r="O1171" s="3"/>
      <c r="P1171" s="3"/>
      <c r="Q1171" s="3"/>
      <c r="R1171" s="3"/>
      <c r="S1171" s="3"/>
    </row>
    <row r="1172" spans="2:19" ht="15.75" customHeight="1" x14ac:dyDescent="0.2">
      <c r="B1172" s="62"/>
      <c r="C1172" s="208">
        <v>42170</v>
      </c>
      <c r="D1172" s="19">
        <v>0.4236111111111111</v>
      </c>
      <c r="E1172" s="3">
        <v>3</v>
      </c>
      <c r="F1172" s="3">
        <v>7.3</v>
      </c>
      <c r="G1172" s="3">
        <v>79</v>
      </c>
      <c r="H1172" s="7">
        <v>19.2</v>
      </c>
      <c r="I1172" s="7">
        <v>19.2</v>
      </c>
      <c r="J1172" s="7"/>
      <c r="L1172" s="3"/>
      <c r="M1172" s="3"/>
      <c r="N1172" s="3"/>
      <c r="O1172" s="3"/>
      <c r="P1172" s="3"/>
      <c r="Q1172" s="3"/>
      <c r="R1172" s="3"/>
      <c r="S1172" s="3"/>
    </row>
    <row r="1173" spans="2:19" ht="15.75" customHeight="1" x14ac:dyDescent="0.2">
      <c r="B1173" s="62"/>
      <c r="C1173" s="208">
        <v>42170</v>
      </c>
      <c r="D1173" s="19">
        <v>0.4236111111111111</v>
      </c>
      <c r="E1173" s="3">
        <v>4</v>
      </c>
      <c r="F1173" s="3">
        <v>7.35</v>
      </c>
      <c r="G1173" s="3">
        <v>79.099999999999994</v>
      </c>
      <c r="H1173" s="7">
        <v>19</v>
      </c>
      <c r="I1173" s="7">
        <v>19</v>
      </c>
      <c r="J1173" s="7"/>
      <c r="L1173" s="3"/>
      <c r="M1173" s="3"/>
      <c r="N1173" s="3"/>
      <c r="O1173" s="3"/>
      <c r="P1173" s="3"/>
      <c r="Q1173" s="3"/>
      <c r="R1173" s="3"/>
      <c r="S1173" s="3"/>
    </row>
    <row r="1174" spans="2:19" ht="15.75" customHeight="1" x14ac:dyDescent="0.2">
      <c r="B1174" s="62"/>
      <c r="C1174" s="208">
        <v>42170</v>
      </c>
      <c r="D1174" s="19">
        <v>0.4236111111111111</v>
      </c>
      <c r="E1174" s="3">
        <v>5</v>
      </c>
      <c r="F1174" s="3">
        <v>7.44</v>
      </c>
      <c r="G1174" s="3">
        <v>79.400000000000006</v>
      </c>
      <c r="H1174" s="7">
        <v>18.600000000000001</v>
      </c>
      <c r="I1174" s="7">
        <v>18.600000000000001</v>
      </c>
      <c r="J1174" s="7"/>
      <c r="L1174" s="3"/>
      <c r="M1174" s="3"/>
      <c r="N1174" s="3"/>
      <c r="O1174" s="3"/>
      <c r="P1174" s="3"/>
      <c r="Q1174" s="3"/>
      <c r="R1174" s="3"/>
      <c r="S1174" s="3"/>
    </row>
    <row r="1175" spans="2:19" ht="15.75" customHeight="1" x14ac:dyDescent="0.2">
      <c r="B1175" s="62"/>
      <c r="C1175" s="208">
        <v>42170</v>
      </c>
      <c r="D1175" s="19">
        <v>0.4236111111111111</v>
      </c>
      <c r="E1175" s="3">
        <v>6</v>
      </c>
      <c r="F1175" s="3">
        <v>8.36</v>
      </c>
      <c r="G1175" s="3">
        <v>81.5</v>
      </c>
      <c r="H1175" s="7">
        <v>14.3</v>
      </c>
      <c r="I1175" s="17">
        <f>AVERAGE(I1169:I1174)</f>
        <v>19.116666666666671</v>
      </c>
      <c r="J1175" s="17"/>
      <c r="L1175" s="3"/>
      <c r="M1175" s="3"/>
      <c r="N1175" s="3"/>
      <c r="O1175" s="3"/>
      <c r="P1175" s="3"/>
      <c r="Q1175" s="3"/>
      <c r="R1175" s="3"/>
      <c r="S1175" s="3"/>
    </row>
    <row r="1176" spans="2:19" ht="15.75" customHeight="1" x14ac:dyDescent="0.2">
      <c r="B1176" s="62"/>
      <c r="C1176" s="208">
        <v>42170</v>
      </c>
      <c r="D1176" s="19">
        <v>0.4236111111111111</v>
      </c>
      <c r="E1176" s="3">
        <v>7</v>
      </c>
      <c r="F1176" s="3">
        <v>8.9499999999999993</v>
      </c>
      <c r="G1176" s="3">
        <v>84.3</v>
      </c>
      <c r="H1176" s="7">
        <v>12.5</v>
      </c>
      <c r="I1176" s="3"/>
      <c r="L1176" s="3"/>
      <c r="M1176" s="3"/>
      <c r="N1176" s="3"/>
      <c r="O1176" s="3"/>
      <c r="P1176" s="3"/>
      <c r="Q1176" s="3"/>
      <c r="R1176" s="3"/>
      <c r="S1176" s="3"/>
    </row>
    <row r="1177" spans="2:19" ht="15.75" customHeight="1" x14ac:dyDescent="0.2">
      <c r="B1177" s="62"/>
      <c r="C1177" s="208">
        <v>42170</v>
      </c>
      <c r="D1177" s="19">
        <v>0.4236111111111111</v>
      </c>
      <c r="E1177" s="3">
        <v>8</v>
      </c>
      <c r="F1177" s="3">
        <v>9.09</v>
      </c>
      <c r="G1177" s="3">
        <v>83.8</v>
      </c>
      <c r="H1177" s="7">
        <v>11.8</v>
      </c>
      <c r="I1177" s="3"/>
      <c r="L1177" s="3"/>
      <c r="M1177" s="3"/>
      <c r="N1177" s="3"/>
      <c r="O1177" s="3"/>
      <c r="P1177" s="3"/>
      <c r="Q1177" s="3"/>
      <c r="R1177" s="3"/>
      <c r="S1177" s="3"/>
    </row>
    <row r="1178" spans="2:19" ht="15.75" customHeight="1" x14ac:dyDescent="0.2">
      <c r="B1178" s="62"/>
      <c r="C1178" s="208">
        <v>42170</v>
      </c>
      <c r="D1178" s="19">
        <v>0.4236111111111111</v>
      </c>
      <c r="E1178" s="3">
        <v>9</v>
      </c>
      <c r="F1178" s="3">
        <v>9.15</v>
      </c>
      <c r="G1178" s="3">
        <v>83.6</v>
      </c>
      <c r="H1178" s="7">
        <v>11.4</v>
      </c>
      <c r="I1178" s="3"/>
      <c r="L1178" s="3"/>
      <c r="M1178" s="3"/>
      <c r="N1178" s="3"/>
      <c r="O1178" s="3"/>
      <c r="P1178" s="3"/>
      <c r="Q1178" s="3"/>
      <c r="R1178" s="3"/>
      <c r="S1178" s="3"/>
    </row>
    <row r="1179" spans="2:19" ht="15.75" customHeight="1" x14ac:dyDescent="0.2">
      <c r="B1179" s="62"/>
      <c r="C1179" s="208">
        <v>42170</v>
      </c>
      <c r="D1179" s="19">
        <v>0.4236111111111111</v>
      </c>
      <c r="E1179" s="3">
        <v>10</v>
      </c>
      <c r="F1179" s="3">
        <v>9.19</v>
      </c>
      <c r="G1179" s="3">
        <v>83</v>
      </c>
      <c r="H1179" s="7">
        <v>11</v>
      </c>
      <c r="I1179" s="3"/>
      <c r="L1179" s="3"/>
      <c r="M1179" s="3"/>
      <c r="N1179" s="3"/>
      <c r="O1179" s="3"/>
      <c r="P1179" s="3"/>
      <c r="Q1179" s="3"/>
      <c r="R1179" s="3"/>
      <c r="S1179" s="3"/>
    </row>
    <row r="1180" spans="2:19" ht="15.75" customHeight="1" x14ac:dyDescent="0.2">
      <c r="B1180" s="62"/>
      <c r="C1180" s="208">
        <v>42170</v>
      </c>
      <c r="D1180" s="19">
        <v>0.4236111111111111</v>
      </c>
      <c r="E1180" s="3">
        <v>11</v>
      </c>
      <c r="F1180" s="3">
        <v>9.16</v>
      </c>
      <c r="G1180" s="3">
        <v>81.8</v>
      </c>
      <c r="H1180" s="7">
        <v>10.4</v>
      </c>
      <c r="I1180" s="3"/>
      <c r="L1180" s="3"/>
      <c r="M1180" s="3"/>
      <c r="N1180" s="3"/>
      <c r="O1180" s="3"/>
      <c r="P1180" s="3"/>
      <c r="Q1180" s="3"/>
      <c r="R1180" s="3"/>
      <c r="S1180" s="3"/>
    </row>
    <row r="1181" spans="2:19" ht="15.75" customHeight="1" x14ac:dyDescent="0.2">
      <c r="B1181" s="62"/>
      <c r="C1181" s="208">
        <v>42170</v>
      </c>
      <c r="D1181" s="19">
        <v>0.4236111111111111</v>
      </c>
      <c r="E1181" s="3">
        <v>12</v>
      </c>
      <c r="F1181" s="3">
        <v>9.1199999999999992</v>
      </c>
      <c r="G1181" s="3">
        <v>80.8</v>
      </c>
      <c r="H1181" s="7">
        <v>10.199999999999999</v>
      </c>
      <c r="I1181" s="3"/>
      <c r="L1181" s="3"/>
      <c r="M1181" s="3"/>
      <c r="N1181" s="3"/>
      <c r="O1181" s="3"/>
      <c r="P1181" s="3"/>
      <c r="Q1181" s="3"/>
      <c r="R1181" s="3"/>
      <c r="S1181" s="3"/>
    </row>
    <row r="1182" spans="2:19" ht="15.75" customHeight="1" x14ac:dyDescent="0.2">
      <c r="B1182" s="62"/>
      <c r="C1182" s="208">
        <v>42170</v>
      </c>
      <c r="D1182" s="19">
        <v>0.4236111111111111</v>
      </c>
      <c r="E1182" s="3">
        <v>13</v>
      </c>
      <c r="F1182" s="3">
        <v>9.02</v>
      </c>
      <c r="G1182" s="3">
        <v>79</v>
      </c>
      <c r="H1182" s="7">
        <v>9.6999999999999993</v>
      </c>
      <c r="I1182" s="3"/>
      <c r="L1182" s="3"/>
      <c r="M1182" s="3"/>
      <c r="N1182" s="3"/>
      <c r="O1182" s="3"/>
      <c r="P1182" s="3"/>
      <c r="Q1182" s="3"/>
      <c r="R1182" s="3"/>
      <c r="S1182" s="3"/>
    </row>
    <row r="1183" spans="2:19" ht="15.75" customHeight="1" x14ac:dyDescent="0.2">
      <c r="B1183" s="62"/>
      <c r="C1183" s="208">
        <v>42170</v>
      </c>
      <c r="D1183" s="19">
        <v>0.4236111111111111</v>
      </c>
      <c r="E1183" s="3">
        <v>14</v>
      </c>
      <c r="F1183" s="3">
        <v>8.9499999999999993</v>
      </c>
      <c r="G1183" s="3">
        <v>77.5</v>
      </c>
      <c r="H1183" s="7">
        <v>9.1999999999999993</v>
      </c>
      <c r="I1183" s="3"/>
      <c r="L1183" s="3"/>
      <c r="M1183" s="3"/>
      <c r="N1183" s="3"/>
      <c r="O1183" s="3"/>
      <c r="P1183" s="3"/>
      <c r="Q1183" s="3"/>
      <c r="R1183" s="3"/>
      <c r="S1183" s="3"/>
    </row>
    <row r="1184" spans="2:19" ht="15.75" customHeight="1" x14ac:dyDescent="0.2">
      <c r="B1184" s="62"/>
      <c r="C1184" s="208">
        <v>42170</v>
      </c>
      <c r="D1184" s="19">
        <v>0.4236111111111111</v>
      </c>
      <c r="E1184" s="3">
        <v>15</v>
      </c>
      <c r="F1184" s="3">
        <v>8.89</v>
      </c>
      <c r="G1184" s="3">
        <v>76.599999999999994</v>
      </c>
      <c r="H1184" s="7">
        <v>9</v>
      </c>
      <c r="I1184" s="3"/>
      <c r="L1184" s="3"/>
      <c r="M1184" s="3"/>
      <c r="N1184" s="3"/>
      <c r="O1184" s="3"/>
      <c r="P1184" s="3"/>
      <c r="Q1184" s="3"/>
      <c r="R1184" s="3"/>
      <c r="S1184" s="3"/>
    </row>
    <row r="1185" spans="2:19" ht="15.75" customHeight="1" x14ac:dyDescent="0.2">
      <c r="B1185" s="62"/>
      <c r="C1185" s="208">
        <v>42170</v>
      </c>
      <c r="D1185" s="19">
        <v>0.4236111111111111</v>
      </c>
      <c r="E1185" s="3">
        <v>16</v>
      </c>
      <c r="F1185" s="3">
        <v>8.83</v>
      </c>
      <c r="G1185" s="3">
        <v>75.599999999999994</v>
      </c>
      <c r="H1185" s="7">
        <v>8.8000000000000007</v>
      </c>
      <c r="I1185" s="3"/>
      <c r="L1185" s="3"/>
      <c r="M1185" s="3"/>
      <c r="N1185" s="3"/>
      <c r="O1185" s="3"/>
      <c r="P1185" s="3"/>
      <c r="Q1185" s="3"/>
      <c r="R1185" s="3"/>
      <c r="S1185" s="3"/>
    </row>
    <row r="1186" spans="2:19" ht="15.75" customHeight="1" x14ac:dyDescent="0.2">
      <c r="B1186" s="62"/>
      <c r="C1186" s="208">
        <v>42170</v>
      </c>
      <c r="D1186" s="19">
        <v>0.4236111111111111</v>
      </c>
      <c r="E1186" s="3">
        <v>17</v>
      </c>
      <c r="F1186" s="3">
        <v>8.77</v>
      </c>
      <c r="G1186" s="3">
        <v>74.400000000000006</v>
      </c>
      <c r="H1186" s="7">
        <v>8.4</v>
      </c>
      <c r="I1186" s="3"/>
      <c r="L1186" s="3"/>
      <c r="M1186" s="3"/>
      <c r="N1186" s="3"/>
      <c r="O1186" s="3"/>
      <c r="P1186" s="3"/>
      <c r="Q1186" s="3"/>
      <c r="R1186" s="3"/>
      <c r="S1186" s="3"/>
    </row>
    <row r="1187" spans="2:19" ht="15.75" customHeight="1" x14ac:dyDescent="0.2">
      <c r="B1187" s="62"/>
      <c r="C1187" s="208">
        <v>42170</v>
      </c>
      <c r="D1187" s="19">
        <v>0.4236111111111111</v>
      </c>
      <c r="E1187" s="3">
        <v>18</v>
      </c>
      <c r="F1187" s="3">
        <v>8.7100000000000009</v>
      </c>
      <c r="G1187" s="3">
        <v>73.599999999999994</v>
      </c>
      <c r="H1187" s="7">
        <v>8.1999999999999993</v>
      </c>
      <c r="I1187" s="3"/>
      <c r="L1187" s="3"/>
      <c r="M1187" s="3"/>
      <c r="N1187" s="3"/>
      <c r="O1187" s="3"/>
      <c r="P1187" s="3"/>
      <c r="Q1187" s="3"/>
      <c r="R1187" s="3"/>
      <c r="S1187" s="3"/>
    </row>
    <row r="1188" spans="2:19" ht="15.75" customHeight="1" x14ac:dyDescent="0.2">
      <c r="B1188" s="62"/>
      <c r="C1188" s="208">
        <v>42170</v>
      </c>
      <c r="D1188" s="19">
        <v>0.4236111111111111</v>
      </c>
      <c r="E1188" s="3">
        <v>19</v>
      </c>
      <c r="F1188" s="3">
        <v>8.66</v>
      </c>
      <c r="G1188" s="3">
        <v>72.7</v>
      </c>
      <c r="H1188" s="7">
        <v>7.9</v>
      </c>
      <c r="I1188" s="3"/>
      <c r="L1188" s="3"/>
      <c r="M1188" s="3"/>
      <c r="N1188" s="3"/>
      <c r="O1188" s="3"/>
      <c r="P1188" s="3"/>
      <c r="Q1188" s="3"/>
      <c r="R1188" s="3"/>
      <c r="S1188" s="3"/>
    </row>
    <row r="1189" spans="2:19" ht="15.75" customHeight="1" x14ac:dyDescent="0.2">
      <c r="B1189" s="62"/>
      <c r="C1189" s="208">
        <v>42170</v>
      </c>
      <c r="D1189" s="19">
        <v>0.4236111111111111</v>
      </c>
      <c r="E1189" s="3">
        <v>20</v>
      </c>
      <c r="F1189" s="3">
        <v>8.64</v>
      </c>
      <c r="G1189" s="3">
        <v>72.2</v>
      </c>
      <c r="H1189" s="7">
        <v>7.7</v>
      </c>
      <c r="I1189" s="3"/>
      <c r="L1189" s="3"/>
      <c r="M1189" s="3"/>
      <c r="N1189" s="3"/>
      <c r="O1189" s="3"/>
      <c r="P1189" s="3"/>
      <c r="Q1189" s="3"/>
      <c r="R1189" s="3"/>
      <c r="S1189" s="3"/>
    </row>
    <row r="1190" spans="2:19" ht="15.75" customHeight="1" x14ac:dyDescent="0.2">
      <c r="B1190" s="62"/>
      <c r="C1190" s="208">
        <v>42170</v>
      </c>
      <c r="D1190" s="19">
        <v>0.4236111111111111</v>
      </c>
      <c r="E1190" s="3">
        <v>21</v>
      </c>
      <c r="F1190" s="3">
        <v>8.58</v>
      </c>
      <c r="G1190" s="3">
        <v>70.900000000000006</v>
      </c>
      <c r="H1190" s="7">
        <v>7.3</v>
      </c>
      <c r="I1190" s="3"/>
      <c r="L1190" s="3"/>
      <c r="M1190" s="3"/>
      <c r="N1190" s="3"/>
      <c r="O1190" s="3"/>
      <c r="P1190" s="3"/>
      <c r="Q1190" s="3"/>
      <c r="R1190" s="3"/>
      <c r="S1190" s="3"/>
    </row>
    <row r="1191" spans="2:19" ht="15.75" customHeight="1" x14ac:dyDescent="0.2">
      <c r="B1191" s="62"/>
      <c r="C1191" s="208">
        <v>42170</v>
      </c>
      <c r="D1191" s="19">
        <v>0.4236111111111111</v>
      </c>
      <c r="E1191" s="3">
        <v>22</v>
      </c>
      <c r="F1191" s="3">
        <v>8.5500000000000007</v>
      </c>
      <c r="G1191" s="3">
        <v>70.099999999999994</v>
      </c>
      <c r="H1191" s="7">
        <v>6.9</v>
      </c>
      <c r="I1191" s="3"/>
      <c r="L1191" s="3"/>
      <c r="M1191" s="3"/>
      <c r="N1191" s="3"/>
      <c r="O1191" s="3"/>
      <c r="P1191" s="3"/>
      <c r="Q1191" s="3"/>
      <c r="R1191" s="3"/>
      <c r="S1191" s="3"/>
    </row>
    <row r="1192" spans="2:19" ht="15.75" customHeight="1" x14ac:dyDescent="0.2">
      <c r="B1192" s="62"/>
      <c r="C1192" s="208">
        <v>42170</v>
      </c>
      <c r="D1192" s="19">
        <v>0.4236111111111111</v>
      </c>
      <c r="E1192" s="3">
        <v>23</v>
      </c>
      <c r="F1192" s="3">
        <v>8.51</v>
      </c>
      <c r="G1192" s="3">
        <v>69.2</v>
      </c>
      <c r="H1192" s="7">
        <v>6.8</v>
      </c>
      <c r="I1192" s="3"/>
      <c r="L1192" s="3"/>
      <c r="M1192" s="3"/>
      <c r="N1192" s="3"/>
      <c r="O1192" s="3"/>
      <c r="P1192" s="3"/>
      <c r="Q1192" s="3"/>
      <c r="R1192" s="3"/>
      <c r="S1192" s="3"/>
    </row>
    <row r="1193" spans="2:19" ht="15.75" customHeight="1" x14ac:dyDescent="0.2">
      <c r="B1193" s="62"/>
      <c r="C1193" s="208">
        <v>42170</v>
      </c>
      <c r="D1193" s="19">
        <v>0.4236111111111111</v>
      </c>
      <c r="E1193" s="3">
        <v>24</v>
      </c>
      <c r="F1193" s="3">
        <v>8.43</v>
      </c>
      <c r="G1193" s="3">
        <v>68.5</v>
      </c>
      <c r="H1193" s="7">
        <v>6.5</v>
      </c>
      <c r="I1193" s="3"/>
      <c r="L1193" s="3"/>
      <c r="M1193" s="3"/>
      <c r="N1193" s="3"/>
      <c r="O1193" s="3"/>
      <c r="P1193" s="3"/>
      <c r="Q1193" s="3"/>
      <c r="R1193" s="3"/>
      <c r="S1193" s="3"/>
    </row>
    <row r="1194" spans="2:19" ht="15.75" customHeight="1" x14ac:dyDescent="0.2">
      <c r="B1194" s="62"/>
      <c r="C1194" s="208">
        <v>42170</v>
      </c>
      <c r="D1194" s="19">
        <v>0.4236111111111111</v>
      </c>
      <c r="E1194" s="3">
        <v>25</v>
      </c>
      <c r="F1194" s="3">
        <v>8.41</v>
      </c>
      <c r="G1194" s="3">
        <v>68.2</v>
      </c>
      <c r="H1194" s="7">
        <v>6.5</v>
      </c>
      <c r="I1194" s="3"/>
      <c r="L1194" s="3"/>
      <c r="M1194" s="3"/>
      <c r="N1194" s="3"/>
      <c r="O1194" s="3"/>
      <c r="P1194" s="3"/>
      <c r="Q1194" s="3"/>
      <c r="R1194" s="3"/>
      <c r="S1194" s="3"/>
    </row>
    <row r="1195" spans="2:19" ht="15.75" customHeight="1" x14ac:dyDescent="0.2">
      <c r="B1195" s="62"/>
      <c r="C1195" s="208">
        <v>42170</v>
      </c>
      <c r="D1195" s="19">
        <v>0.4236111111111111</v>
      </c>
      <c r="E1195" s="3">
        <v>30</v>
      </c>
      <c r="F1195" s="3">
        <v>8.33</v>
      </c>
      <c r="G1195" s="3">
        <v>67.3</v>
      </c>
      <c r="H1195" s="7">
        <v>6.2</v>
      </c>
      <c r="I1195" s="3"/>
      <c r="L1195" s="3"/>
      <c r="M1195" s="3"/>
      <c r="N1195" s="3"/>
      <c r="O1195" s="3"/>
      <c r="P1195" s="3"/>
      <c r="Q1195" s="3"/>
      <c r="R1195" s="3"/>
      <c r="S1195" s="3"/>
    </row>
    <row r="1196" spans="2:19" ht="15.75" customHeight="1" x14ac:dyDescent="0.2">
      <c r="B1196" s="62"/>
      <c r="C1196" s="208">
        <v>42170</v>
      </c>
      <c r="D1196" s="19">
        <v>0.4236111111111111</v>
      </c>
      <c r="E1196" s="3">
        <v>35</v>
      </c>
      <c r="F1196" s="3">
        <v>8.17</v>
      </c>
      <c r="G1196" s="3">
        <v>64.3</v>
      </c>
      <c r="H1196" s="7">
        <v>6</v>
      </c>
      <c r="I1196" s="3"/>
      <c r="O1196" s="3"/>
      <c r="P1196" s="3"/>
      <c r="Q1196" s="3"/>
      <c r="R1196" s="3"/>
      <c r="S1196" s="3"/>
    </row>
    <row r="1197" spans="2:19" ht="15.75" customHeight="1" x14ac:dyDescent="0.2">
      <c r="B1197" s="62"/>
      <c r="C1197" s="208"/>
      <c r="D1197" s="19"/>
      <c r="E1197" s="3"/>
      <c r="F1197" s="3"/>
      <c r="G1197" s="3"/>
      <c r="H1197" s="7"/>
      <c r="I1197" s="3"/>
      <c r="O1197" s="3"/>
      <c r="P1197" s="3"/>
      <c r="Q1197" s="3"/>
      <c r="R1197" s="3"/>
      <c r="S1197" s="3"/>
    </row>
    <row r="1198" spans="2:19" ht="15.75" customHeight="1" x14ac:dyDescent="0.2">
      <c r="B1198" s="62"/>
      <c r="C1198" s="208">
        <v>42206</v>
      </c>
      <c r="D1198" s="19">
        <v>0.41666666666666669</v>
      </c>
      <c r="E1198" s="3"/>
      <c r="F1198" s="3"/>
      <c r="G1198" s="3"/>
      <c r="H1198" s="7"/>
      <c r="I1198" s="3"/>
      <c r="J1198">
        <v>9</v>
      </c>
      <c r="K1198">
        <v>12</v>
      </c>
      <c r="L1198" s="3"/>
      <c r="M1198" s="3"/>
      <c r="N1198" s="3"/>
      <c r="O1198" s="3"/>
      <c r="P1198" s="3"/>
      <c r="Q1198" s="3"/>
      <c r="R1198" s="3"/>
      <c r="S1198" s="3"/>
    </row>
    <row r="1199" spans="2:19" ht="15.75" customHeight="1" x14ac:dyDescent="0.2">
      <c r="B1199" s="62"/>
      <c r="C1199" s="208">
        <v>42206</v>
      </c>
      <c r="D1199" s="19">
        <v>0.41666666666666669</v>
      </c>
      <c r="E1199" s="3">
        <v>0.1</v>
      </c>
      <c r="F1199" s="3">
        <v>7.44</v>
      </c>
      <c r="G1199" s="3">
        <v>86.2</v>
      </c>
      <c r="H1199" s="7">
        <v>22.5</v>
      </c>
      <c r="I1199" s="7">
        <v>22.5</v>
      </c>
      <c r="J1199" s="7"/>
      <c r="L1199" s="3"/>
      <c r="M1199" s="3"/>
      <c r="N1199" s="3"/>
      <c r="O1199" s="3"/>
      <c r="P1199" s="3"/>
      <c r="Q1199" s="3"/>
      <c r="R1199" s="3"/>
      <c r="S1199" s="3"/>
    </row>
    <row r="1200" spans="2:19" ht="15.75" customHeight="1" x14ac:dyDescent="0.2">
      <c r="B1200" s="62"/>
      <c r="C1200" s="208">
        <v>42206</v>
      </c>
      <c r="D1200" s="19">
        <v>0.41666666666666669</v>
      </c>
      <c r="E1200" s="3">
        <v>1</v>
      </c>
      <c r="F1200" s="3">
        <v>7.43</v>
      </c>
      <c r="G1200" s="3">
        <v>86.1</v>
      </c>
      <c r="H1200" s="7">
        <v>22.7</v>
      </c>
      <c r="I1200" s="7">
        <v>22.7</v>
      </c>
      <c r="J1200" s="7"/>
      <c r="L1200" s="3"/>
      <c r="M1200" s="3"/>
      <c r="N1200" s="3"/>
      <c r="O1200" s="3"/>
      <c r="P1200" s="3"/>
      <c r="Q1200" s="3"/>
      <c r="R1200" s="3"/>
      <c r="S1200" s="3"/>
    </row>
    <row r="1201" spans="2:19" ht="15.75" customHeight="1" x14ac:dyDescent="0.2">
      <c r="B1201" s="62"/>
      <c r="C1201" s="208">
        <v>42206</v>
      </c>
      <c r="D1201" s="19">
        <v>0.41666666666666669</v>
      </c>
      <c r="E1201" s="3">
        <v>2</v>
      </c>
      <c r="F1201" s="3">
        <v>7.4</v>
      </c>
      <c r="G1201" s="3">
        <v>85.7</v>
      </c>
      <c r="H1201" s="7">
        <v>22.7</v>
      </c>
      <c r="I1201" s="7">
        <v>22.7</v>
      </c>
      <c r="J1201" s="7"/>
      <c r="L1201" s="3"/>
      <c r="M1201" s="3"/>
      <c r="N1201" s="3"/>
      <c r="O1201" s="3"/>
      <c r="P1201" s="3"/>
      <c r="Q1201" s="3"/>
      <c r="R1201" s="3"/>
      <c r="S1201" s="3"/>
    </row>
    <row r="1202" spans="2:19" ht="15.75" customHeight="1" x14ac:dyDescent="0.2">
      <c r="B1202" s="62"/>
      <c r="C1202" s="208">
        <v>42206</v>
      </c>
      <c r="D1202" s="19">
        <v>0.41666666666666669</v>
      </c>
      <c r="E1202" s="3">
        <v>3</v>
      </c>
      <c r="F1202" s="3">
        <v>7.37</v>
      </c>
      <c r="G1202" s="3">
        <v>85.3</v>
      </c>
      <c r="H1202" s="7">
        <v>22.7</v>
      </c>
      <c r="I1202" s="7">
        <v>22.7</v>
      </c>
      <c r="J1202" s="7"/>
      <c r="L1202" s="3"/>
      <c r="M1202" s="3"/>
      <c r="N1202" s="3"/>
      <c r="O1202" s="3"/>
      <c r="P1202" s="3"/>
      <c r="Q1202" s="3"/>
      <c r="R1202" s="3"/>
      <c r="S1202" s="3"/>
    </row>
    <row r="1203" spans="2:19" ht="15.75" customHeight="1" x14ac:dyDescent="0.2">
      <c r="B1203" s="62"/>
      <c r="C1203" s="208">
        <v>42206</v>
      </c>
      <c r="D1203" s="19">
        <v>0.41666666666666669</v>
      </c>
      <c r="E1203" s="3">
        <v>4</v>
      </c>
      <c r="F1203" s="3">
        <v>7.34</v>
      </c>
      <c r="G1203" s="3">
        <v>85</v>
      </c>
      <c r="H1203" s="7">
        <v>22.7</v>
      </c>
      <c r="I1203" s="7">
        <v>22.7</v>
      </c>
      <c r="J1203" s="7"/>
      <c r="L1203" s="3"/>
      <c r="M1203" s="3"/>
      <c r="N1203" s="3"/>
      <c r="O1203" s="3"/>
      <c r="P1203" s="3"/>
      <c r="Q1203" s="3"/>
      <c r="R1203" s="3"/>
      <c r="S1203" s="3"/>
    </row>
    <row r="1204" spans="2:19" ht="15.75" customHeight="1" x14ac:dyDescent="0.2">
      <c r="B1204" s="62"/>
      <c r="C1204" s="208">
        <v>42206</v>
      </c>
      <c r="D1204" s="19">
        <v>0.41666666666666669</v>
      </c>
      <c r="E1204" s="3">
        <v>5</v>
      </c>
      <c r="F1204" s="3">
        <v>7.32</v>
      </c>
      <c r="G1204" s="3">
        <v>84.8</v>
      </c>
      <c r="H1204" s="7">
        <v>22.7</v>
      </c>
      <c r="I1204" s="7">
        <v>22.7</v>
      </c>
      <c r="J1204" s="7"/>
      <c r="L1204" s="3"/>
      <c r="M1204" s="3"/>
      <c r="N1204" s="3"/>
      <c r="O1204" s="3"/>
      <c r="P1204" s="3"/>
      <c r="Q1204" s="3"/>
      <c r="R1204" s="3"/>
      <c r="S1204" s="3"/>
    </row>
    <row r="1205" spans="2:19" ht="15.75" customHeight="1" x14ac:dyDescent="0.2">
      <c r="B1205" s="62"/>
      <c r="C1205" s="208">
        <v>42206</v>
      </c>
      <c r="D1205" s="19">
        <v>0.41666666666666669</v>
      </c>
      <c r="E1205" s="3">
        <v>6</v>
      </c>
      <c r="F1205" s="3">
        <v>7.3</v>
      </c>
      <c r="G1205" s="3">
        <v>84.6</v>
      </c>
      <c r="H1205" s="7">
        <v>22.7</v>
      </c>
      <c r="I1205" s="7">
        <v>22.7</v>
      </c>
      <c r="J1205" s="7"/>
      <c r="L1205" s="3"/>
      <c r="M1205" s="3"/>
      <c r="N1205" s="3"/>
      <c r="O1205" s="3"/>
      <c r="P1205" s="3"/>
      <c r="Q1205" s="3"/>
      <c r="R1205" s="3"/>
      <c r="S1205" s="3"/>
    </row>
    <row r="1206" spans="2:19" ht="15.75" customHeight="1" x14ac:dyDescent="0.2">
      <c r="B1206" s="62"/>
      <c r="C1206" s="208">
        <v>42206</v>
      </c>
      <c r="D1206" s="19">
        <v>0.41666666666666669</v>
      </c>
      <c r="E1206" s="3">
        <v>7</v>
      </c>
      <c r="F1206" s="3">
        <v>7.29</v>
      </c>
      <c r="G1206" s="3">
        <v>84.4</v>
      </c>
      <c r="H1206" s="7">
        <v>22.7</v>
      </c>
      <c r="I1206" s="7">
        <v>22.7</v>
      </c>
      <c r="J1206" s="7"/>
      <c r="L1206" s="3"/>
      <c r="M1206" s="3"/>
      <c r="N1206" s="3"/>
      <c r="O1206" s="3"/>
      <c r="P1206" s="3"/>
      <c r="Q1206" s="3"/>
      <c r="R1206" s="3"/>
      <c r="S1206" s="3"/>
    </row>
    <row r="1207" spans="2:19" ht="15.75" customHeight="1" x14ac:dyDescent="0.2">
      <c r="B1207" s="62"/>
      <c r="C1207" s="208">
        <v>42206</v>
      </c>
      <c r="D1207" s="19">
        <v>0.41666666666666669</v>
      </c>
      <c r="E1207" s="3">
        <v>8</v>
      </c>
      <c r="F1207" s="3">
        <v>7.28</v>
      </c>
      <c r="G1207" s="3">
        <v>84.2</v>
      </c>
      <c r="H1207" s="7">
        <v>22.6</v>
      </c>
      <c r="I1207" s="7">
        <v>22.6</v>
      </c>
      <c r="J1207" s="7"/>
      <c r="L1207" s="3"/>
      <c r="M1207" s="3"/>
      <c r="N1207" s="3"/>
      <c r="O1207" s="3"/>
      <c r="P1207" s="3"/>
      <c r="Q1207" s="3"/>
      <c r="R1207" s="3"/>
      <c r="S1207" s="3"/>
    </row>
    <row r="1208" spans="2:19" ht="15.75" customHeight="1" x14ac:dyDescent="0.2">
      <c r="B1208" s="62"/>
      <c r="C1208" s="208">
        <v>42206</v>
      </c>
      <c r="D1208" s="19">
        <v>0.41666666666666669</v>
      </c>
      <c r="E1208" s="3">
        <v>9</v>
      </c>
      <c r="F1208" s="3">
        <v>7.26</v>
      </c>
      <c r="G1208" s="3">
        <v>84</v>
      </c>
      <c r="H1208" s="7">
        <v>22.6</v>
      </c>
      <c r="I1208" s="7">
        <v>22.6</v>
      </c>
      <c r="J1208" s="7"/>
      <c r="L1208" s="3"/>
      <c r="M1208" s="3"/>
      <c r="N1208" s="3"/>
      <c r="O1208" s="3"/>
      <c r="P1208" s="3"/>
      <c r="Q1208" s="3"/>
      <c r="R1208" s="3"/>
      <c r="S1208" s="3"/>
    </row>
    <row r="1209" spans="2:19" ht="15.75" customHeight="1" x14ac:dyDescent="0.2">
      <c r="B1209" s="62"/>
      <c r="C1209" s="208">
        <v>42206</v>
      </c>
      <c r="D1209" s="19">
        <v>0.41666666666666669</v>
      </c>
      <c r="E1209" s="3">
        <v>10</v>
      </c>
      <c r="F1209" s="3">
        <v>7.26</v>
      </c>
      <c r="G1209" s="3">
        <v>84</v>
      </c>
      <c r="H1209" s="7">
        <v>22.5</v>
      </c>
      <c r="I1209" s="7">
        <v>22.5</v>
      </c>
      <c r="J1209" s="7"/>
      <c r="L1209" s="3"/>
      <c r="M1209" s="3"/>
      <c r="N1209" s="3"/>
      <c r="O1209" s="3"/>
      <c r="P1209" s="3"/>
      <c r="Q1209" s="3"/>
      <c r="R1209" s="3"/>
      <c r="S1209" s="3"/>
    </row>
    <row r="1210" spans="2:19" ht="15.75" customHeight="1" x14ac:dyDescent="0.2">
      <c r="B1210" s="62"/>
      <c r="C1210" s="208">
        <v>42206</v>
      </c>
      <c r="D1210" s="19">
        <v>0.41666666666666669</v>
      </c>
      <c r="E1210" s="3">
        <v>12</v>
      </c>
      <c r="F1210" s="3">
        <v>7.79</v>
      </c>
      <c r="G1210" s="3">
        <v>90.9</v>
      </c>
      <c r="H1210" s="7">
        <v>20.2</v>
      </c>
      <c r="I1210" s="17">
        <f>AVERAGE(I1199:I1209)</f>
        <v>22.645454545454541</v>
      </c>
      <c r="J1210" s="17"/>
      <c r="L1210" s="3"/>
      <c r="M1210" s="3"/>
      <c r="N1210" s="3"/>
      <c r="O1210" s="3"/>
      <c r="P1210" s="3"/>
      <c r="Q1210" s="3"/>
      <c r="R1210" s="3"/>
      <c r="S1210" s="3"/>
    </row>
    <row r="1211" spans="2:19" ht="15.75" customHeight="1" x14ac:dyDescent="0.2">
      <c r="B1211" s="62"/>
      <c r="C1211" s="208">
        <v>42206</v>
      </c>
      <c r="D1211" s="19">
        <v>0.41666666666666669</v>
      </c>
      <c r="E1211" s="3">
        <v>13</v>
      </c>
      <c r="F1211" s="3">
        <v>8.99</v>
      </c>
      <c r="G1211" s="3">
        <v>91</v>
      </c>
      <c r="H1211" s="7">
        <v>16.2</v>
      </c>
      <c r="I1211" s="3"/>
      <c r="L1211" s="3"/>
      <c r="M1211" s="3"/>
      <c r="N1211" s="3"/>
      <c r="O1211" s="3"/>
      <c r="P1211" s="3"/>
      <c r="Q1211" s="3"/>
      <c r="R1211" s="3"/>
      <c r="S1211" s="3"/>
    </row>
    <row r="1212" spans="2:19" ht="15.75" customHeight="1" x14ac:dyDescent="0.2">
      <c r="B1212" s="62"/>
      <c r="C1212" s="208">
        <v>42206</v>
      </c>
      <c r="D1212" s="19">
        <v>0.41666666666666669</v>
      </c>
      <c r="E1212" s="3">
        <v>14</v>
      </c>
      <c r="F1212" s="3">
        <v>9.6</v>
      </c>
      <c r="G1212" s="3">
        <v>92.2</v>
      </c>
      <c r="H1212" s="7">
        <v>14.5</v>
      </c>
      <c r="I1212" s="3"/>
      <c r="L1212" s="3"/>
      <c r="M1212" s="3"/>
      <c r="N1212" s="3"/>
      <c r="O1212" s="3"/>
      <c r="P1212" s="3"/>
      <c r="Q1212" s="3"/>
      <c r="R1212" s="3"/>
      <c r="S1212" s="3"/>
    </row>
    <row r="1213" spans="2:19" ht="15.75" customHeight="1" x14ac:dyDescent="0.2">
      <c r="B1213" s="62"/>
      <c r="C1213" s="208">
        <v>42206</v>
      </c>
      <c r="D1213" s="19">
        <v>0.41666666666666669</v>
      </c>
      <c r="E1213" s="3">
        <v>15</v>
      </c>
      <c r="F1213" s="3">
        <v>9.8000000000000007</v>
      </c>
      <c r="G1213" s="3">
        <v>92.1</v>
      </c>
      <c r="H1213" s="7">
        <v>12.6</v>
      </c>
      <c r="I1213" s="3"/>
      <c r="L1213" s="3"/>
      <c r="M1213" s="3"/>
      <c r="N1213" s="3"/>
      <c r="O1213" s="3"/>
      <c r="P1213" s="3"/>
      <c r="Q1213" s="3"/>
      <c r="R1213" s="3"/>
      <c r="S1213" s="3"/>
    </row>
    <row r="1214" spans="2:19" ht="15.75" customHeight="1" x14ac:dyDescent="0.2">
      <c r="B1214" s="62"/>
      <c r="C1214" s="208">
        <v>42206</v>
      </c>
      <c r="D1214" s="19">
        <v>0.41666666666666669</v>
      </c>
      <c r="E1214" s="3">
        <v>16</v>
      </c>
      <c r="F1214" s="3">
        <v>9.92</v>
      </c>
      <c r="G1214" s="3">
        <v>91.9</v>
      </c>
      <c r="H1214" s="7">
        <v>12</v>
      </c>
      <c r="I1214" s="3"/>
      <c r="L1214" s="3"/>
      <c r="M1214" s="3"/>
      <c r="N1214" s="3"/>
      <c r="O1214" s="3"/>
      <c r="P1214" s="3"/>
      <c r="Q1214" s="3"/>
      <c r="R1214" s="3"/>
      <c r="S1214" s="3"/>
    </row>
    <row r="1215" spans="2:19" ht="15.75" customHeight="1" x14ac:dyDescent="0.2">
      <c r="B1215" s="62"/>
      <c r="C1215" s="208">
        <v>42206</v>
      </c>
      <c r="D1215" s="19">
        <v>0.41666666666666669</v>
      </c>
      <c r="E1215" s="3">
        <v>17</v>
      </c>
      <c r="F1215" s="3">
        <v>9.92</v>
      </c>
      <c r="G1215" s="3">
        <v>90.6</v>
      </c>
      <c r="H1215" s="7">
        <v>11.6</v>
      </c>
      <c r="I1215" s="3"/>
      <c r="L1215" s="3"/>
      <c r="M1215" s="3"/>
      <c r="N1215" s="3"/>
      <c r="O1215" s="3"/>
      <c r="P1215" s="3"/>
      <c r="Q1215" s="3"/>
      <c r="R1215" s="3"/>
      <c r="S1215" s="3"/>
    </row>
    <row r="1216" spans="2:19" ht="15.75" customHeight="1" x14ac:dyDescent="0.2">
      <c r="B1216" s="62"/>
      <c r="C1216" s="208">
        <v>42206</v>
      </c>
      <c r="D1216" s="19">
        <v>0.41666666666666669</v>
      </c>
      <c r="E1216" s="3">
        <v>18</v>
      </c>
      <c r="F1216" s="3">
        <v>9.8699999999999992</v>
      </c>
      <c r="G1216" s="3">
        <v>85.4</v>
      </c>
      <c r="H1216" s="7">
        <v>10.199999999999999</v>
      </c>
      <c r="I1216" s="3"/>
      <c r="L1216" s="3"/>
      <c r="M1216" s="3"/>
      <c r="N1216" s="3"/>
      <c r="O1216" s="3"/>
      <c r="P1216" s="3"/>
      <c r="Q1216" s="3"/>
      <c r="R1216" s="3"/>
      <c r="S1216" s="3"/>
    </row>
    <row r="1217" spans="2:19" ht="15.75" customHeight="1" x14ac:dyDescent="0.2">
      <c r="B1217" s="62"/>
      <c r="C1217" s="208">
        <v>42206</v>
      </c>
      <c r="D1217" s="19">
        <v>0.41666666666666669</v>
      </c>
      <c r="E1217" s="3">
        <v>19</v>
      </c>
      <c r="F1217" s="3">
        <v>9.6300000000000008</v>
      </c>
      <c r="G1217" s="3">
        <v>81.900000000000006</v>
      </c>
      <c r="H1217" s="7">
        <v>9</v>
      </c>
      <c r="I1217" s="3"/>
      <c r="L1217" s="3"/>
      <c r="M1217" s="3"/>
      <c r="N1217" s="3"/>
      <c r="O1217" s="3"/>
      <c r="P1217" s="3"/>
      <c r="Q1217" s="3"/>
      <c r="R1217" s="3"/>
      <c r="S1217" s="3"/>
    </row>
    <row r="1218" spans="2:19" ht="15.75" customHeight="1" x14ac:dyDescent="0.2">
      <c r="B1218" s="62"/>
      <c r="C1218" s="208">
        <v>42206</v>
      </c>
      <c r="D1218" s="19">
        <v>0.41666666666666669</v>
      </c>
      <c r="E1218" s="3">
        <v>20</v>
      </c>
      <c r="F1218" s="3">
        <v>9.41</v>
      </c>
      <c r="G1218" s="3">
        <v>79.099999999999994</v>
      </c>
      <c r="H1218" s="7">
        <v>8.1</v>
      </c>
      <c r="I1218" s="3"/>
      <c r="L1218" s="3"/>
      <c r="M1218" s="3"/>
      <c r="N1218" s="3"/>
      <c r="O1218" s="3"/>
      <c r="P1218" s="3"/>
      <c r="Q1218" s="3"/>
      <c r="R1218" s="3"/>
      <c r="S1218" s="3"/>
    </row>
    <row r="1219" spans="2:19" ht="15.75" customHeight="1" x14ac:dyDescent="0.2">
      <c r="B1219" s="62"/>
      <c r="C1219" s="208">
        <v>42206</v>
      </c>
      <c r="D1219" s="19">
        <v>0.41666666666666669</v>
      </c>
      <c r="E1219" s="3">
        <v>21</v>
      </c>
      <c r="F1219" s="3">
        <v>9.23</v>
      </c>
      <c r="G1219" s="3">
        <v>76.8</v>
      </c>
      <c r="H1219" s="7">
        <v>7.7</v>
      </c>
      <c r="I1219" s="3"/>
      <c r="L1219" s="3"/>
      <c r="M1219" s="3"/>
      <c r="N1219" s="3"/>
      <c r="O1219" s="3"/>
      <c r="P1219" s="3"/>
      <c r="Q1219" s="3"/>
      <c r="R1219" s="3"/>
      <c r="S1219" s="3"/>
    </row>
    <row r="1220" spans="2:19" ht="15.75" customHeight="1" x14ac:dyDescent="0.2">
      <c r="B1220" s="62"/>
      <c r="C1220" s="208">
        <v>42206</v>
      </c>
      <c r="D1220" s="19">
        <v>0.41666666666666669</v>
      </c>
      <c r="E1220" s="3">
        <v>22</v>
      </c>
      <c r="F1220" s="3">
        <v>9.1199999999999992</v>
      </c>
      <c r="G1220" s="3">
        <v>75.900000000000006</v>
      </c>
      <c r="H1220" s="7">
        <v>7.5</v>
      </c>
      <c r="I1220" s="3"/>
      <c r="L1220" s="3"/>
      <c r="M1220" s="3"/>
      <c r="N1220" s="3"/>
      <c r="O1220" s="3"/>
      <c r="P1220" s="3"/>
      <c r="Q1220" s="3"/>
      <c r="R1220" s="3"/>
      <c r="S1220" s="3"/>
    </row>
    <row r="1221" spans="2:19" ht="15.75" customHeight="1" x14ac:dyDescent="0.2">
      <c r="B1221" s="62"/>
      <c r="C1221" s="208">
        <v>42206</v>
      </c>
      <c r="D1221" s="19">
        <v>0.41666666666666669</v>
      </c>
      <c r="E1221" s="3">
        <v>23</v>
      </c>
      <c r="F1221" s="3">
        <v>9.0299999999999994</v>
      </c>
      <c r="G1221" s="3">
        <v>75</v>
      </c>
      <c r="H1221" s="7">
        <v>7.4</v>
      </c>
      <c r="I1221" s="3"/>
      <c r="L1221" s="3"/>
      <c r="M1221" s="3"/>
      <c r="N1221" s="3"/>
      <c r="O1221" s="3"/>
      <c r="P1221" s="3"/>
      <c r="Q1221" s="3"/>
      <c r="R1221" s="3"/>
      <c r="S1221" s="3"/>
    </row>
    <row r="1222" spans="2:19" ht="15.75" customHeight="1" x14ac:dyDescent="0.2">
      <c r="C1222" s="208">
        <v>42206</v>
      </c>
      <c r="D1222" s="19">
        <v>0.41666666666666669</v>
      </c>
      <c r="E1222" s="3">
        <v>24</v>
      </c>
      <c r="F1222" s="3">
        <v>8.9600000000000009</v>
      </c>
      <c r="G1222" s="3">
        <v>74.099999999999994</v>
      </c>
      <c r="H1222" s="7">
        <v>7.3</v>
      </c>
      <c r="I1222" s="3"/>
      <c r="L1222" s="3"/>
      <c r="M1222" s="3"/>
      <c r="N1222" s="3"/>
      <c r="O1222" s="3"/>
      <c r="P1222" s="3"/>
      <c r="Q1222" s="3"/>
      <c r="R1222" s="3"/>
      <c r="S1222" s="3"/>
    </row>
    <row r="1223" spans="2:19" ht="15.75" customHeight="1" x14ac:dyDescent="0.2">
      <c r="C1223" s="208">
        <v>42206</v>
      </c>
      <c r="D1223" s="19">
        <v>0.41666666666666669</v>
      </c>
      <c r="E1223" s="3">
        <v>25</v>
      </c>
      <c r="F1223" s="3">
        <v>8.92</v>
      </c>
      <c r="G1223" s="3">
        <v>73.599999999999994</v>
      </c>
      <c r="H1223" s="7">
        <v>7.2</v>
      </c>
      <c r="I1223" s="3"/>
      <c r="L1223" s="3"/>
      <c r="M1223" s="3"/>
      <c r="N1223" s="3"/>
      <c r="O1223" s="3"/>
      <c r="P1223" s="3"/>
      <c r="Q1223" s="3"/>
      <c r="R1223" s="3"/>
      <c r="S1223" s="3"/>
    </row>
    <row r="1224" spans="2:19" ht="15.75" customHeight="1" x14ac:dyDescent="0.2">
      <c r="C1224" s="208">
        <v>42206</v>
      </c>
      <c r="D1224" s="19">
        <v>0.41666666666666669</v>
      </c>
      <c r="E1224" s="3">
        <v>26</v>
      </c>
      <c r="F1224" s="3">
        <v>8.85</v>
      </c>
      <c r="G1224" s="3">
        <v>72.900000000000006</v>
      </c>
      <c r="H1224" s="7">
        <v>7.1</v>
      </c>
      <c r="I1224" s="3"/>
      <c r="L1224" s="3"/>
      <c r="M1224" s="3"/>
      <c r="N1224" s="3"/>
      <c r="O1224" s="3"/>
      <c r="P1224" s="3"/>
      <c r="Q1224" s="3"/>
      <c r="R1224" s="3"/>
      <c r="S1224" s="3"/>
    </row>
    <row r="1225" spans="2:19" ht="15.75" customHeight="1" x14ac:dyDescent="0.2">
      <c r="C1225" s="208">
        <v>42206</v>
      </c>
      <c r="D1225" s="19">
        <v>0.41666666666666669</v>
      </c>
      <c r="E1225" s="3">
        <v>27</v>
      </c>
      <c r="F1225" s="3">
        <v>8.8000000000000007</v>
      </c>
      <c r="G1225" s="3">
        <v>72.3</v>
      </c>
      <c r="H1225" s="7">
        <v>7</v>
      </c>
      <c r="I1225" s="3"/>
      <c r="L1225" s="3"/>
      <c r="M1225" s="3"/>
      <c r="N1225" s="3"/>
      <c r="O1225" s="3"/>
      <c r="P1225" s="3"/>
      <c r="Q1225" s="3"/>
      <c r="R1225" s="3"/>
      <c r="S1225" s="3"/>
    </row>
    <row r="1226" spans="2:19" ht="15.75" customHeight="1" x14ac:dyDescent="0.2">
      <c r="C1226" s="208">
        <v>42206</v>
      </c>
      <c r="D1226" s="19">
        <v>0.41666666666666669</v>
      </c>
      <c r="E1226" s="3">
        <v>28</v>
      </c>
      <c r="F1226" s="3">
        <v>8.75</v>
      </c>
      <c r="G1226" s="3">
        <v>71.8</v>
      </c>
      <c r="H1226" s="7">
        <v>6.9</v>
      </c>
      <c r="I1226" s="3"/>
      <c r="L1226" s="3"/>
      <c r="M1226" s="3"/>
      <c r="N1226" s="3"/>
      <c r="O1226" s="3"/>
      <c r="P1226" s="3"/>
      <c r="Q1226" s="3"/>
      <c r="R1226" s="3"/>
      <c r="S1226" s="3"/>
    </row>
    <row r="1227" spans="2:19" ht="15.75" customHeight="1" x14ac:dyDescent="0.2">
      <c r="C1227" s="208">
        <v>42206</v>
      </c>
      <c r="D1227" s="19">
        <v>0.41666666666666669</v>
      </c>
      <c r="E1227" s="3">
        <v>29</v>
      </c>
      <c r="F1227" s="3">
        <v>8.7100000000000009</v>
      </c>
      <c r="G1227" s="3">
        <v>71.5</v>
      </c>
      <c r="H1227" s="7">
        <v>6.9</v>
      </c>
      <c r="I1227" s="3"/>
      <c r="L1227" s="3"/>
      <c r="M1227" s="3"/>
      <c r="N1227" s="3"/>
      <c r="O1227" s="3"/>
      <c r="P1227" s="3"/>
      <c r="Q1227" s="3"/>
      <c r="R1227" s="3"/>
      <c r="S1227" s="3"/>
    </row>
    <row r="1228" spans="2:19" ht="15.75" customHeight="1" x14ac:dyDescent="0.2">
      <c r="C1228" s="208">
        <v>42206</v>
      </c>
      <c r="D1228" s="19">
        <v>0.41666666666666669</v>
      </c>
      <c r="E1228" s="3">
        <v>30</v>
      </c>
      <c r="F1228" s="3">
        <v>8.6999999999999993</v>
      </c>
      <c r="G1228" s="3">
        <v>71.099999999999994</v>
      </c>
      <c r="H1228" s="7">
        <v>6.8</v>
      </c>
      <c r="I1228" s="3"/>
      <c r="L1228" s="3"/>
      <c r="M1228" s="3"/>
      <c r="N1228" s="3"/>
      <c r="O1228" s="3"/>
      <c r="P1228" s="3"/>
      <c r="Q1228" s="3"/>
      <c r="R1228" s="3"/>
      <c r="S1228" s="3"/>
    </row>
    <row r="1229" spans="2:19" ht="15.75" customHeight="1" x14ac:dyDescent="0.2">
      <c r="C1229" s="208">
        <v>42206</v>
      </c>
      <c r="D1229" s="19">
        <v>0.41666666666666669</v>
      </c>
      <c r="E1229" s="3">
        <v>31</v>
      </c>
      <c r="F1229" s="3">
        <v>8.69</v>
      </c>
      <c r="G1229" s="3">
        <v>71.099999999999994</v>
      </c>
      <c r="H1229" s="7">
        <v>6.7</v>
      </c>
      <c r="I1229" s="3"/>
      <c r="L1229" s="3"/>
      <c r="M1229" s="3"/>
      <c r="N1229" s="3"/>
      <c r="O1229" s="3"/>
      <c r="P1229" s="3"/>
      <c r="Q1229" s="3"/>
      <c r="R1229" s="3"/>
      <c r="S1229" s="3"/>
    </row>
    <row r="1230" spans="2:19" ht="15.75" customHeight="1" x14ac:dyDescent="0.2">
      <c r="C1230" s="208"/>
      <c r="D1230" s="56"/>
      <c r="E1230" s="3"/>
      <c r="F1230" s="3"/>
      <c r="G1230" s="3"/>
      <c r="H1230" s="7"/>
      <c r="I1230" s="3"/>
      <c r="L1230" s="3"/>
      <c r="M1230" s="3"/>
      <c r="N1230" s="3"/>
      <c r="O1230" s="3"/>
      <c r="P1230" s="3"/>
      <c r="Q1230" s="3"/>
      <c r="R1230" s="3"/>
      <c r="S1230" s="3"/>
    </row>
    <row r="1231" spans="2:19" ht="15.75" customHeight="1" x14ac:dyDescent="0.2">
      <c r="C1231" s="208">
        <v>42269</v>
      </c>
      <c r="D1231" s="19">
        <v>0.41319444444444442</v>
      </c>
      <c r="E1231" s="3"/>
      <c r="F1231" s="3"/>
      <c r="G1231" s="3"/>
      <c r="H1231" s="7"/>
      <c r="I1231" s="3"/>
      <c r="J1231">
        <v>10</v>
      </c>
      <c r="K1231">
        <v>12</v>
      </c>
      <c r="L1231" s="3"/>
      <c r="M1231" s="3"/>
      <c r="N1231" s="3"/>
      <c r="O1231" s="3"/>
      <c r="P1231" s="3"/>
      <c r="Q1231" s="3"/>
      <c r="R1231" s="3"/>
      <c r="S1231" s="3"/>
    </row>
    <row r="1232" spans="2:19" ht="15.75" customHeight="1" x14ac:dyDescent="0.2">
      <c r="C1232" s="208">
        <v>42269</v>
      </c>
      <c r="D1232" s="19">
        <v>0.41319444444444442</v>
      </c>
      <c r="E1232" s="3">
        <v>0.1</v>
      </c>
      <c r="F1232" s="3">
        <v>7.44</v>
      </c>
      <c r="G1232" s="3">
        <v>76.2</v>
      </c>
      <c r="H1232" s="7">
        <v>16.600000000000001</v>
      </c>
      <c r="I1232" s="7">
        <v>16.600000000000001</v>
      </c>
      <c r="J1232" s="7"/>
      <c r="L1232" s="3"/>
      <c r="M1232" s="3"/>
      <c r="N1232" s="3"/>
      <c r="O1232" s="3"/>
      <c r="P1232" s="3"/>
      <c r="Q1232" s="3"/>
      <c r="R1232" s="3"/>
      <c r="S1232" s="3"/>
    </row>
    <row r="1233" spans="3:19" ht="15.75" customHeight="1" x14ac:dyDescent="0.2">
      <c r="C1233" s="208">
        <v>42269</v>
      </c>
      <c r="D1233" s="19">
        <v>0.41319444444444442</v>
      </c>
      <c r="E1233" s="3">
        <v>1</v>
      </c>
      <c r="F1233" s="3">
        <v>7.44</v>
      </c>
      <c r="G1233" s="3">
        <v>76.099999999999994</v>
      </c>
      <c r="H1233" s="7">
        <v>16.399999999999999</v>
      </c>
      <c r="I1233" s="7">
        <v>16.399999999999999</v>
      </c>
      <c r="J1233" s="7"/>
      <c r="L1233" s="3"/>
      <c r="M1233" s="3"/>
      <c r="N1233" s="3"/>
      <c r="O1233" s="3"/>
      <c r="P1233" s="3"/>
      <c r="Q1233" s="3"/>
      <c r="R1233" s="3"/>
      <c r="S1233" s="3"/>
    </row>
    <row r="1234" spans="3:19" ht="15.75" customHeight="1" x14ac:dyDescent="0.2">
      <c r="C1234" s="208">
        <v>42269</v>
      </c>
      <c r="D1234" s="19">
        <v>0.41319444444444442</v>
      </c>
      <c r="E1234" s="3">
        <v>2</v>
      </c>
      <c r="F1234" s="3">
        <v>7.43</v>
      </c>
      <c r="G1234" s="3">
        <v>75.8</v>
      </c>
      <c r="H1234" s="7">
        <v>16.399999999999999</v>
      </c>
      <c r="I1234" s="7">
        <v>16.399999999999999</v>
      </c>
      <c r="J1234" s="7"/>
      <c r="L1234" s="3"/>
      <c r="M1234" s="3"/>
      <c r="N1234" s="3"/>
      <c r="O1234" s="3"/>
      <c r="P1234" s="3"/>
      <c r="Q1234" s="3"/>
      <c r="R1234" s="3"/>
      <c r="S1234" s="3"/>
    </row>
    <row r="1235" spans="3:19" ht="15.75" customHeight="1" x14ac:dyDescent="0.2">
      <c r="C1235" s="208">
        <v>42269</v>
      </c>
      <c r="D1235" s="19">
        <v>0.41319444444444442</v>
      </c>
      <c r="E1235" s="3">
        <v>3</v>
      </c>
      <c r="F1235" s="3">
        <v>7.39</v>
      </c>
      <c r="G1235" s="3">
        <v>75.400000000000006</v>
      </c>
      <c r="H1235" s="7">
        <v>16.399999999999999</v>
      </c>
      <c r="I1235" s="7">
        <v>16.399999999999999</v>
      </c>
      <c r="J1235" s="7"/>
      <c r="L1235" s="3"/>
      <c r="M1235" s="3"/>
      <c r="N1235" s="3"/>
      <c r="O1235" s="3"/>
      <c r="P1235" s="3"/>
      <c r="Q1235" s="3"/>
      <c r="R1235" s="3"/>
      <c r="S1235" s="3"/>
    </row>
    <row r="1236" spans="3:19" ht="15.75" customHeight="1" x14ac:dyDescent="0.2">
      <c r="C1236" s="208">
        <v>42269</v>
      </c>
      <c r="D1236" s="19">
        <v>0.41319444444444442</v>
      </c>
      <c r="E1236" s="3">
        <v>4</v>
      </c>
      <c r="F1236" s="3">
        <v>7.36</v>
      </c>
      <c r="G1236" s="3">
        <v>75.2</v>
      </c>
      <c r="H1236" s="7">
        <v>16.399999999999999</v>
      </c>
      <c r="I1236" s="7">
        <v>16.399999999999999</v>
      </c>
      <c r="J1236" s="7"/>
      <c r="L1236" s="3"/>
      <c r="M1236" s="3"/>
      <c r="N1236" s="3"/>
      <c r="O1236" s="3"/>
      <c r="P1236" s="3"/>
      <c r="Q1236" s="3"/>
      <c r="R1236" s="3"/>
      <c r="S1236" s="3"/>
    </row>
    <row r="1237" spans="3:19" ht="15.75" customHeight="1" x14ac:dyDescent="0.2">
      <c r="C1237" s="208">
        <v>42269</v>
      </c>
      <c r="D1237" s="19">
        <v>0.41319444444444442</v>
      </c>
      <c r="E1237" s="3">
        <v>5</v>
      </c>
      <c r="F1237" s="3">
        <v>7.35</v>
      </c>
      <c r="G1237" s="3">
        <v>74.900000000000006</v>
      </c>
      <c r="H1237" s="7">
        <v>16.399999999999999</v>
      </c>
      <c r="I1237" s="7">
        <v>16.399999999999999</v>
      </c>
      <c r="J1237" s="7"/>
      <c r="L1237" s="3"/>
      <c r="M1237" s="3"/>
      <c r="N1237" s="3"/>
      <c r="O1237" s="3"/>
      <c r="P1237" s="3"/>
      <c r="Q1237" s="3"/>
      <c r="R1237" s="3"/>
      <c r="S1237" s="3"/>
    </row>
    <row r="1238" spans="3:19" ht="15.75" customHeight="1" x14ac:dyDescent="0.2">
      <c r="C1238" s="208">
        <v>42269</v>
      </c>
      <c r="D1238" s="19">
        <v>0.41319444444444442</v>
      </c>
      <c r="E1238" s="3">
        <v>6</v>
      </c>
      <c r="F1238" s="3">
        <v>7.32</v>
      </c>
      <c r="G1238" s="3">
        <v>74.599999999999994</v>
      </c>
      <c r="H1238" s="7">
        <v>16.3</v>
      </c>
      <c r="I1238" s="7">
        <v>16.3</v>
      </c>
      <c r="J1238" s="7"/>
      <c r="L1238" s="3"/>
      <c r="M1238" s="3"/>
      <c r="N1238" s="3"/>
      <c r="O1238" s="3"/>
      <c r="P1238" s="3"/>
      <c r="Q1238" s="3"/>
      <c r="R1238" s="3"/>
      <c r="S1238" s="3"/>
    </row>
    <row r="1239" spans="3:19" ht="15.75" customHeight="1" x14ac:dyDescent="0.2">
      <c r="C1239" s="208">
        <v>42269</v>
      </c>
      <c r="D1239" s="19">
        <v>0.41319444444444442</v>
      </c>
      <c r="E1239" s="3">
        <v>7</v>
      </c>
      <c r="F1239" s="3">
        <v>7.3</v>
      </c>
      <c r="G1239" s="3">
        <v>74.400000000000006</v>
      </c>
      <c r="H1239" s="7">
        <v>16.3</v>
      </c>
      <c r="I1239" s="7">
        <v>16.3</v>
      </c>
      <c r="J1239" s="7"/>
      <c r="L1239" s="3"/>
      <c r="M1239" s="3"/>
      <c r="N1239" s="3"/>
      <c r="O1239" s="3"/>
      <c r="P1239" s="3"/>
      <c r="Q1239" s="3"/>
      <c r="R1239" s="3"/>
      <c r="S1239" s="3"/>
    </row>
    <row r="1240" spans="3:19" ht="15.75" customHeight="1" x14ac:dyDescent="0.2">
      <c r="C1240" s="208">
        <v>42269</v>
      </c>
      <c r="D1240" s="19">
        <v>0.41319444444444442</v>
      </c>
      <c r="E1240" s="3">
        <v>8</v>
      </c>
      <c r="F1240" s="3">
        <v>7.28</v>
      </c>
      <c r="G1240" s="3">
        <v>74.2</v>
      </c>
      <c r="H1240" s="7">
        <v>16.3</v>
      </c>
      <c r="I1240" s="7">
        <v>16.3</v>
      </c>
      <c r="J1240" s="7"/>
      <c r="L1240" s="3"/>
      <c r="M1240" s="3"/>
      <c r="N1240" s="3"/>
      <c r="O1240" s="3"/>
      <c r="P1240" s="3"/>
      <c r="Q1240" s="3"/>
      <c r="R1240" s="3"/>
      <c r="S1240" s="3"/>
    </row>
    <row r="1241" spans="3:19" ht="15.75" customHeight="1" x14ac:dyDescent="0.2">
      <c r="C1241" s="208">
        <v>42269</v>
      </c>
      <c r="D1241" s="19">
        <v>0.41319444444444442</v>
      </c>
      <c r="E1241" s="3">
        <v>9</v>
      </c>
      <c r="F1241" s="3">
        <v>7.27</v>
      </c>
      <c r="G1241" s="3">
        <v>74</v>
      </c>
      <c r="H1241" s="7">
        <v>16.3</v>
      </c>
      <c r="I1241" s="7">
        <v>16.3</v>
      </c>
      <c r="J1241" s="7"/>
      <c r="L1241" s="3"/>
      <c r="M1241" s="3"/>
      <c r="N1241" s="3"/>
      <c r="O1241" s="3"/>
      <c r="P1241" s="3"/>
      <c r="Q1241" s="3"/>
      <c r="R1241" s="3"/>
      <c r="S1241" s="3"/>
    </row>
    <row r="1242" spans="3:19" ht="15.75" customHeight="1" x14ac:dyDescent="0.2">
      <c r="C1242" s="208">
        <v>42269</v>
      </c>
      <c r="D1242" s="19">
        <v>0.41319444444444442</v>
      </c>
      <c r="E1242" s="3">
        <v>10</v>
      </c>
      <c r="F1242" s="3">
        <v>7.25</v>
      </c>
      <c r="G1242" s="3">
        <v>73.900000000000006</v>
      </c>
      <c r="H1242" s="7">
        <v>16.3</v>
      </c>
      <c r="I1242" s="7">
        <v>16.3</v>
      </c>
      <c r="J1242" s="7"/>
      <c r="L1242" s="3"/>
      <c r="M1242" s="3"/>
      <c r="N1242" s="3"/>
      <c r="O1242" s="3"/>
      <c r="P1242" s="3"/>
      <c r="Q1242" s="3"/>
      <c r="R1242" s="3"/>
      <c r="S1242" s="3"/>
    </row>
    <row r="1243" spans="3:19" ht="15.75" customHeight="1" x14ac:dyDescent="0.2">
      <c r="C1243" s="208">
        <v>42269</v>
      </c>
      <c r="D1243" s="19">
        <v>0.41319444444444442</v>
      </c>
      <c r="E1243" s="3">
        <v>11</v>
      </c>
      <c r="F1243" s="3">
        <v>7.22</v>
      </c>
      <c r="G1243" s="3">
        <v>73.599999999999994</v>
      </c>
      <c r="H1243" s="7">
        <v>16.3</v>
      </c>
      <c r="I1243" s="7">
        <v>16.3</v>
      </c>
      <c r="J1243" s="7"/>
      <c r="L1243" s="3"/>
      <c r="M1243" s="3"/>
      <c r="N1243" s="3"/>
      <c r="O1243" s="3"/>
      <c r="P1243" s="3"/>
      <c r="Q1243" s="3"/>
      <c r="R1243" s="3"/>
      <c r="S1243" s="3"/>
    </row>
    <row r="1244" spans="3:19" ht="15.75" customHeight="1" x14ac:dyDescent="0.2">
      <c r="C1244" s="208">
        <v>42269</v>
      </c>
      <c r="D1244" s="19">
        <v>0.41319444444444442</v>
      </c>
      <c r="E1244" s="3">
        <v>12</v>
      </c>
      <c r="F1244" s="3">
        <v>7.21</v>
      </c>
      <c r="G1244" s="3">
        <v>73.5</v>
      </c>
      <c r="H1244" s="7">
        <v>16.3</v>
      </c>
      <c r="I1244" s="7">
        <v>16.3</v>
      </c>
      <c r="J1244" s="7"/>
      <c r="L1244" s="3"/>
      <c r="M1244" s="3"/>
      <c r="N1244" s="3"/>
      <c r="O1244" s="3"/>
      <c r="P1244" s="3"/>
      <c r="Q1244" s="3"/>
      <c r="R1244" s="3"/>
      <c r="S1244" s="3"/>
    </row>
    <row r="1245" spans="3:19" ht="15.75" customHeight="1" x14ac:dyDescent="0.2">
      <c r="C1245" s="208">
        <v>42269</v>
      </c>
      <c r="D1245" s="19">
        <v>0.41319444444444442</v>
      </c>
      <c r="E1245" s="3">
        <v>13</v>
      </c>
      <c r="F1245" s="3">
        <v>7.17</v>
      </c>
      <c r="G1245" s="3">
        <v>73.2</v>
      </c>
      <c r="H1245" s="7">
        <v>16.3</v>
      </c>
      <c r="I1245" s="7">
        <v>16.3</v>
      </c>
      <c r="J1245" s="7"/>
      <c r="L1245" s="3"/>
      <c r="M1245" s="3"/>
      <c r="N1245" s="3"/>
      <c r="O1245" s="3"/>
      <c r="P1245" s="3"/>
      <c r="Q1245" s="3"/>
      <c r="R1245" s="3"/>
      <c r="S1245" s="3"/>
    </row>
    <row r="1246" spans="3:19" ht="15.75" customHeight="1" x14ac:dyDescent="0.2">
      <c r="C1246" s="208">
        <v>42269</v>
      </c>
      <c r="D1246" s="19">
        <v>0.41319444444444442</v>
      </c>
      <c r="E1246" s="3">
        <v>14</v>
      </c>
      <c r="F1246" s="3">
        <v>7.65</v>
      </c>
      <c r="G1246" s="3">
        <v>69.900000000000006</v>
      </c>
      <c r="H1246" s="7">
        <v>11.3</v>
      </c>
      <c r="I1246" s="17">
        <f>AVERAGE(I1232:I1245)</f>
        <v>16.357142857142861</v>
      </c>
      <c r="J1246" s="17"/>
      <c r="L1246" s="3"/>
      <c r="M1246" s="3"/>
      <c r="N1246" s="3"/>
      <c r="O1246" s="3"/>
      <c r="P1246" s="3"/>
      <c r="Q1246" s="3"/>
      <c r="R1246" s="3"/>
      <c r="S1246" s="3"/>
    </row>
    <row r="1247" spans="3:19" ht="15.75" customHeight="1" x14ac:dyDescent="0.2">
      <c r="C1247" s="208">
        <v>42269</v>
      </c>
      <c r="D1247" s="19">
        <v>0.41319444444444442</v>
      </c>
      <c r="E1247" s="3">
        <v>15</v>
      </c>
      <c r="F1247" s="3">
        <v>7.9</v>
      </c>
      <c r="G1247" s="3">
        <v>69.2</v>
      </c>
      <c r="H1247" s="7">
        <v>9.6</v>
      </c>
      <c r="I1247" s="3"/>
      <c r="L1247" s="3"/>
      <c r="M1247" s="3"/>
      <c r="N1247" s="3"/>
      <c r="O1247" s="3"/>
      <c r="P1247" s="3"/>
      <c r="Q1247" s="3"/>
      <c r="R1247" s="3"/>
      <c r="S1247" s="3"/>
    </row>
    <row r="1248" spans="3:19" ht="15.75" customHeight="1" x14ac:dyDescent="0.2">
      <c r="C1248" s="208">
        <v>42269</v>
      </c>
      <c r="D1248" s="19">
        <v>0.41319444444444442</v>
      </c>
      <c r="E1248" s="3">
        <v>16</v>
      </c>
      <c r="F1248" s="3">
        <v>7.89</v>
      </c>
      <c r="G1248" s="3">
        <v>67.7</v>
      </c>
      <c r="H1248" s="7">
        <v>9</v>
      </c>
      <c r="I1248" s="3"/>
      <c r="L1248" s="3"/>
      <c r="M1248" s="3"/>
      <c r="N1248" s="3"/>
      <c r="O1248" s="3"/>
      <c r="P1248" s="3"/>
      <c r="Q1248" s="3"/>
      <c r="R1248" s="3"/>
      <c r="S1248" s="3"/>
    </row>
    <row r="1249" spans="3:19" ht="15.75" customHeight="1" x14ac:dyDescent="0.2">
      <c r="C1249" s="208">
        <v>42269</v>
      </c>
      <c r="D1249" s="19">
        <v>0.41319444444444442</v>
      </c>
      <c r="E1249" s="3">
        <v>17</v>
      </c>
      <c r="F1249" s="3">
        <v>7.81</v>
      </c>
      <c r="G1249" s="3">
        <v>66.3</v>
      </c>
      <c r="H1249" s="7">
        <v>8.5</v>
      </c>
      <c r="I1249" s="3"/>
      <c r="L1249" s="3"/>
      <c r="M1249" s="3"/>
      <c r="N1249" s="3"/>
      <c r="O1249" s="3"/>
      <c r="P1249" s="3"/>
      <c r="Q1249" s="3"/>
      <c r="R1249" s="3"/>
      <c r="S1249" s="3"/>
    </row>
    <row r="1250" spans="3:19" ht="15.75" customHeight="1" x14ac:dyDescent="0.2">
      <c r="C1250" s="208">
        <v>42269</v>
      </c>
      <c r="D1250" s="19">
        <v>0.41319444444444442</v>
      </c>
      <c r="E1250" s="3">
        <v>18</v>
      </c>
      <c r="F1250" s="3">
        <v>7.68</v>
      </c>
      <c r="G1250" s="3">
        <v>64.2</v>
      </c>
      <c r="H1250" s="7">
        <v>8</v>
      </c>
      <c r="I1250" s="3"/>
      <c r="L1250" s="3"/>
      <c r="M1250" s="3"/>
      <c r="N1250" s="3"/>
      <c r="O1250" s="3"/>
      <c r="P1250" s="3"/>
      <c r="Q1250" s="3"/>
      <c r="R1250" s="3"/>
      <c r="S1250" s="3"/>
    </row>
    <row r="1251" spans="3:19" ht="15.75" customHeight="1" x14ac:dyDescent="0.2">
      <c r="C1251" s="208">
        <v>42269</v>
      </c>
      <c r="D1251" s="19">
        <v>0.41319444444444442</v>
      </c>
      <c r="E1251" s="3">
        <v>19</v>
      </c>
      <c r="F1251" s="3">
        <v>7.6</v>
      </c>
      <c r="G1251" s="3">
        <v>62.9</v>
      </c>
      <c r="H1251" s="7">
        <v>7.4</v>
      </c>
      <c r="I1251" s="3"/>
      <c r="L1251" s="3"/>
      <c r="M1251" s="3"/>
      <c r="N1251" s="3"/>
      <c r="O1251" s="3"/>
      <c r="P1251" s="3"/>
      <c r="Q1251" s="3"/>
      <c r="R1251" s="3"/>
      <c r="S1251" s="3"/>
    </row>
    <row r="1252" spans="3:19" ht="15.75" customHeight="1" x14ac:dyDescent="0.2">
      <c r="C1252" s="208">
        <v>42269</v>
      </c>
      <c r="D1252" s="19">
        <v>0.41319444444444442</v>
      </c>
      <c r="E1252" s="3">
        <v>20</v>
      </c>
      <c r="F1252" s="3">
        <v>7.53</v>
      </c>
      <c r="G1252" s="3">
        <v>62.1</v>
      </c>
      <c r="H1252" s="7">
        <v>7.2</v>
      </c>
      <c r="I1252" s="3"/>
      <c r="L1252" s="3"/>
      <c r="M1252" s="3"/>
      <c r="N1252" s="3"/>
      <c r="O1252" s="3"/>
      <c r="P1252" s="3"/>
      <c r="Q1252" s="3"/>
      <c r="R1252" s="3"/>
      <c r="S1252" s="3"/>
    </row>
    <row r="1253" spans="3:19" ht="15.75" customHeight="1" x14ac:dyDescent="0.2">
      <c r="C1253" s="208">
        <v>42269</v>
      </c>
      <c r="D1253" s="19">
        <v>0.41319444444444442</v>
      </c>
      <c r="E1253" s="3">
        <v>21</v>
      </c>
      <c r="F1253" s="3">
        <v>7.47</v>
      </c>
      <c r="G1253" s="3">
        <v>61.6</v>
      </c>
      <c r="H1253" s="7">
        <v>7.1</v>
      </c>
      <c r="I1253" s="3"/>
      <c r="L1253" s="3"/>
      <c r="M1253" s="3"/>
      <c r="N1253" s="3"/>
      <c r="O1253" s="3"/>
      <c r="P1253" s="3"/>
      <c r="Q1253" s="3"/>
      <c r="R1253" s="3"/>
      <c r="S1253" s="3"/>
    </row>
    <row r="1254" spans="3:19" ht="15.75" customHeight="1" x14ac:dyDescent="0.2">
      <c r="C1254" s="208">
        <v>42269</v>
      </c>
      <c r="D1254" s="19">
        <v>0.41319444444444442</v>
      </c>
      <c r="E1254" s="3">
        <v>22</v>
      </c>
      <c r="F1254" s="3">
        <v>7.45</v>
      </c>
      <c r="G1254" s="3">
        <v>61.5</v>
      </c>
      <c r="H1254" s="7">
        <v>7</v>
      </c>
      <c r="I1254" s="3"/>
      <c r="L1254" s="3"/>
      <c r="M1254" s="3"/>
      <c r="N1254" s="3"/>
      <c r="O1254" s="3"/>
      <c r="P1254" s="3"/>
      <c r="Q1254" s="3"/>
      <c r="R1254" s="3"/>
      <c r="S1254" s="3"/>
    </row>
    <row r="1255" spans="3:19" ht="15.75" customHeight="1" x14ac:dyDescent="0.2">
      <c r="C1255" s="208">
        <v>42269</v>
      </c>
      <c r="D1255" s="19">
        <v>0.41319444444444442</v>
      </c>
      <c r="E1255" s="3">
        <v>23</v>
      </c>
      <c r="F1255" s="3">
        <v>7.47</v>
      </c>
      <c r="G1255" s="3">
        <v>61.4</v>
      </c>
      <c r="H1255" s="7">
        <v>6.9</v>
      </c>
      <c r="I1255" s="3"/>
      <c r="L1255" s="3"/>
      <c r="M1255" s="3"/>
      <c r="N1255" s="3"/>
      <c r="O1255" s="3"/>
      <c r="P1255" s="3"/>
      <c r="Q1255" s="3"/>
      <c r="R1255" s="3"/>
      <c r="S1255" s="3"/>
    </row>
    <row r="1256" spans="3:19" ht="15.75" customHeight="1" x14ac:dyDescent="0.2">
      <c r="C1256" s="208">
        <v>42269</v>
      </c>
      <c r="D1256" s="19">
        <v>0.41319444444444442</v>
      </c>
      <c r="E1256" s="3">
        <v>24</v>
      </c>
      <c r="F1256" s="3">
        <v>7.47</v>
      </c>
      <c r="G1256" s="3">
        <v>61.4</v>
      </c>
      <c r="H1256" s="7">
        <v>6.9</v>
      </c>
      <c r="I1256" s="3"/>
      <c r="L1256" s="3"/>
      <c r="M1256" s="3"/>
      <c r="N1256" s="3"/>
      <c r="O1256" s="3"/>
      <c r="P1256" s="3"/>
      <c r="Q1256" s="3"/>
      <c r="R1256" s="3"/>
      <c r="S1256" s="3"/>
    </row>
    <row r="1257" spans="3:19" ht="15.75" customHeight="1" x14ac:dyDescent="0.2">
      <c r="C1257" s="208">
        <v>42269</v>
      </c>
      <c r="D1257" s="19">
        <v>0.41319444444444442</v>
      </c>
      <c r="E1257" s="3">
        <v>25</v>
      </c>
      <c r="F1257" s="3">
        <v>7.48</v>
      </c>
      <c r="G1257" s="3">
        <v>61.3</v>
      </c>
      <c r="H1257" s="7">
        <v>6.8</v>
      </c>
      <c r="I1257" s="3"/>
      <c r="L1257" s="3"/>
      <c r="M1257" s="3"/>
      <c r="N1257" s="3"/>
      <c r="O1257" s="3"/>
      <c r="P1257" s="3"/>
      <c r="Q1257" s="3"/>
      <c r="R1257" s="3"/>
      <c r="S1257" s="3"/>
    </row>
    <row r="1258" spans="3:19" ht="15.75" customHeight="1" x14ac:dyDescent="0.2">
      <c r="C1258" s="208">
        <v>42269</v>
      </c>
      <c r="D1258" s="19">
        <v>0.41319444444444442</v>
      </c>
      <c r="E1258" s="3">
        <v>26</v>
      </c>
      <c r="F1258" s="3">
        <v>7.48</v>
      </c>
      <c r="G1258" s="3">
        <v>61.4</v>
      </c>
      <c r="H1258" s="7">
        <v>6.8</v>
      </c>
      <c r="I1258" s="3"/>
      <c r="L1258" s="3"/>
      <c r="M1258" s="3"/>
      <c r="N1258" s="3"/>
      <c r="O1258" s="3"/>
      <c r="P1258" s="3"/>
      <c r="Q1258" s="3"/>
      <c r="R1258" s="3"/>
      <c r="S1258" s="3"/>
    </row>
    <row r="1259" spans="3:19" ht="15.75" customHeight="1" x14ac:dyDescent="0.2">
      <c r="C1259" s="208">
        <v>42269</v>
      </c>
      <c r="D1259" s="19">
        <v>0.41319444444444442</v>
      </c>
      <c r="E1259" s="3">
        <v>30</v>
      </c>
      <c r="F1259" s="3">
        <v>7.45</v>
      </c>
      <c r="G1259" s="3">
        <v>60.7</v>
      </c>
      <c r="H1259" s="7">
        <v>6.6</v>
      </c>
      <c r="I1259" s="3"/>
      <c r="L1259" s="3"/>
      <c r="M1259" s="3"/>
      <c r="N1259" s="3"/>
      <c r="O1259" s="3"/>
      <c r="P1259" s="3"/>
      <c r="Q1259" s="3"/>
      <c r="R1259" s="3"/>
      <c r="S1259" s="3"/>
    </row>
    <row r="1260" spans="3:19" ht="15.75" customHeight="1" x14ac:dyDescent="0.2">
      <c r="C1260" s="208">
        <v>42269</v>
      </c>
      <c r="D1260" s="19">
        <v>0.41319444444444442</v>
      </c>
      <c r="E1260" s="3">
        <v>35</v>
      </c>
      <c r="F1260" s="3">
        <v>7.35</v>
      </c>
      <c r="G1260" s="3">
        <v>59.3</v>
      </c>
      <c r="H1260" s="7">
        <v>6.4</v>
      </c>
      <c r="I1260" s="3"/>
      <c r="L1260" s="3"/>
      <c r="M1260" s="3"/>
      <c r="N1260" s="3"/>
      <c r="O1260" s="3"/>
      <c r="P1260" s="3"/>
      <c r="Q1260" s="3"/>
      <c r="R1260" s="3"/>
      <c r="S1260" s="3"/>
    </row>
    <row r="1261" spans="3:19" ht="15.75" customHeight="1" x14ac:dyDescent="0.2">
      <c r="C1261" s="208"/>
      <c r="D1261" s="19"/>
      <c r="E1261" s="3"/>
      <c r="F1261" s="3"/>
      <c r="G1261" s="3"/>
      <c r="H1261" s="7"/>
      <c r="I1261" s="3"/>
      <c r="L1261" s="3"/>
      <c r="M1261" s="3"/>
      <c r="N1261" s="3"/>
      <c r="O1261" s="3"/>
      <c r="P1261" s="3"/>
      <c r="Q1261" s="3"/>
      <c r="R1261" s="3"/>
      <c r="S1261" s="3"/>
    </row>
    <row r="1262" spans="3:19" ht="15.75" customHeight="1" x14ac:dyDescent="0.2">
      <c r="C1262" s="208">
        <v>42290</v>
      </c>
      <c r="D1262" s="19">
        <v>0.5</v>
      </c>
      <c r="E1262" s="3"/>
      <c r="F1262" s="3"/>
      <c r="G1262" s="3"/>
      <c r="H1262" s="7"/>
      <c r="I1262" s="3"/>
      <c r="J1262">
        <v>9</v>
      </c>
      <c r="K1262">
        <v>13</v>
      </c>
      <c r="L1262" s="3"/>
      <c r="M1262" s="3"/>
      <c r="N1262" s="3"/>
      <c r="O1262" s="3"/>
      <c r="P1262" s="3"/>
      <c r="Q1262" s="3"/>
      <c r="R1262" s="3"/>
      <c r="S1262" s="3"/>
    </row>
    <row r="1263" spans="3:19" ht="15.75" customHeight="1" x14ac:dyDescent="0.2">
      <c r="C1263" s="208">
        <v>42290</v>
      </c>
      <c r="D1263" s="19">
        <v>0.5</v>
      </c>
      <c r="E1263" s="3">
        <v>0.1</v>
      </c>
      <c r="F1263" s="3">
        <v>8.1300000000000008</v>
      </c>
      <c r="G1263" s="3">
        <v>80.400000000000006</v>
      </c>
      <c r="H1263" s="7">
        <v>14.9</v>
      </c>
      <c r="I1263" s="3"/>
      <c r="L1263" s="3"/>
      <c r="M1263" s="3"/>
      <c r="N1263" s="3"/>
      <c r="O1263" s="3"/>
      <c r="P1263" s="3"/>
      <c r="Q1263" s="3"/>
      <c r="R1263" s="3"/>
      <c r="S1263" s="3"/>
    </row>
    <row r="1264" spans="3:19" ht="15.75" customHeight="1" x14ac:dyDescent="0.2">
      <c r="C1264" s="208">
        <v>42290</v>
      </c>
      <c r="D1264" s="19">
        <v>0.5</v>
      </c>
      <c r="E1264" s="3">
        <v>1</v>
      </c>
      <c r="F1264" s="3">
        <v>8.11</v>
      </c>
      <c r="G1264" s="3">
        <v>80.2</v>
      </c>
      <c r="H1264" s="7">
        <v>14.9</v>
      </c>
      <c r="I1264" s="3"/>
      <c r="L1264" s="3"/>
      <c r="M1264" s="3"/>
      <c r="N1264" s="3"/>
      <c r="O1264" s="3"/>
      <c r="P1264" s="3"/>
      <c r="Q1264" s="3"/>
      <c r="R1264" s="3"/>
      <c r="S1264" s="3"/>
    </row>
    <row r="1265" spans="3:19" ht="15.75" customHeight="1" x14ac:dyDescent="0.2">
      <c r="C1265" s="208">
        <v>42290</v>
      </c>
      <c r="D1265" s="19">
        <v>0.5</v>
      </c>
      <c r="E1265" s="3">
        <v>2</v>
      </c>
      <c r="F1265" s="3">
        <v>8.08</v>
      </c>
      <c r="G1265" s="3">
        <v>80</v>
      </c>
      <c r="H1265" s="7">
        <v>14.9</v>
      </c>
      <c r="I1265" s="3"/>
      <c r="L1265" s="3"/>
      <c r="M1265" s="3"/>
      <c r="N1265" s="3"/>
      <c r="O1265" s="3"/>
      <c r="P1265" s="3"/>
      <c r="Q1265" s="3"/>
      <c r="R1265" s="3"/>
      <c r="S1265" s="3"/>
    </row>
    <row r="1266" spans="3:19" ht="15.75" customHeight="1" x14ac:dyDescent="0.2">
      <c r="C1266" s="208">
        <v>42290</v>
      </c>
      <c r="D1266" s="19">
        <v>0.5</v>
      </c>
      <c r="E1266" s="3">
        <v>3</v>
      </c>
      <c r="F1266" s="3">
        <v>8.07</v>
      </c>
      <c r="G1266" s="3">
        <v>79.8</v>
      </c>
      <c r="H1266" s="7">
        <v>14.9</v>
      </c>
      <c r="I1266" s="3"/>
      <c r="L1266" s="3"/>
      <c r="M1266" s="3"/>
      <c r="N1266" s="3"/>
      <c r="O1266" s="3"/>
      <c r="P1266" s="3"/>
      <c r="Q1266" s="3"/>
      <c r="R1266" s="3"/>
      <c r="S1266" s="3"/>
    </row>
    <row r="1267" spans="3:19" ht="15.75" customHeight="1" x14ac:dyDescent="0.2">
      <c r="C1267" s="208">
        <v>42290</v>
      </c>
      <c r="D1267" s="19">
        <v>0.5</v>
      </c>
      <c r="E1267" s="3">
        <v>4</v>
      </c>
      <c r="F1267" s="3">
        <v>8.0500000000000007</v>
      </c>
      <c r="G1267" s="3">
        <v>79.7</v>
      </c>
      <c r="H1267" s="7">
        <v>14.8</v>
      </c>
      <c r="I1267" s="3"/>
      <c r="L1267" s="3"/>
      <c r="M1267" s="3"/>
      <c r="N1267" s="3"/>
      <c r="O1267" s="3"/>
      <c r="P1267" s="3"/>
      <c r="Q1267" s="3"/>
      <c r="R1267" s="3"/>
      <c r="S1267" s="3"/>
    </row>
    <row r="1268" spans="3:19" ht="15.75" customHeight="1" x14ac:dyDescent="0.2">
      <c r="C1268" s="208">
        <v>42290</v>
      </c>
      <c r="D1268" s="19">
        <v>0.5</v>
      </c>
      <c r="E1268" s="3">
        <v>5</v>
      </c>
      <c r="F1268" s="3">
        <v>8.06</v>
      </c>
      <c r="G1268" s="3">
        <v>79.599999999999994</v>
      </c>
      <c r="H1268" s="7">
        <v>14.9</v>
      </c>
      <c r="I1268" s="3"/>
      <c r="L1268" s="3"/>
      <c r="M1268" s="3"/>
      <c r="N1268" s="3"/>
      <c r="O1268" s="3"/>
      <c r="P1268" s="3"/>
      <c r="Q1268" s="3"/>
      <c r="R1268" s="3"/>
      <c r="S1268" s="3"/>
    </row>
    <row r="1269" spans="3:19" ht="15.75" customHeight="1" x14ac:dyDescent="0.2">
      <c r="C1269" s="208">
        <v>42290</v>
      </c>
      <c r="D1269" s="19">
        <v>0.5</v>
      </c>
      <c r="E1269" s="3">
        <v>6</v>
      </c>
      <c r="F1269" s="3">
        <v>8.0399999999999991</v>
      </c>
      <c r="G1269" s="3">
        <v>79.400000000000006</v>
      </c>
      <c r="H1269" s="7">
        <v>14.8</v>
      </c>
      <c r="I1269" s="3"/>
      <c r="L1269" s="3"/>
      <c r="M1269" s="3"/>
      <c r="N1269" s="3"/>
      <c r="O1269" s="3"/>
      <c r="P1269" s="3"/>
      <c r="Q1269" s="3"/>
      <c r="R1269" s="3"/>
      <c r="S1269" s="3"/>
    </row>
    <row r="1270" spans="3:19" ht="15.75" customHeight="1" x14ac:dyDescent="0.2">
      <c r="C1270" s="208">
        <v>42290</v>
      </c>
      <c r="D1270" s="19">
        <v>0.5</v>
      </c>
      <c r="E1270" s="3">
        <v>7</v>
      </c>
      <c r="F1270" s="3">
        <v>8.0299999999999994</v>
      </c>
      <c r="G1270" s="3">
        <v>79.2</v>
      </c>
      <c r="H1270" s="7">
        <v>14.8</v>
      </c>
      <c r="I1270" s="3"/>
      <c r="L1270" s="3"/>
      <c r="M1270" s="3"/>
      <c r="N1270" s="3"/>
      <c r="O1270" s="3"/>
      <c r="P1270" s="3"/>
      <c r="Q1270" s="3"/>
      <c r="R1270" s="3"/>
      <c r="S1270" s="3"/>
    </row>
    <row r="1271" spans="3:19" ht="15.75" customHeight="1" x14ac:dyDescent="0.2">
      <c r="C1271" s="208">
        <v>42290</v>
      </c>
      <c r="D1271" s="19">
        <v>0.5</v>
      </c>
      <c r="E1271" s="3">
        <v>8</v>
      </c>
      <c r="F1271" s="3">
        <v>8.01</v>
      </c>
      <c r="G1271" s="3">
        <v>79.099999999999994</v>
      </c>
      <c r="H1271" s="7">
        <v>14.8</v>
      </c>
      <c r="I1271" s="3"/>
      <c r="L1271" s="3"/>
      <c r="M1271" s="3"/>
      <c r="N1271" s="3"/>
      <c r="O1271" s="3"/>
      <c r="P1271" s="3"/>
      <c r="Q1271" s="3"/>
      <c r="R1271" s="3"/>
      <c r="S1271" s="3"/>
    </row>
    <row r="1272" spans="3:19" ht="15.75" customHeight="1" x14ac:dyDescent="0.2">
      <c r="C1272" s="208">
        <v>42290</v>
      </c>
      <c r="D1272" s="19">
        <v>0.5</v>
      </c>
      <c r="E1272" s="3">
        <v>9</v>
      </c>
      <c r="F1272" s="3">
        <v>8</v>
      </c>
      <c r="G1272" s="3">
        <v>79</v>
      </c>
      <c r="H1272" s="7">
        <v>14.8</v>
      </c>
      <c r="I1272" s="3"/>
      <c r="L1272" s="3"/>
      <c r="M1272" s="3"/>
      <c r="N1272" s="3"/>
      <c r="O1272" s="3"/>
      <c r="P1272" s="3"/>
      <c r="Q1272" s="3"/>
      <c r="R1272" s="3"/>
      <c r="S1272" s="3"/>
    </row>
    <row r="1273" spans="3:19" ht="15.75" customHeight="1" x14ac:dyDescent="0.2">
      <c r="C1273" s="208">
        <v>42290</v>
      </c>
      <c r="D1273" s="19">
        <v>0.5</v>
      </c>
      <c r="E1273" s="3">
        <v>10</v>
      </c>
      <c r="F1273" s="3">
        <v>7.99</v>
      </c>
      <c r="G1273" s="3">
        <v>78.8</v>
      </c>
      <c r="H1273" s="7">
        <v>14.8</v>
      </c>
      <c r="I1273" s="3"/>
      <c r="L1273" s="3"/>
      <c r="M1273" s="3"/>
      <c r="N1273" s="3"/>
      <c r="O1273" s="3"/>
      <c r="P1273" s="3"/>
      <c r="Q1273" s="3"/>
      <c r="R1273" s="3"/>
      <c r="S1273" s="3"/>
    </row>
    <row r="1274" spans="3:19" ht="15.75" customHeight="1" x14ac:dyDescent="0.2">
      <c r="C1274" s="208">
        <v>42290</v>
      </c>
      <c r="D1274" s="19">
        <v>0.5</v>
      </c>
      <c r="E1274" s="3">
        <v>11</v>
      </c>
      <c r="F1274" s="3">
        <v>7.97</v>
      </c>
      <c r="G1274" s="3">
        <v>78.7</v>
      </c>
      <c r="H1274" s="7">
        <v>14.8</v>
      </c>
      <c r="I1274" s="3"/>
      <c r="L1274" s="3"/>
      <c r="M1274" s="3"/>
      <c r="N1274" s="3"/>
      <c r="O1274" s="3"/>
      <c r="P1274" s="3"/>
      <c r="Q1274" s="3"/>
      <c r="R1274" s="3"/>
      <c r="S1274" s="3"/>
    </row>
    <row r="1275" spans="3:19" ht="15.75" customHeight="1" x14ac:dyDescent="0.2">
      <c r="C1275" s="208">
        <v>42290</v>
      </c>
      <c r="D1275" s="19">
        <v>0.5</v>
      </c>
      <c r="E1275" s="3">
        <v>12</v>
      </c>
      <c r="F1275" s="3">
        <v>7.95</v>
      </c>
      <c r="G1275" s="3">
        <v>78.5</v>
      </c>
      <c r="H1275" s="7">
        <v>14.8</v>
      </c>
      <c r="I1275" s="3"/>
      <c r="L1275" s="3"/>
      <c r="M1275" s="3"/>
      <c r="N1275" s="3"/>
      <c r="O1275" s="3"/>
      <c r="P1275" s="3"/>
      <c r="Q1275" s="3"/>
      <c r="R1275" s="3"/>
      <c r="S1275" s="3"/>
    </row>
    <row r="1276" spans="3:19" ht="15.75" customHeight="1" x14ac:dyDescent="0.2">
      <c r="C1276" s="208">
        <v>42290</v>
      </c>
      <c r="D1276" s="19">
        <v>0.5</v>
      </c>
      <c r="E1276" s="3">
        <v>13</v>
      </c>
      <c r="F1276" s="3">
        <v>7.93</v>
      </c>
      <c r="G1276" s="3">
        <v>78.3</v>
      </c>
      <c r="H1276" s="7">
        <v>14.8</v>
      </c>
      <c r="I1276" s="3"/>
      <c r="L1276" s="3"/>
      <c r="M1276" s="3"/>
      <c r="N1276" s="3"/>
      <c r="O1276" s="3"/>
      <c r="P1276" s="3"/>
      <c r="Q1276" s="3"/>
      <c r="R1276" s="3"/>
      <c r="S1276" s="3"/>
    </row>
    <row r="1277" spans="3:19" ht="15.75" customHeight="1" x14ac:dyDescent="0.2">
      <c r="C1277" s="208">
        <v>42290</v>
      </c>
      <c r="D1277" s="19">
        <v>0.5</v>
      </c>
      <c r="E1277" s="3">
        <v>14</v>
      </c>
      <c r="F1277" s="3">
        <v>7.84</v>
      </c>
      <c r="G1277" s="3">
        <v>76.7</v>
      </c>
      <c r="H1277" s="7">
        <v>14.7</v>
      </c>
      <c r="I1277" s="3"/>
      <c r="L1277" s="3"/>
      <c r="M1277" s="3"/>
      <c r="N1277" s="3"/>
      <c r="O1277" s="3"/>
      <c r="P1277" s="3"/>
      <c r="Q1277" s="3"/>
      <c r="R1277" s="3"/>
      <c r="S1277" s="3"/>
    </row>
    <row r="1278" spans="3:19" ht="15.75" customHeight="1" x14ac:dyDescent="0.2">
      <c r="C1278" s="208">
        <v>42290</v>
      </c>
      <c r="D1278" s="19">
        <v>0.5</v>
      </c>
      <c r="E1278" s="3">
        <v>15</v>
      </c>
      <c r="F1278" s="3">
        <v>7.88</v>
      </c>
      <c r="G1278" s="3">
        <v>71.400000000000006</v>
      </c>
      <c r="H1278" s="7">
        <v>11.6</v>
      </c>
      <c r="I1278" s="3"/>
      <c r="L1278" s="3"/>
      <c r="M1278" s="3"/>
      <c r="N1278" s="3"/>
      <c r="O1278" s="3"/>
      <c r="P1278" s="3"/>
      <c r="Q1278" s="3"/>
      <c r="R1278" s="3"/>
      <c r="S1278" s="3"/>
    </row>
    <row r="1279" spans="3:19" ht="15.75" customHeight="1" x14ac:dyDescent="0.2">
      <c r="C1279" s="208">
        <v>42290</v>
      </c>
      <c r="D1279" s="19">
        <v>0.5</v>
      </c>
      <c r="E1279" s="3">
        <v>16</v>
      </c>
      <c r="F1279" s="3">
        <v>7.96</v>
      </c>
      <c r="G1279" s="3">
        <v>69</v>
      </c>
      <c r="H1279" s="7">
        <v>9.9</v>
      </c>
      <c r="I1279" s="3"/>
      <c r="L1279" s="3"/>
      <c r="M1279" s="3"/>
      <c r="N1279" s="3"/>
      <c r="O1279" s="3"/>
      <c r="P1279" s="3"/>
      <c r="Q1279" s="3"/>
      <c r="R1279" s="3"/>
      <c r="S1279" s="3"/>
    </row>
    <row r="1280" spans="3:19" ht="15.75" customHeight="1" x14ac:dyDescent="0.2">
      <c r="C1280" s="208">
        <v>42290</v>
      </c>
      <c r="D1280" s="19">
        <v>0.5</v>
      </c>
      <c r="E1280" s="3">
        <v>17</v>
      </c>
      <c r="F1280" s="3">
        <v>7.95</v>
      </c>
      <c r="G1280" s="3">
        <v>68.099999999999994</v>
      </c>
      <c r="H1280" s="7">
        <v>8.9</v>
      </c>
      <c r="I1280" s="3"/>
      <c r="L1280" s="3"/>
      <c r="M1280" s="3"/>
      <c r="N1280" s="3"/>
      <c r="O1280" s="3"/>
      <c r="P1280" s="3"/>
      <c r="Q1280" s="3"/>
      <c r="R1280" s="3"/>
      <c r="S1280" s="3"/>
    </row>
    <row r="1281" spans="3:19" ht="15.75" customHeight="1" x14ac:dyDescent="0.2">
      <c r="C1281" s="208">
        <v>42290</v>
      </c>
      <c r="D1281" s="19">
        <v>0.5</v>
      </c>
      <c r="E1281" s="3">
        <v>18</v>
      </c>
      <c r="F1281" s="3">
        <v>7.94</v>
      </c>
      <c r="G1281" s="3">
        <v>67.400000000000006</v>
      </c>
      <c r="H1281" s="7">
        <v>8.4</v>
      </c>
      <c r="I1281" s="3"/>
      <c r="L1281" s="3"/>
      <c r="M1281" s="3"/>
      <c r="N1281" s="3"/>
      <c r="O1281" s="3"/>
      <c r="P1281" s="3"/>
      <c r="Q1281" s="3"/>
      <c r="R1281" s="3"/>
      <c r="S1281" s="3"/>
    </row>
    <row r="1282" spans="3:19" ht="15.75" customHeight="1" x14ac:dyDescent="0.2">
      <c r="C1282" s="208">
        <v>42290</v>
      </c>
      <c r="D1282" s="19">
        <v>0.5</v>
      </c>
      <c r="E1282" s="3">
        <v>19</v>
      </c>
      <c r="F1282" s="3">
        <v>7.95</v>
      </c>
      <c r="G1282" s="3">
        <v>66.7</v>
      </c>
      <c r="H1282" s="7">
        <v>8</v>
      </c>
      <c r="I1282" s="3"/>
      <c r="L1282" s="3"/>
      <c r="M1282" s="3"/>
      <c r="N1282" s="3"/>
      <c r="O1282" s="3"/>
      <c r="P1282" s="3"/>
      <c r="Q1282" s="3"/>
      <c r="R1282" s="3"/>
      <c r="S1282" s="3"/>
    </row>
    <row r="1283" spans="3:19" ht="15.75" customHeight="1" x14ac:dyDescent="0.2">
      <c r="C1283" s="208">
        <v>42290</v>
      </c>
      <c r="D1283" s="19">
        <v>0.5</v>
      </c>
      <c r="E1283" s="3">
        <v>20</v>
      </c>
      <c r="F1283" s="3">
        <v>7.91</v>
      </c>
      <c r="G1283" s="3">
        <v>66.2</v>
      </c>
      <c r="H1283" s="7">
        <v>7.8</v>
      </c>
      <c r="I1283" s="3"/>
      <c r="L1283" s="3"/>
      <c r="M1283" s="3"/>
      <c r="N1283" s="3"/>
      <c r="O1283" s="3"/>
      <c r="P1283" s="3"/>
      <c r="Q1283" s="3"/>
      <c r="R1283" s="3"/>
      <c r="S1283" s="3"/>
    </row>
    <row r="1284" spans="3:19" ht="15.75" customHeight="1" x14ac:dyDescent="0.2">
      <c r="C1284" s="208">
        <v>42290</v>
      </c>
      <c r="D1284" s="19">
        <v>0.5</v>
      </c>
      <c r="E1284" s="3">
        <v>21</v>
      </c>
      <c r="F1284" s="3">
        <v>7.88</v>
      </c>
      <c r="G1284" s="3">
        <v>65.599999999999994</v>
      </c>
      <c r="H1284" s="7">
        <v>7.6</v>
      </c>
      <c r="I1284" s="3"/>
      <c r="L1284" s="3"/>
      <c r="M1284" s="3"/>
      <c r="N1284" s="3"/>
      <c r="O1284" s="3"/>
      <c r="P1284" s="3"/>
      <c r="Q1284" s="3"/>
      <c r="R1284" s="3"/>
      <c r="S1284" s="3"/>
    </row>
    <row r="1285" spans="3:19" ht="15.75" customHeight="1" x14ac:dyDescent="0.2">
      <c r="C1285" s="208">
        <v>42290</v>
      </c>
      <c r="D1285" s="19">
        <v>0.5</v>
      </c>
      <c r="E1285" s="3">
        <v>22</v>
      </c>
      <c r="F1285" s="3">
        <v>7.82</v>
      </c>
      <c r="G1285" s="3">
        <v>65</v>
      </c>
      <c r="H1285" s="7">
        <v>7.4</v>
      </c>
      <c r="I1285" s="3"/>
      <c r="L1285" s="3"/>
      <c r="M1285" s="3"/>
      <c r="N1285" s="3"/>
      <c r="O1285" s="3"/>
      <c r="P1285" s="3"/>
      <c r="Q1285" s="3"/>
      <c r="R1285" s="3"/>
      <c r="S1285" s="3"/>
    </row>
    <row r="1286" spans="3:19" ht="15.75" customHeight="1" x14ac:dyDescent="0.2">
      <c r="C1286" s="208">
        <v>42290</v>
      </c>
      <c r="D1286" s="19">
        <v>0.5</v>
      </c>
      <c r="E1286" s="3">
        <v>23</v>
      </c>
      <c r="F1286" s="3">
        <v>7.77</v>
      </c>
      <c r="G1286" s="3">
        <v>64.400000000000006</v>
      </c>
      <c r="H1286" s="7">
        <v>7.3</v>
      </c>
      <c r="I1286" s="3"/>
      <c r="L1286" s="3"/>
      <c r="M1286" s="3"/>
      <c r="N1286" s="3"/>
      <c r="O1286" s="3"/>
      <c r="P1286" s="3"/>
      <c r="Q1286" s="3"/>
      <c r="R1286" s="3"/>
      <c r="S1286" s="3"/>
    </row>
    <row r="1287" spans="3:19" ht="15.75" customHeight="1" x14ac:dyDescent="0.2">
      <c r="C1287" s="208">
        <v>42290</v>
      </c>
      <c r="D1287" s="19">
        <v>0.5</v>
      </c>
      <c r="E1287" s="3">
        <v>24</v>
      </c>
      <c r="F1287" s="3">
        <v>7.73</v>
      </c>
      <c r="G1287" s="3">
        <v>64</v>
      </c>
      <c r="H1287" s="7">
        <v>7.2</v>
      </c>
      <c r="I1287" s="3"/>
      <c r="L1287" s="3"/>
      <c r="M1287" s="3"/>
      <c r="N1287" s="3"/>
      <c r="O1287" s="3"/>
      <c r="P1287" s="3"/>
      <c r="Q1287" s="3"/>
      <c r="R1287" s="3"/>
      <c r="S1287" s="3"/>
    </row>
    <row r="1288" spans="3:19" ht="15.75" customHeight="1" x14ac:dyDescent="0.2">
      <c r="C1288" s="208">
        <v>42290</v>
      </c>
      <c r="D1288" s="19">
        <v>0.5</v>
      </c>
      <c r="E1288" s="3">
        <v>25</v>
      </c>
      <c r="F1288" s="3">
        <v>7.72</v>
      </c>
      <c r="G1288" s="3">
        <v>63.7</v>
      </c>
      <c r="H1288" s="7">
        <v>7.1</v>
      </c>
      <c r="I1288" s="3"/>
      <c r="L1288" s="3"/>
      <c r="M1288" s="3"/>
      <c r="N1288" s="3"/>
      <c r="O1288" s="3"/>
      <c r="P1288" s="3"/>
      <c r="Q1288" s="3"/>
      <c r="R1288" s="3"/>
      <c r="S1288" s="3"/>
    </row>
    <row r="1289" spans="3:19" ht="15.75" customHeight="1" x14ac:dyDescent="0.2">
      <c r="C1289" s="208">
        <v>42290</v>
      </c>
      <c r="D1289" s="19">
        <v>0.5</v>
      </c>
      <c r="E1289" s="3">
        <v>30</v>
      </c>
      <c r="F1289" s="3">
        <v>7.66</v>
      </c>
      <c r="G1289" s="3">
        <v>62.9</v>
      </c>
      <c r="H1289" s="7">
        <v>6.9</v>
      </c>
      <c r="I1289" s="3"/>
      <c r="L1289" s="3"/>
      <c r="M1289" s="3"/>
      <c r="N1289" s="3"/>
      <c r="O1289" s="3"/>
      <c r="P1289" s="3"/>
      <c r="Q1289" s="3"/>
      <c r="R1289" s="3"/>
      <c r="S1289" s="3"/>
    </row>
    <row r="1290" spans="3:19" ht="15.75" customHeight="1" x14ac:dyDescent="0.2">
      <c r="C1290" s="208">
        <v>42290</v>
      </c>
      <c r="D1290" s="19">
        <v>0.5</v>
      </c>
      <c r="E1290" s="3">
        <v>35</v>
      </c>
      <c r="F1290" s="3">
        <v>7.61</v>
      </c>
      <c r="G1290" s="3">
        <v>62.4</v>
      </c>
      <c r="H1290" s="7">
        <v>6.8</v>
      </c>
      <c r="I1290" s="3"/>
      <c r="L1290" s="3"/>
      <c r="M1290" s="3"/>
      <c r="N1290" s="3"/>
      <c r="O1290" s="3"/>
      <c r="P1290" s="3"/>
      <c r="Q1290" s="3"/>
      <c r="R1290" s="3"/>
      <c r="S1290" s="3"/>
    </row>
    <row r="1291" spans="3:19" ht="15.75" customHeight="1" x14ac:dyDescent="0.2">
      <c r="C1291" s="208">
        <v>42290</v>
      </c>
      <c r="D1291" s="19">
        <v>0.5</v>
      </c>
      <c r="E1291" s="3">
        <v>40</v>
      </c>
      <c r="F1291" s="3">
        <v>7.31</v>
      </c>
      <c r="G1291" s="3">
        <v>57.5</v>
      </c>
      <c r="H1291" s="7">
        <v>6.6</v>
      </c>
      <c r="I1291" s="3"/>
      <c r="L1291" s="3"/>
      <c r="M1291" s="3"/>
      <c r="N1291" s="3"/>
      <c r="O1291" s="3"/>
      <c r="P1291" s="3"/>
      <c r="Q1291" s="3"/>
      <c r="R1291" s="3"/>
      <c r="S1291" s="3"/>
    </row>
    <row r="1292" spans="3:19" ht="15.75" customHeight="1" x14ac:dyDescent="0.2">
      <c r="C1292" s="208">
        <v>42290</v>
      </c>
      <c r="D1292" s="19">
        <v>0.5</v>
      </c>
      <c r="E1292" s="3">
        <v>45</v>
      </c>
      <c r="F1292" s="3">
        <v>7.02</v>
      </c>
      <c r="G1292" s="3">
        <v>57.4</v>
      </c>
      <c r="H1292" s="7">
        <v>6.6</v>
      </c>
      <c r="I1292" s="3"/>
      <c r="L1292" s="3"/>
      <c r="M1292" s="3"/>
      <c r="N1292" s="3"/>
      <c r="O1292" s="3"/>
      <c r="P1292" s="3"/>
      <c r="Q1292" s="3"/>
      <c r="R1292" s="3"/>
      <c r="S1292" s="3"/>
    </row>
    <row r="1293" spans="3:19" ht="15.75" customHeight="1" x14ac:dyDescent="0.2">
      <c r="C1293" s="208"/>
      <c r="D1293" s="19"/>
      <c r="E1293" s="3"/>
      <c r="F1293" s="3"/>
      <c r="G1293" s="3"/>
      <c r="H1293" s="7"/>
      <c r="I1293" s="3"/>
      <c r="L1293" s="3"/>
      <c r="M1293" s="3"/>
      <c r="N1293" s="3"/>
      <c r="O1293" s="3"/>
      <c r="P1293" s="3"/>
      <c r="Q1293" s="3"/>
      <c r="R1293" s="3"/>
      <c r="S1293" s="3"/>
    </row>
    <row r="1294" spans="3:19" ht="15.75" customHeight="1" x14ac:dyDescent="0.2">
      <c r="C1294" s="208"/>
      <c r="D1294" s="19"/>
      <c r="E1294" s="3"/>
      <c r="F1294" s="3"/>
      <c r="G1294" s="3"/>
      <c r="H1294" s="7"/>
      <c r="I1294" s="3"/>
      <c r="L1294" s="3"/>
      <c r="M1294" s="3"/>
      <c r="N1294" s="3"/>
      <c r="O1294" s="3"/>
      <c r="P1294" s="3"/>
      <c r="Q1294" s="3"/>
      <c r="R1294" s="3"/>
      <c r="S1294" s="3"/>
    </row>
    <row r="1295" spans="3:19" ht="15.75" customHeight="1" x14ac:dyDescent="0.2">
      <c r="C1295" s="208"/>
      <c r="D1295" s="19"/>
      <c r="E1295" s="3"/>
      <c r="F1295" s="3"/>
      <c r="G1295" s="3"/>
      <c r="H1295" s="7"/>
      <c r="I1295" s="3"/>
      <c r="L1295" s="3"/>
      <c r="M1295" s="3"/>
      <c r="N1295" s="3"/>
      <c r="O1295" s="3"/>
      <c r="P1295" s="3"/>
      <c r="Q1295" s="3"/>
      <c r="R1295" s="3"/>
      <c r="S1295" s="3"/>
    </row>
    <row r="1296" spans="3:19" ht="15.75" customHeight="1" x14ac:dyDescent="0.2">
      <c r="C1296" s="208"/>
      <c r="D1296" s="19"/>
      <c r="E1296" s="3"/>
      <c r="F1296" s="3"/>
      <c r="G1296" s="3"/>
      <c r="H1296" s="7"/>
      <c r="I1296" s="3"/>
      <c r="L1296" s="3"/>
      <c r="M1296" s="3"/>
      <c r="N1296" s="3"/>
      <c r="O1296" s="3"/>
      <c r="P1296" s="3"/>
      <c r="Q1296" s="3"/>
      <c r="R1296" s="3"/>
      <c r="S1296" s="3"/>
    </row>
    <row r="1297" spans="3:19" ht="15.75" customHeight="1" x14ac:dyDescent="0.2">
      <c r="C1297" s="208">
        <v>41897</v>
      </c>
      <c r="D1297" s="19">
        <v>0.39583333333333331</v>
      </c>
      <c r="E1297" s="3"/>
      <c r="F1297" s="3"/>
      <c r="G1297" s="3"/>
      <c r="H1297" s="7"/>
      <c r="I1297" s="3"/>
      <c r="J1297">
        <v>12</v>
      </c>
      <c r="K1297">
        <v>12</v>
      </c>
      <c r="L1297" s="3"/>
      <c r="M1297" s="3"/>
      <c r="N1297" s="3"/>
      <c r="O1297" s="3"/>
      <c r="P1297" s="3"/>
      <c r="Q1297" s="3"/>
      <c r="R1297" s="3"/>
      <c r="S1297" s="3"/>
    </row>
    <row r="1298" spans="3:19" ht="15.75" customHeight="1" x14ac:dyDescent="0.2">
      <c r="C1298" s="208">
        <v>41897</v>
      </c>
      <c r="D1298" s="19">
        <v>0.39583333333333331</v>
      </c>
      <c r="E1298" s="3">
        <v>0.1</v>
      </c>
      <c r="F1298" s="3">
        <v>8.18</v>
      </c>
      <c r="G1298" s="3">
        <v>85.1</v>
      </c>
      <c r="H1298" s="7">
        <v>17.3</v>
      </c>
      <c r="I1298" s="3"/>
      <c r="L1298" s="3"/>
      <c r="M1298" s="3"/>
      <c r="N1298" s="3"/>
      <c r="O1298" s="3"/>
      <c r="P1298" s="3"/>
      <c r="Q1298" s="3"/>
      <c r="R1298" s="3"/>
      <c r="S1298" s="3"/>
    </row>
    <row r="1299" spans="3:19" ht="15.75" customHeight="1" x14ac:dyDescent="0.2">
      <c r="C1299" s="208">
        <v>41897</v>
      </c>
      <c r="D1299" s="19">
        <v>0.39583333333333331</v>
      </c>
      <c r="E1299" s="3">
        <v>1</v>
      </c>
      <c r="F1299" s="3">
        <v>8.25</v>
      </c>
      <c r="G1299" s="3">
        <v>85.5</v>
      </c>
      <c r="H1299" s="7">
        <v>17.100000000000001</v>
      </c>
      <c r="I1299" s="3"/>
      <c r="L1299" s="3"/>
      <c r="M1299" s="3"/>
      <c r="N1299" s="3"/>
      <c r="O1299" s="3"/>
      <c r="P1299" s="3"/>
      <c r="Q1299" s="3"/>
      <c r="R1299" s="3"/>
      <c r="S1299" s="3"/>
    </row>
    <row r="1300" spans="3:19" ht="15.75" customHeight="1" x14ac:dyDescent="0.2">
      <c r="C1300" s="208">
        <v>41897</v>
      </c>
      <c r="D1300" s="19">
        <v>0.39583333333333331</v>
      </c>
      <c r="E1300" s="3">
        <v>2</v>
      </c>
      <c r="F1300" s="3">
        <v>8.25</v>
      </c>
      <c r="G1300" s="3">
        <v>85.3</v>
      </c>
      <c r="H1300" s="7">
        <v>17</v>
      </c>
      <c r="I1300" s="3"/>
      <c r="L1300" s="3"/>
      <c r="M1300" s="3"/>
      <c r="N1300" s="3"/>
      <c r="O1300" s="3"/>
      <c r="P1300" s="3"/>
      <c r="Q1300" s="3"/>
      <c r="R1300" s="3"/>
      <c r="S1300" s="3"/>
    </row>
    <row r="1301" spans="3:19" ht="15.75" customHeight="1" x14ac:dyDescent="0.2">
      <c r="C1301" s="208">
        <v>41897</v>
      </c>
      <c r="D1301" s="19">
        <v>0.39583333333333331</v>
      </c>
      <c r="E1301" s="3">
        <v>3</v>
      </c>
      <c r="F1301" s="3">
        <v>8.23</v>
      </c>
      <c r="G1301" s="3">
        <v>85</v>
      </c>
      <c r="H1301" s="7">
        <v>16.899999999999999</v>
      </c>
      <c r="I1301" s="3"/>
      <c r="L1301" s="3"/>
      <c r="M1301" s="3"/>
      <c r="N1301" s="3"/>
      <c r="O1301" s="3"/>
      <c r="P1301" s="3"/>
      <c r="Q1301" s="3"/>
      <c r="R1301" s="3"/>
      <c r="S1301" s="3"/>
    </row>
    <row r="1302" spans="3:19" ht="15.75" customHeight="1" x14ac:dyDescent="0.2">
      <c r="C1302" s="208">
        <v>41897</v>
      </c>
      <c r="D1302" s="19">
        <v>0.39583333333333331</v>
      </c>
      <c r="E1302" s="3">
        <v>4</v>
      </c>
      <c r="F1302" s="3">
        <v>8.2100000000000009</v>
      </c>
      <c r="G1302" s="3">
        <v>84.8</v>
      </c>
      <c r="H1302" s="7">
        <v>16.899999999999999</v>
      </c>
      <c r="I1302" s="3"/>
      <c r="L1302" s="3"/>
      <c r="M1302" s="3"/>
      <c r="N1302" s="3"/>
      <c r="O1302" s="3"/>
      <c r="P1302" s="3"/>
      <c r="Q1302" s="3"/>
      <c r="R1302" s="3"/>
      <c r="S1302" s="3"/>
    </row>
    <row r="1303" spans="3:19" ht="15.75" customHeight="1" x14ac:dyDescent="0.2">
      <c r="C1303" s="208">
        <v>41897</v>
      </c>
      <c r="D1303" s="19">
        <v>0.39583333333333331</v>
      </c>
      <c r="E1303" s="3">
        <v>5</v>
      </c>
      <c r="F1303" s="3">
        <v>8.19</v>
      </c>
      <c r="G1303" s="3">
        <v>84.6</v>
      </c>
      <c r="H1303" s="7">
        <v>16.899999999999999</v>
      </c>
      <c r="I1303" s="3"/>
      <c r="L1303" s="3"/>
      <c r="M1303" s="3"/>
      <c r="N1303" s="3"/>
      <c r="O1303" s="3"/>
      <c r="P1303" s="3"/>
      <c r="Q1303" s="3"/>
      <c r="R1303" s="3"/>
      <c r="S1303" s="3"/>
    </row>
    <row r="1304" spans="3:19" ht="15.75" customHeight="1" x14ac:dyDescent="0.2">
      <c r="C1304" s="208">
        <v>41897</v>
      </c>
      <c r="D1304" s="19">
        <v>0.39583333333333331</v>
      </c>
      <c r="E1304" s="3">
        <v>6</v>
      </c>
      <c r="F1304" s="3">
        <v>8.16</v>
      </c>
      <c r="G1304" s="3">
        <v>84.3</v>
      </c>
      <c r="H1304" s="7">
        <v>16.899999999999999</v>
      </c>
      <c r="I1304" s="3"/>
      <c r="L1304" s="3"/>
      <c r="M1304" s="3"/>
      <c r="N1304" s="3"/>
      <c r="O1304" s="3"/>
      <c r="P1304" s="3"/>
      <c r="Q1304" s="3"/>
      <c r="R1304" s="3"/>
      <c r="S1304" s="3"/>
    </row>
    <row r="1305" spans="3:19" ht="15.75" customHeight="1" x14ac:dyDescent="0.2">
      <c r="C1305" s="208">
        <v>41897</v>
      </c>
      <c r="D1305" s="19">
        <v>0.39583333333333331</v>
      </c>
      <c r="E1305" s="3">
        <v>7</v>
      </c>
      <c r="F1305" s="3">
        <v>8.16</v>
      </c>
      <c r="G1305" s="3">
        <v>84.1</v>
      </c>
      <c r="H1305" s="7">
        <v>16.8</v>
      </c>
      <c r="I1305" s="3"/>
      <c r="L1305" s="3"/>
      <c r="M1305" s="3"/>
      <c r="N1305" s="3"/>
      <c r="O1305" s="3"/>
      <c r="P1305" s="3"/>
      <c r="Q1305" s="3"/>
      <c r="R1305" s="3"/>
      <c r="S1305" s="3"/>
    </row>
    <row r="1306" spans="3:19" ht="15.75" customHeight="1" x14ac:dyDescent="0.2">
      <c r="C1306" s="208">
        <v>41897</v>
      </c>
      <c r="D1306" s="19">
        <v>0.39583333333333331</v>
      </c>
      <c r="E1306" s="3">
        <v>8</v>
      </c>
      <c r="F1306" s="3">
        <v>8.14</v>
      </c>
      <c r="G1306" s="3">
        <v>83.9</v>
      </c>
      <c r="H1306" s="7">
        <v>16.8</v>
      </c>
      <c r="I1306" s="3"/>
      <c r="L1306" s="3"/>
      <c r="M1306" s="3"/>
      <c r="N1306" s="3"/>
      <c r="O1306" s="3"/>
      <c r="P1306" s="3"/>
      <c r="Q1306" s="3"/>
      <c r="R1306" s="3"/>
      <c r="S1306" s="3"/>
    </row>
    <row r="1307" spans="3:19" ht="15.75" customHeight="1" x14ac:dyDescent="0.2">
      <c r="C1307" s="208">
        <v>41897</v>
      </c>
      <c r="D1307" s="19">
        <v>0.39583333333333331</v>
      </c>
      <c r="E1307" s="3">
        <v>9</v>
      </c>
      <c r="F1307" s="3">
        <v>8.14</v>
      </c>
      <c r="G1307" s="3">
        <v>83.7</v>
      </c>
      <c r="H1307" s="7">
        <v>16.7</v>
      </c>
      <c r="I1307" s="3"/>
      <c r="L1307" s="3"/>
      <c r="M1307" s="3"/>
      <c r="N1307" s="3"/>
      <c r="O1307" s="3"/>
      <c r="P1307" s="3"/>
      <c r="Q1307" s="3"/>
      <c r="R1307" s="3"/>
      <c r="S1307" s="3"/>
    </row>
    <row r="1308" spans="3:19" ht="15.75" customHeight="1" x14ac:dyDescent="0.2">
      <c r="C1308" s="208">
        <v>41897</v>
      </c>
      <c r="D1308" s="19">
        <v>0.39583333333333331</v>
      </c>
      <c r="E1308" s="3">
        <v>10</v>
      </c>
      <c r="F1308" s="3">
        <v>8.11</v>
      </c>
      <c r="G1308" s="3">
        <v>83.4</v>
      </c>
      <c r="H1308" s="7">
        <v>16.7</v>
      </c>
      <c r="I1308" s="3"/>
      <c r="L1308" s="3"/>
      <c r="M1308" s="3"/>
      <c r="N1308" s="3"/>
      <c r="O1308" s="3"/>
      <c r="P1308" s="3"/>
      <c r="Q1308" s="3"/>
      <c r="R1308" s="3"/>
      <c r="S1308" s="3"/>
    </row>
    <row r="1309" spans="3:19" ht="15.75" customHeight="1" x14ac:dyDescent="0.2">
      <c r="C1309" s="208">
        <v>41897</v>
      </c>
      <c r="D1309" s="19">
        <v>0.39583333333333331</v>
      </c>
      <c r="E1309" s="3">
        <v>11</v>
      </c>
      <c r="F1309" s="3">
        <v>8.11</v>
      </c>
      <c r="G1309" s="3">
        <v>83.2</v>
      </c>
      <c r="H1309" s="7">
        <v>16.600000000000001</v>
      </c>
      <c r="I1309" s="3"/>
      <c r="L1309" s="3"/>
      <c r="M1309" s="3"/>
      <c r="N1309" s="3"/>
      <c r="O1309" s="3"/>
      <c r="P1309" s="3"/>
      <c r="Q1309" s="3"/>
      <c r="R1309" s="3"/>
      <c r="S1309" s="3"/>
    </row>
    <row r="1310" spans="3:19" ht="15.75" customHeight="1" x14ac:dyDescent="0.2">
      <c r="C1310" s="208">
        <v>41897</v>
      </c>
      <c r="D1310" s="19">
        <v>0.39583333333333331</v>
      </c>
      <c r="E1310" s="3">
        <v>12</v>
      </c>
      <c r="F1310" s="3">
        <v>8.1</v>
      </c>
      <c r="G1310" s="3">
        <v>83.1</v>
      </c>
      <c r="H1310" s="7">
        <v>16.600000000000001</v>
      </c>
      <c r="I1310" s="3"/>
      <c r="L1310" s="3"/>
      <c r="M1310" s="3"/>
      <c r="N1310" s="3"/>
      <c r="O1310" s="3"/>
      <c r="P1310" s="3"/>
      <c r="Q1310" s="3"/>
      <c r="R1310" s="3"/>
      <c r="S1310" s="3"/>
    </row>
    <row r="1311" spans="3:19" ht="15.75" customHeight="1" x14ac:dyDescent="0.2">
      <c r="C1311" s="208">
        <v>41897</v>
      </c>
      <c r="D1311" s="19">
        <v>0.39583333333333331</v>
      </c>
      <c r="E1311" s="3">
        <v>13</v>
      </c>
      <c r="F1311" s="3">
        <v>8.57</v>
      </c>
      <c r="G1311" s="3">
        <v>83.7</v>
      </c>
      <c r="H1311" s="7">
        <v>14.3</v>
      </c>
      <c r="I1311" s="3"/>
      <c r="L1311" s="3"/>
      <c r="M1311" s="3"/>
      <c r="N1311" s="3"/>
      <c r="O1311" s="3"/>
      <c r="P1311" s="3"/>
      <c r="Q1311" s="3"/>
      <c r="R1311" s="3"/>
      <c r="S1311" s="3"/>
    </row>
    <row r="1312" spans="3:19" ht="15.75" customHeight="1" x14ac:dyDescent="0.2">
      <c r="C1312" s="208">
        <v>41897</v>
      </c>
      <c r="D1312" s="19">
        <v>0.39583333333333331</v>
      </c>
      <c r="E1312" s="3">
        <v>14</v>
      </c>
      <c r="F1312" s="3">
        <v>8.67</v>
      </c>
      <c r="G1312" s="3">
        <v>79.5</v>
      </c>
      <c r="H1312" s="7">
        <v>11.5</v>
      </c>
      <c r="I1312" s="3"/>
      <c r="L1312" s="3"/>
      <c r="M1312" s="3"/>
      <c r="N1312" s="3"/>
      <c r="O1312" s="3"/>
      <c r="P1312" s="3"/>
      <c r="Q1312" s="3"/>
      <c r="R1312" s="3"/>
      <c r="S1312" s="3"/>
    </row>
    <row r="1313" spans="3:19" ht="15.75" customHeight="1" x14ac:dyDescent="0.2">
      <c r="C1313" s="208">
        <v>41897</v>
      </c>
      <c r="D1313" s="19">
        <v>0.39583333333333331</v>
      </c>
      <c r="E1313" s="3">
        <v>15</v>
      </c>
      <c r="F1313" s="3">
        <v>9.14</v>
      </c>
      <c r="G1313" s="3">
        <v>80.400000000000006</v>
      </c>
      <c r="H1313" s="7">
        <v>9.6999999999999993</v>
      </c>
      <c r="I1313" s="3"/>
      <c r="L1313" s="3"/>
      <c r="M1313" s="3"/>
      <c r="N1313" s="3"/>
      <c r="O1313" s="3"/>
      <c r="P1313" s="3"/>
      <c r="Q1313" s="3"/>
      <c r="R1313" s="3"/>
      <c r="S1313" s="3"/>
    </row>
    <row r="1314" spans="3:19" ht="15.75" customHeight="1" x14ac:dyDescent="0.2">
      <c r="C1314" s="208">
        <v>41897</v>
      </c>
      <c r="D1314" s="19">
        <v>0.39583333333333331</v>
      </c>
      <c r="E1314" s="3">
        <v>16</v>
      </c>
      <c r="F1314" s="3">
        <v>9.25</v>
      </c>
      <c r="G1314" s="3">
        <v>79.8</v>
      </c>
      <c r="H1314" s="7">
        <v>8.9</v>
      </c>
      <c r="I1314" s="3"/>
      <c r="L1314" s="3"/>
      <c r="M1314" s="3"/>
      <c r="N1314" s="3"/>
      <c r="O1314" s="3"/>
      <c r="P1314" s="3"/>
      <c r="Q1314" s="3"/>
      <c r="R1314" s="3"/>
      <c r="S1314" s="3"/>
    </row>
    <row r="1315" spans="3:19" ht="15.75" customHeight="1" x14ac:dyDescent="0.2">
      <c r="C1315" s="208">
        <v>41897</v>
      </c>
      <c r="D1315" s="19">
        <v>0.39583333333333331</v>
      </c>
      <c r="E1315" s="3">
        <v>17</v>
      </c>
      <c r="F1315" s="3">
        <v>9.34</v>
      </c>
      <c r="G1315" s="3">
        <v>79.599999999999994</v>
      </c>
      <c r="H1315" s="7">
        <v>8.1999999999999993</v>
      </c>
      <c r="I1315" s="3"/>
      <c r="L1315" s="3"/>
      <c r="M1315" s="3"/>
      <c r="N1315" s="3"/>
      <c r="O1315" s="3"/>
      <c r="P1315" s="3"/>
      <c r="Q1315" s="3"/>
      <c r="R1315" s="3"/>
      <c r="S1315" s="3"/>
    </row>
    <row r="1316" spans="3:19" ht="15.75" customHeight="1" x14ac:dyDescent="0.2">
      <c r="C1316" s="208">
        <v>41897</v>
      </c>
      <c r="D1316" s="19">
        <v>0.39583333333333331</v>
      </c>
      <c r="E1316" s="3">
        <v>18</v>
      </c>
      <c r="F1316" s="3">
        <v>9.24</v>
      </c>
      <c r="G1316" s="3">
        <v>77.099999999999994</v>
      </c>
      <c r="H1316" s="7">
        <v>7.5</v>
      </c>
      <c r="I1316" s="3"/>
      <c r="L1316" s="3"/>
      <c r="M1316" s="3"/>
      <c r="N1316" s="3"/>
      <c r="O1316" s="3"/>
      <c r="P1316" s="3"/>
      <c r="Q1316" s="3"/>
      <c r="R1316" s="3"/>
      <c r="S1316" s="3"/>
    </row>
    <row r="1317" spans="3:19" ht="15.75" customHeight="1" x14ac:dyDescent="0.2">
      <c r="C1317" s="208">
        <v>41897</v>
      </c>
      <c r="D1317" s="19">
        <v>0.39583333333333331</v>
      </c>
      <c r="E1317" s="3">
        <v>19</v>
      </c>
      <c r="F1317" s="3">
        <v>8.98</v>
      </c>
      <c r="G1317" s="3">
        <v>74.2</v>
      </c>
      <c r="H1317" s="7">
        <v>7.1</v>
      </c>
      <c r="I1317" s="3"/>
      <c r="L1317" s="3"/>
      <c r="M1317" s="3"/>
      <c r="N1317" s="3"/>
      <c r="O1317" s="3"/>
      <c r="P1317" s="3"/>
      <c r="Q1317" s="3"/>
      <c r="R1317" s="3"/>
      <c r="S1317" s="3"/>
    </row>
    <row r="1318" spans="3:19" ht="15.75" customHeight="1" x14ac:dyDescent="0.2">
      <c r="C1318" s="208">
        <v>41897</v>
      </c>
      <c r="D1318" s="19">
        <v>0.39583333333333331</v>
      </c>
      <c r="E1318" s="3">
        <v>20</v>
      </c>
      <c r="F1318" s="3">
        <v>8.84</v>
      </c>
      <c r="G1318" s="3">
        <v>72.7</v>
      </c>
      <c r="H1318" s="7">
        <v>6.9</v>
      </c>
      <c r="I1318" s="3"/>
      <c r="L1318" s="3"/>
      <c r="M1318" s="3"/>
      <c r="N1318" s="3"/>
      <c r="O1318" s="3"/>
      <c r="P1318" s="3"/>
      <c r="Q1318" s="3"/>
      <c r="R1318" s="3"/>
      <c r="S1318" s="3"/>
    </row>
    <row r="1319" spans="3:19" ht="15.75" customHeight="1" x14ac:dyDescent="0.2">
      <c r="C1319" s="208">
        <v>41897</v>
      </c>
      <c r="D1319" s="19">
        <v>0.39583333333333331</v>
      </c>
      <c r="E1319" s="3">
        <v>21</v>
      </c>
      <c r="F1319" s="3">
        <v>8.81</v>
      </c>
      <c r="G1319" s="3">
        <v>72.2</v>
      </c>
      <c r="H1319" s="7">
        <v>6.8</v>
      </c>
      <c r="I1319" s="3"/>
      <c r="L1319" s="3"/>
      <c r="M1319" s="3"/>
      <c r="N1319" s="3"/>
      <c r="O1319" s="3"/>
      <c r="P1319" s="3"/>
      <c r="Q1319" s="3"/>
      <c r="R1319" s="3"/>
      <c r="S1319" s="3"/>
    </row>
    <row r="1320" spans="3:19" ht="15.75" customHeight="1" x14ac:dyDescent="0.2">
      <c r="C1320" s="208">
        <v>41897</v>
      </c>
      <c r="D1320" s="19">
        <v>0.39583333333333331</v>
      </c>
      <c r="E1320" s="3">
        <v>22</v>
      </c>
      <c r="F1320" s="3">
        <v>8.7799999999999994</v>
      </c>
      <c r="G1320" s="3">
        <v>71.8</v>
      </c>
      <c r="H1320" s="7">
        <v>6.7</v>
      </c>
      <c r="I1320" s="3"/>
      <c r="L1320" s="3"/>
      <c r="M1320" s="3"/>
      <c r="N1320" s="3"/>
      <c r="O1320" s="3"/>
      <c r="P1320" s="3"/>
      <c r="Q1320" s="3"/>
      <c r="R1320" s="3"/>
      <c r="S1320" s="3"/>
    </row>
    <row r="1321" spans="3:19" ht="15.75" customHeight="1" x14ac:dyDescent="0.2">
      <c r="C1321" s="208">
        <v>41897</v>
      </c>
      <c r="D1321" s="19">
        <v>0.39583333333333331</v>
      </c>
      <c r="E1321" s="3">
        <v>23</v>
      </c>
      <c r="F1321" s="3">
        <v>8.73</v>
      </c>
      <c r="G1321" s="3">
        <v>71.2</v>
      </c>
      <c r="H1321" s="7">
        <v>6.6</v>
      </c>
      <c r="I1321" s="3"/>
      <c r="L1321" s="3"/>
      <c r="M1321" s="3"/>
      <c r="N1321" s="3"/>
      <c r="O1321" s="3"/>
      <c r="P1321" s="3"/>
      <c r="Q1321" s="3"/>
      <c r="R1321" s="3"/>
      <c r="S1321" s="3"/>
    </row>
    <row r="1322" spans="3:19" ht="15.75" customHeight="1" x14ac:dyDescent="0.2">
      <c r="C1322" s="208">
        <v>41897</v>
      </c>
      <c r="D1322" s="19">
        <v>0.39583333333333331</v>
      </c>
      <c r="E1322" s="3">
        <v>24</v>
      </c>
      <c r="F1322" s="3">
        <v>8.7100000000000009</v>
      </c>
      <c r="G1322" s="3">
        <v>71</v>
      </c>
      <c r="H1322" s="7">
        <v>6.6</v>
      </c>
      <c r="I1322" s="3"/>
      <c r="L1322" s="3"/>
      <c r="M1322" s="3"/>
      <c r="N1322" s="3"/>
      <c r="O1322" s="3"/>
      <c r="P1322" s="3"/>
      <c r="Q1322" s="3"/>
      <c r="R1322" s="3"/>
      <c r="S1322" s="3"/>
    </row>
    <row r="1323" spans="3:19" ht="15.75" customHeight="1" x14ac:dyDescent="0.2">
      <c r="C1323" s="208">
        <v>41897</v>
      </c>
      <c r="D1323" s="19">
        <v>0.39583333333333331</v>
      </c>
      <c r="E1323" s="3">
        <v>25</v>
      </c>
      <c r="F1323" s="3">
        <v>8.7100000000000009</v>
      </c>
      <c r="G1323" s="3">
        <v>70.8</v>
      </c>
      <c r="H1323" s="7">
        <v>6.5</v>
      </c>
      <c r="I1323" s="3"/>
      <c r="L1323" s="3"/>
      <c r="M1323" s="3"/>
      <c r="N1323" s="3"/>
      <c r="O1323" s="3"/>
      <c r="P1323" s="3"/>
      <c r="Q1323" s="3"/>
      <c r="R1323" s="3"/>
      <c r="S1323" s="3"/>
    </row>
    <row r="1324" spans="3:19" ht="15.75" customHeight="1" x14ac:dyDescent="0.2">
      <c r="C1324" s="208">
        <v>41897</v>
      </c>
      <c r="D1324" s="19">
        <v>0.39583333333333331</v>
      </c>
      <c r="E1324" s="3">
        <v>30</v>
      </c>
      <c r="F1324" s="3">
        <v>8.61</v>
      </c>
      <c r="G1324" s="3">
        <v>69.3</v>
      </c>
      <c r="H1324" s="7">
        <v>6.1</v>
      </c>
      <c r="I1324" s="3"/>
      <c r="L1324" s="3"/>
      <c r="M1324" s="3"/>
      <c r="N1324" s="3"/>
      <c r="O1324" s="3"/>
      <c r="P1324" s="3"/>
      <c r="Q1324" s="3"/>
      <c r="R1324" s="3"/>
      <c r="S1324" s="3"/>
    </row>
    <row r="1325" spans="3:19" ht="15.75" customHeight="1" x14ac:dyDescent="0.2">
      <c r="C1325" s="208">
        <v>41897</v>
      </c>
      <c r="D1325" s="19">
        <v>0.39583333333333331</v>
      </c>
      <c r="E1325" s="3">
        <v>35</v>
      </c>
      <c r="F1325" s="3">
        <v>8.6199999999999992</v>
      </c>
      <c r="G1325" s="3">
        <v>68.7</v>
      </c>
      <c r="H1325" s="7">
        <v>5.7</v>
      </c>
      <c r="I1325" s="3"/>
      <c r="L1325" s="3"/>
      <c r="M1325" s="3"/>
      <c r="N1325" s="3"/>
      <c r="O1325" s="3"/>
      <c r="P1325" s="3"/>
      <c r="Q1325" s="3"/>
      <c r="R1325" s="3"/>
      <c r="S1325" s="3"/>
    </row>
    <row r="1326" spans="3:19" ht="15.75" customHeight="1" x14ac:dyDescent="0.2">
      <c r="C1326" s="208"/>
      <c r="D1326" s="19"/>
      <c r="E1326" s="3"/>
      <c r="F1326" s="3"/>
      <c r="G1326" s="3"/>
      <c r="H1326" s="7"/>
      <c r="I1326" s="3"/>
      <c r="L1326" s="3"/>
      <c r="M1326" s="3"/>
      <c r="N1326" s="3"/>
      <c r="O1326" s="3"/>
      <c r="P1326" s="3"/>
      <c r="Q1326" s="3"/>
      <c r="R1326" s="3"/>
      <c r="S1326" s="3"/>
    </row>
    <row r="1327" spans="3:19" ht="15.75" customHeight="1" x14ac:dyDescent="0.2">
      <c r="C1327" s="208">
        <v>41877</v>
      </c>
      <c r="D1327" s="19">
        <v>0.43402777777777773</v>
      </c>
      <c r="E1327" s="3"/>
      <c r="F1327" s="3"/>
      <c r="G1327" s="3"/>
      <c r="H1327" s="7"/>
      <c r="I1327" s="3"/>
      <c r="J1327">
        <v>9</v>
      </c>
      <c r="K1327">
        <v>12</v>
      </c>
      <c r="L1327" s="3"/>
      <c r="M1327" s="3"/>
      <c r="N1327" s="3"/>
      <c r="O1327" s="3"/>
      <c r="P1327" s="3"/>
      <c r="Q1327" s="3"/>
      <c r="R1327" s="3"/>
      <c r="S1327" s="3"/>
    </row>
    <row r="1328" spans="3:19" ht="15.75" customHeight="1" x14ac:dyDescent="0.2">
      <c r="C1328" s="208">
        <v>41877</v>
      </c>
      <c r="D1328" s="19">
        <v>0.43402777777777773</v>
      </c>
      <c r="E1328" s="3">
        <v>0.1</v>
      </c>
      <c r="F1328" s="3">
        <v>7.89</v>
      </c>
      <c r="G1328" s="3">
        <v>87.7</v>
      </c>
      <c r="H1328" s="7">
        <v>20.7</v>
      </c>
      <c r="I1328" s="7">
        <v>20.7</v>
      </c>
      <c r="J1328" s="7"/>
      <c r="L1328" s="3"/>
      <c r="M1328" s="3"/>
      <c r="N1328" s="3"/>
      <c r="O1328" s="3"/>
      <c r="P1328" s="3"/>
      <c r="Q1328" s="3"/>
      <c r="R1328" s="3"/>
      <c r="S1328" s="3"/>
    </row>
    <row r="1329" spans="3:19" ht="15.75" customHeight="1" x14ac:dyDescent="0.2">
      <c r="C1329" s="208">
        <v>41877</v>
      </c>
      <c r="D1329" s="19">
        <v>0.43402777777777773</v>
      </c>
      <c r="E1329" s="3">
        <v>1</v>
      </c>
      <c r="F1329" s="3">
        <v>7.84</v>
      </c>
      <c r="G1329" s="3">
        <v>87.1</v>
      </c>
      <c r="H1329" s="7">
        <v>20.5</v>
      </c>
      <c r="I1329" s="7">
        <v>20.5</v>
      </c>
      <c r="J1329" s="7"/>
      <c r="L1329" s="3"/>
      <c r="M1329" s="3"/>
      <c r="N1329" s="3"/>
      <c r="O1329" s="3"/>
      <c r="P1329" s="3"/>
      <c r="Q1329" s="3"/>
      <c r="R1329" s="3"/>
      <c r="S1329" s="3"/>
    </row>
    <row r="1330" spans="3:19" ht="15.75" customHeight="1" x14ac:dyDescent="0.2">
      <c r="C1330" s="208">
        <v>41877</v>
      </c>
      <c r="D1330" s="19">
        <v>0.43402777777777773</v>
      </c>
      <c r="E1330" s="3">
        <v>2</v>
      </c>
      <c r="F1330" s="3">
        <v>7.84</v>
      </c>
      <c r="G1330" s="3">
        <v>86.7</v>
      </c>
      <c r="H1330" s="7">
        <v>20.3</v>
      </c>
      <c r="I1330" s="7">
        <v>20.3</v>
      </c>
      <c r="J1330" s="7"/>
      <c r="L1330" s="3"/>
      <c r="M1330" s="3"/>
      <c r="N1330" s="3"/>
      <c r="O1330" s="3"/>
      <c r="P1330" s="3"/>
      <c r="Q1330" s="3"/>
      <c r="R1330" s="3"/>
      <c r="S1330" s="3"/>
    </row>
    <row r="1331" spans="3:19" ht="15.75" customHeight="1" x14ac:dyDescent="0.2">
      <c r="C1331" s="208">
        <v>41877</v>
      </c>
      <c r="D1331" s="19">
        <v>0.43402777777777773</v>
      </c>
      <c r="E1331" s="3">
        <v>3</v>
      </c>
      <c r="F1331" s="3">
        <v>7.81</v>
      </c>
      <c r="G1331" s="3">
        <v>86.4</v>
      </c>
      <c r="H1331" s="7">
        <v>20.3</v>
      </c>
      <c r="I1331" s="7">
        <v>20.3</v>
      </c>
      <c r="J1331" s="7"/>
      <c r="L1331" s="3"/>
      <c r="M1331" s="3"/>
      <c r="N1331" s="3"/>
      <c r="O1331" s="3"/>
      <c r="P1331" s="3"/>
      <c r="Q1331" s="3"/>
      <c r="R1331" s="3"/>
      <c r="S1331" s="3"/>
    </row>
    <row r="1332" spans="3:19" ht="15.75" customHeight="1" x14ac:dyDescent="0.2">
      <c r="C1332" s="208">
        <v>41877</v>
      </c>
      <c r="D1332" s="19">
        <v>0.43402777777777773</v>
      </c>
      <c r="E1332" s="3">
        <v>4</v>
      </c>
      <c r="F1332" s="3">
        <v>7.8</v>
      </c>
      <c r="G1332" s="3">
        <v>86.1</v>
      </c>
      <c r="H1332" s="7">
        <v>20.2</v>
      </c>
      <c r="I1332" s="7">
        <v>20.2</v>
      </c>
      <c r="J1332" s="7"/>
      <c r="L1332" s="3"/>
      <c r="M1332" s="3"/>
      <c r="N1332" s="3"/>
      <c r="O1332" s="3"/>
      <c r="P1332" s="3"/>
      <c r="Q1332" s="3"/>
      <c r="R1332" s="3"/>
      <c r="S1332" s="3"/>
    </row>
    <row r="1333" spans="3:19" ht="15.75" customHeight="1" x14ac:dyDescent="0.2">
      <c r="C1333" s="208">
        <v>41877</v>
      </c>
      <c r="D1333" s="19">
        <v>0.43402777777777773</v>
      </c>
      <c r="E1333" s="3">
        <v>5</v>
      </c>
      <c r="F1333" s="3">
        <v>7.79</v>
      </c>
      <c r="G1333" s="3">
        <v>85.8</v>
      </c>
      <c r="H1333" s="7">
        <v>20.100000000000001</v>
      </c>
      <c r="I1333" s="7">
        <v>20.100000000000001</v>
      </c>
      <c r="J1333" s="7"/>
      <c r="L1333" s="3"/>
      <c r="M1333" s="3"/>
      <c r="N1333" s="3"/>
      <c r="O1333" s="3"/>
      <c r="P1333" s="3"/>
      <c r="Q1333" s="3"/>
      <c r="R1333" s="3"/>
      <c r="S1333" s="3"/>
    </row>
    <row r="1334" spans="3:19" ht="15.75" customHeight="1" x14ac:dyDescent="0.2">
      <c r="C1334" s="208">
        <v>41877</v>
      </c>
      <c r="D1334" s="19">
        <v>0.43402777777777773</v>
      </c>
      <c r="E1334" s="3">
        <v>6</v>
      </c>
      <c r="F1334" s="3">
        <v>7.8</v>
      </c>
      <c r="G1334" s="3">
        <v>85.7</v>
      </c>
      <c r="H1334" s="7">
        <v>20</v>
      </c>
      <c r="I1334" s="7">
        <v>20</v>
      </c>
      <c r="J1334" s="7"/>
      <c r="L1334" s="3"/>
      <c r="M1334" s="3"/>
      <c r="N1334" s="3"/>
      <c r="O1334" s="3"/>
      <c r="P1334" s="3"/>
      <c r="Q1334" s="3"/>
      <c r="R1334" s="3"/>
      <c r="S1334" s="3"/>
    </row>
    <row r="1335" spans="3:19" ht="15.75" customHeight="1" x14ac:dyDescent="0.2">
      <c r="C1335" s="208">
        <v>41877</v>
      </c>
      <c r="D1335" s="19">
        <v>0.43402777777777773</v>
      </c>
      <c r="E1335" s="3">
        <v>7</v>
      </c>
      <c r="F1335" s="3">
        <v>7.83</v>
      </c>
      <c r="G1335" s="3">
        <v>85.9</v>
      </c>
      <c r="H1335" s="7">
        <v>19.899999999999999</v>
      </c>
      <c r="I1335" s="7">
        <v>19.899999999999999</v>
      </c>
      <c r="J1335" s="7"/>
      <c r="L1335" s="3"/>
      <c r="M1335" s="3"/>
      <c r="N1335" s="3"/>
      <c r="O1335" s="3"/>
      <c r="P1335" s="3"/>
      <c r="Q1335" s="3"/>
      <c r="R1335" s="3"/>
      <c r="S1335" s="3"/>
    </row>
    <row r="1336" spans="3:19" ht="15.75" customHeight="1" x14ac:dyDescent="0.2">
      <c r="C1336" s="208">
        <v>41877</v>
      </c>
      <c r="D1336" s="19">
        <v>0.43402777777777773</v>
      </c>
      <c r="E1336" s="3">
        <v>8</v>
      </c>
      <c r="F1336" s="3">
        <v>7.98</v>
      </c>
      <c r="G1336" s="3">
        <v>87</v>
      </c>
      <c r="H1336" s="7">
        <v>19.600000000000001</v>
      </c>
      <c r="I1336" s="7">
        <v>19.600000000000001</v>
      </c>
      <c r="J1336" s="7"/>
      <c r="L1336" s="3"/>
      <c r="M1336" s="3"/>
      <c r="N1336" s="3"/>
      <c r="O1336" s="3"/>
      <c r="P1336" s="3"/>
      <c r="Q1336" s="3"/>
      <c r="R1336" s="3"/>
      <c r="S1336" s="3"/>
    </row>
    <row r="1337" spans="3:19" ht="15.75" customHeight="1" x14ac:dyDescent="0.2">
      <c r="C1337" s="208">
        <v>41877</v>
      </c>
      <c r="D1337" s="19">
        <v>0.43402777777777773</v>
      </c>
      <c r="E1337" s="3">
        <v>9</v>
      </c>
      <c r="F1337" s="3">
        <v>8.1999999999999993</v>
      </c>
      <c r="G1337" s="3">
        <v>89</v>
      </c>
      <c r="H1337" s="7">
        <v>19.100000000000001</v>
      </c>
      <c r="I1337" s="7">
        <v>19.100000000000001</v>
      </c>
      <c r="J1337" s="7"/>
      <c r="L1337" s="3"/>
      <c r="M1337" s="3"/>
      <c r="N1337" s="3"/>
      <c r="O1337" s="3"/>
      <c r="P1337" s="3"/>
      <c r="Q1337" s="3"/>
      <c r="R1337" s="3"/>
      <c r="S1337" s="3"/>
    </row>
    <row r="1338" spans="3:19" ht="15.75" customHeight="1" x14ac:dyDescent="0.2">
      <c r="C1338" s="208">
        <v>41877</v>
      </c>
      <c r="D1338" s="19">
        <v>0.43402777777777773</v>
      </c>
      <c r="E1338" s="3">
        <v>10</v>
      </c>
      <c r="F1338" s="3">
        <v>8.3800000000000008</v>
      </c>
      <c r="G1338" s="3">
        <v>89.2</v>
      </c>
      <c r="H1338" s="7">
        <v>18.399999999999999</v>
      </c>
      <c r="I1338" s="7">
        <v>18.399999999999999</v>
      </c>
      <c r="J1338" s="7"/>
      <c r="L1338" s="3"/>
      <c r="M1338" s="3"/>
      <c r="N1338" s="3"/>
      <c r="O1338" s="3"/>
      <c r="P1338" s="3"/>
      <c r="Q1338" s="3"/>
      <c r="R1338" s="3"/>
      <c r="S1338" s="3"/>
    </row>
    <row r="1339" spans="3:19" ht="15.75" customHeight="1" x14ac:dyDescent="0.2">
      <c r="C1339" s="208">
        <v>41877</v>
      </c>
      <c r="D1339" s="19">
        <v>0.43402777777777773</v>
      </c>
      <c r="E1339" s="3">
        <v>11</v>
      </c>
      <c r="F1339" s="3">
        <v>8.69</v>
      </c>
      <c r="G1339" s="3">
        <v>90.8</v>
      </c>
      <c r="H1339" s="7">
        <v>17</v>
      </c>
      <c r="I1339" s="17">
        <f>AVERAGE(I1328:I1338)</f>
        <v>19.918181818181818</v>
      </c>
      <c r="J1339" s="17"/>
      <c r="L1339" s="3"/>
      <c r="M1339" s="3"/>
      <c r="N1339" s="3"/>
      <c r="O1339" s="3"/>
      <c r="P1339" s="3"/>
      <c r="Q1339" s="3"/>
      <c r="R1339" s="3"/>
      <c r="S1339" s="3"/>
    </row>
    <row r="1340" spans="3:19" ht="15.75" customHeight="1" x14ac:dyDescent="0.2">
      <c r="C1340" s="208">
        <v>41877</v>
      </c>
      <c r="D1340" s="19">
        <v>0.43402777777777773</v>
      </c>
      <c r="E1340" s="3">
        <v>12</v>
      </c>
      <c r="F1340" s="3">
        <v>9.27</v>
      </c>
      <c r="G1340" s="3">
        <v>86.1</v>
      </c>
      <c r="H1340" s="7">
        <v>13</v>
      </c>
      <c r="I1340" s="3"/>
      <c r="L1340" s="3"/>
      <c r="M1340" s="3"/>
      <c r="N1340" s="3"/>
      <c r="O1340" s="3"/>
      <c r="P1340" s="3"/>
      <c r="Q1340" s="3"/>
      <c r="R1340" s="3"/>
      <c r="S1340" s="3"/>
    </row>
    <row r="1341" spans="3:19" ht="15.75" customHeight="1" x14ac:dyDescent="0.2">
      <c r="C1341" s="208">
        <v>41877</v>
      </c>
      <c r="D1341" s="19">
        <v>0.43402777777777773</v>
      </c>
      <c r="E1341" s="3">
        <v>13</v>
      </c>
      <c r="F1341" s="3">
        <v>9.39</v>
      </c>
      <c r="G1341" s="3">
        <v>85.5</v>
      </c>
      <c r="H1341" s="7">
        <v>11.3</v>
      </c>
      <c r="I1341" s="3"/>
      <c r="L1341" s="3"/>
      <c r="M1341" s="3"/>
      <c r="N1341" s="3"/>
      <c r="O1341" s="3"/>
      <c r="P1341" s="3"/>
      <c r="Q1341" s="3"/>
      <c r="R1341" s="3"/>
      <c r="S1341" s="3"/>
    </row>
    <row r="1342" spans="3:19" ht="15.75" customHeight="1" x14ac:dyDescent="0.2">
      <c r="C1342" s="208">
        <v>41877</v>
      </c>
      <c r="D1342" s="19">
        <v>0.43402777777777773</v>
      </c>
      <c r="E1342" s="3">
        <v>14</v>
      </c>
      <c r="F1342" s="3">
        <v>9.3699999999999992</v>
      </c>
      <c r="G1342" s="3">
        <v>83</v>
      </c>
      <c r="H1342" s="7">
        <v>10.3</v>
      </c>
      <c r="I1342" s="3"/>
      <c r="L1342" s="3"/>
      <c r="M1342" s="3"/>
      <c r="N1342" s="3"/>
      <c r="O1342" s="3"/>
      <c r="P1342" s="3"/>
      <c r="Q1342" s="3"/>
      <c r="R1342" s="3"/>
      <c r="S1342" s="3"/>
    </row>
    <row r="1343" spans="3:19" ht="15.75" customHeight="1" x14ac:dyDescent="0.2">
      <c r="C1343" s="208">
        <v>41877</v>
      </c>
      <c r="D1343" s="19">
        <v>0.43402777777777773</v>
      </c>
      <c r="E1343" s="3">
        <v>15</v>
      </c>
      <c r="F1343" s="3">
        <v>9.3000000000000007</v>
      </c>
      <c r="G1343" s="3">
        <v>79.099999999999994</v>
      </c>
      <c r="H1343" s="7">
        <v>8.5</v>
      </c>
      <c r="I1343" s="3"/>
      <c r="L1343" s="3"/>
      <c r="M1343" s="3"/>
      <c r="N1343" s="3"/>
      <c r="O1343" s="3"/>
      <c r="P1343" s="3"/>
      <c r="Q1343" s="3"/>
      <c r="R1343" s="3"/>
      <c r="S1343" s="3"/>
    </row>
    <row r="1344" spans="3:19" ht="15.75" customHeight="1" x14ac:dyDescent="0.2">
      <c r="C1344" s="208">
        <v>41877</v>
      </c>
      <c r="D1344" s="19">
        <v>0.43402777777777773</v>
      </c>
      <c r="E1344" s="3">
        <v>16</v>
      </c>
      <c r="F1344" s="3">
        <v>9.1999999999999993</v>
      </c>
      <c r="G1344" s="3">
        <v>77.400000000000006</v>
      </c>
      <c r="H1344" s="7">
        <v>7.9</v>
      </c>
      <c r="I1344" s="3"/>
      <c r="L1344" s="3"/>
      <c r="M1344" s="3"/>
      <c r="N1344" s="3"/>
      <c r="O1344" s="3"/>
      <c r="P1344" s="3"/>
      <c r="Q1344" s="3"/>
      <c r="R1344" s="3"/>
      <c r="S1344" s="3"/>
    </row>
    <row r="1345" spans="3:19" ht="15.75" customHeight="1" x14ac:dyDescent="0.2">
      <c r="C1345" s="208">
        <v>41877</v>
      </c>
      <c r="D1345" s="19">
        <v>0.43402777777777773</v>
      </c>
      <c r="E1345" s="3">
        <v>17</v>
      </c>
      <c r="F1345" s="3">
        <v>9.1</v>
      </c>
      <c r="G1345" s="3">
        <v>75.5</v>
      </c>
      <c r="H1345" s="7">
        <v>7.6</v>
      </c>
      <c r="I1345" s="3"/>
      <c r="L1345" s="3"/>
      <c r="M1345" s="3"/>
      <c r="N1345" s="3"/>
      <c r="O1345" s="3"/>
      <c r="P1345" s="3"/>
      <c r="Q1345" s="3"/>
      <c r="R1345" s="3"/>
      <c r="S1345" s="3"/>
    </row>
    <row r="1346" spans="3:19" ht="15.75" customHeight="1" x14ac:dyDescent="0.2">
      <c r="C1346" s="208">
        <v>41877</v>
      </c>
      <c r="D1346" s="19">
        <v>0.43402777777777773</v>
      </c>
      <c r="E1346" s="3">
        <v>18</v>
      </c>
      <c r="F1346" s="3">
        <v>9</v>
      </c>
      <c r="G1346" s="3">
        <v>74.400000000000006</v>
      </c>
      <c r="H1346" s="7">
        <v>7.2</v>
      </c>
      <c r="I1346" s="3"/>
      <c r="L1346" s="3"/>
      <c r="M1346" s="3"/>
      <c r="N1346" s="3"/>
      <c r="O1346" s="3"/>
      <c r="P1346" s="3"/>
      <c r="Q1346" s="3"/>
      <c r="R1346" s="3"/>
      <c r="S1346" s="3"/>
    </row>
    <row r="1347" spans="3:19" ht="15.75" customHeight="1" x14ac:dyDescent="0.2">
      <c r="C1347" s="208">
        <v>41877</v>
      </c>
      <c r="D1347" s="19">
        <v>0.43402777777777773</v>
      </c>
      <c r="E1347" s="3">
        <v>19</v>
      </c>
      <c r="F1347" s="3">
        <v>8.92</v>
      </c>
      <c r="G1347" s="3">
        <v>73.400000000000006</v>
      </c>
      <c r="H1347" s="7">
        <v>7</v>
      </c>
      <c r="I1347" s="3"/>
      <c r="L1347" s="3"/>
      <c r="M1347" s="3"/>
      <c r="N1347" s="3"/>
      <c r="O1347" s="3"/>
      <c r="P1347" s="3"/>
      <c r="Q1347" s="3"/>
      <c r="R1347" s="3"/>
      <c r="S1347" s="3"/>
    </row>
    <row r="1348" spans="3:19" ht="15.75" customHeight="1" x14ac:dyDescent="0.2">
      <c r="C1348" s="208">
        <v>41877</v>
      </c>
      <c r="D1348" s="19">
        <v>0.43402777777777773</v>
      </c>
      <c r="E1348" s="3">
        <v>20</v>
      </c>
      <c r="F1348" s="3">
        <v>8.8699999999999992</v>
      </c>
      <c r="G1348" s="3">
        <v>72.599999999999994</v>
      </c>
      <c r="H1348" s="7">
        <v>6.8</v>
      </c>
      <c r="I1348" s="3"/>
      <c r="L1348" s="3"/>
      <c r="M1348" s="3"/>
      <c r="N1348" s="3"/>
      <c r="O1348" s="3"/>
      <c r="P1348" s="3"/>
      <c r="Q1348" s="3"/>
      <c r="R1348" s="3"/>
      <c r="S1348" s="3"/>
    </row>
    <row r="1349" spans="3:19" ht="15.75" customHeight="1" x14ac:dyDescent="0.2">
      <c r="C1349" s="208">
        <v>41877</v>
      </c>
      <c r="D1349" s="19">
        <v>0.43402777777777773</v>
      </c>
      <c r="E1349" s="3">
        <v>25</v>
      </c>
      <c r="F1349" s="3">
        <v>8.67</v>
      </c>
      <c r="G1349" s="3">
        <v>70.2</v>
      </c>
      <c r="H1349" s="7">
        <v>6.3</v>
      </c>
      <c r="I1349" s="3"/>
      <c r="L1349" s="3"/>
      <c r="M1349" s="3"/>
      <c r="N1349" s="3"/>
      <c r="O1349" s="3"/>
      <c r="P1349" s="3"/>
      <c r="Q1349" s="3"/>
      <c r="R1349" s="3"/>
      <c r="S1349" s="3"/>
    </row>
    <row r="1350" spans="3:19" ht="15.75" customHeight="1" x14ac:dyDescent="0.2">
      <c r="C1350" s="208">
        <v>41877</v>
      </c>
      <c r="D1350" s="19">
        <v>0.43402777777777773</v>
      </c>
      <c r="E1350" s="3">
        <v>30</v>
      </c>
      <c r="F1350" s="3">
        <v>8.6999999999999993</v>
      </c>
      <c r="G1350" s="3">
        <v>69.7</v>
      </c>
      <c r="H1350" s="7">
        <v>5.9</v>
      </c>
      <c r="I1350" s="3"/>
      <c r="L1350" s="3"/>
      <c r="M1350" s="3"/>
      <c r="N1350" s="3"/>
      <c r="O1350" s="3"/>
      <c r="P1350" s="3"/>
      <c r="Q1350" s="3"/>
      <c r="R1350" s="3"/>
      <c r="S1350" s="3"/>
    </row>
    <row r="1351" spans="3:19" ht="15.75" customHeight="1" x14ac:dyDescent="0.2">
      <c r="C1351" s="208">
        <v>41877</v>
      </c>
      <c r="D1351" s="19">
        <v>0.43402777777777773</v>
      </c>
      <c r="E1351" s="3">
        <v>35</v>
      </c>
      <c r="F1351" s="3">
        <v>8.6199999999999992</v>
      </c>
      <c r="G1351" s="3">
        <v>68.5</v>
      </c>
      <c r="H1351" s="7">
        <v>5.7</v>
      </c>
      <c r="I1351" s="3"/>
      <c r="L1351" s="3"/>
      <c r="M1351" s="3"/>
      <c r="N1351" s="3"/>
      <c r="O1351" s="3"/>
      <c r="P1351" s="3"/>
      <c r="Q1351" s="3"/>
      <c r="R1351" s="3"/>
      <c r="S1351" s="3"/>
    </row>
    <row r="1352" spans="3:19" ht="15.75" customHeight="1" x14ac:dyDescent="0.2">
      <c r="C1352" s="208"/>
      <c r="D1352" s="19"/>
      <c r="E1352" s="3"/>
      <c r="F1352" s="3"/>
      <c r="G1352" s="3"/>
      <c r="H1352" s="7"/>
      <c r="I1352" s="3"/>
      <c r="L1352" s="3"/>
      <c r="M1352" s="3"/>
      <c r="N1352" s="3"/>
      <c r="O1352" s="3"/>
      <c r="P1352" s="3"/>
      <c r="Q1352" s="3"/>
      <c r="R1352" s="3"/>
      <c r="S1352" s="3"/>
    </row>
    <row r="1353" spans="3:19" ht="15.75" customHeight="1" x14ac:dyDescent="0.2">
      <c r="C1353" s="208">
        <v>41841</v>
      </c>
      <c r="D1353" s="19">
        <v>0.4236111111111111</v>
      </c>
      <c r="E1353" s="3"/>
      <c r="F1353" s="3"/>
      <c r="G1353" s="3"/>
      <c r="H1353" s="7"/>
      <c r="I1353" s="3"/>
      <c r="J1353">
        <v>9</v>
      </c>
      <c r="K1353">
        <v>11</v>
      </c>
      <c r="L1353" s="3"/>
      <c r="M1353" s="3"/>
      <c r="N1353" s="3"/>
      <c r="O1353" s="3"/>
      <c r="P1353" s="3"/>
      <c r="Q1353" s="3"/>
      <c r="R1353" s="3"/>
      <c r="S1353" s="3"/>
    </row>
    <row r="1354" spans="3:19" ht="15.75" customHeight="1" x14ac:dyDescent="0.2">
      <c r="C1354" s="208">
        <v>41841</v>
      </c>
      <c r="D1354" s="19">
        <v>0.4375</v>
      </c>
      <c r="E1354" s="3">
        <v>0.1</v>
      </c>
      <c r="F1354" s="3">
        <v>7.6</v>
      </c>
      <c r="G1354" s="3">
        <v>86.6</v>
      </c>
      <c r="H1354" s="7">
        <v>21.8</v>
      </c>
      <c r="I1354" s="7">
        <v>21.8</v>
      </c>
      <c r="J1354" s="7"/>
      <c r="L1354" s="3"/>
      <c r="M1354" s="3"/>
      <c r="N1354" s="3"/>
      <c r="O1354" s="3"/>
      <c r="P1354" s="3"/>
      <c r="Q1354" s="3"/>
      <c r="R1354" s="3"/>
      <c r="S1354" s="3"/>
    </row>
    <row r="1355" spans="3:19" ht="15.75" customHeight="1" x14ac:dyDescent="0.2">
      <c r="C1355" s="208">
        <v>41841</v>
      </c>
      <c r="D1355" s="19">
        <v>0.4375</v>
      </c>
      <c r="E1355" s="3">
        <v>1</v>
      </c>
      <c r="F1355" s="3">
        <v>7.59</v>
      </c>
      <c r="G1355" s="3">
        <v>86.5</v>
      </c>
      <c r="H1355" s="7">
        <v>21.8</v>
      </c>
      <c r="I1355" s="7">
        <v>21.8</v>
      </c>
      <c r="J1355" s="7"/>
      <c r="L1355" s="3"/>
      <c r="M1355" s="3"/>
      <c r="N1355" s="3"/>
      <c r="O1355" s="3"/>
      <c r="P1355" s="3"/>
      <c r="Q1355" s="3"/>
      <c r="R1355" s="3"/>
      <c r="S1355" s="3"/>
    </row>
    <row r="1356" spans="3:19" ht="15.75" customHeight="1" x14ac:dyDescent="0.2">
      <c r="C1356" s="208">
        <v>41841</v>
      </c>
      <c r="D1356" s="19">
        <v>0.4375</v>
      </c>
      <c r="E1356" s="3">
        <v>2</v>
      </c>
      <c r="F1356" s="3">
        <v>7.58</v>
      </c>
      <c r="G1356" s="3">
        <v>86.4</v>
      </c>
      <c r="H1356" s="7">
        <v>21.8</v>
      </c>
      <c r="I1356" s="7">
        <v>21.8</v>
      </c>
      <c r="J1356" s="7"/>
      <c r="L1356" s="3"/>
      <c r="M1356" s="3"/>
      <c r="N1356" s="3"/>
      <c r="O1356" s="3"/>
      <c r="P1356" s="3"/>
      <c r="Q1356" s="3"/>
      <c r="R1356" s="3"/>
      <c r="S1356" s="3"/>
    </row>
    <row r="1357" spans="3:19" ht="15.75" customHeight="1" x14ac:dyDescent="0.2">
      <c r="C1357" s="208">
        <v>41841</v>
      </c>
      <c r="D1357" s="19">
        <v>0.4375</v>
      </c>
      <c r="E1357" s="3">
        <v>3</v>
      </c>
      <c r="F1357" s="3">
        <v>7.57</v>
      </c>
      <c r="G1357" s="3">
        <v>86.2</v>
      </c>
      <c r="H1357" s="7">
        <v>21.8</v>
      </c>
      <c r="I1357" s="7">
        <v>21.8</v>
      </c>
      <c r="J1357" s="7"/>
      <c r="L1357" s="3"/>
      <c r="M1357" s="3"/>
      <c r="N1357" s="3"/>
      <c r="O1357" s="3"/>
      <c r="P1357" s="3"/>
      <c r="Q1357" s="3"/>
      <c r="R1357" s="3"/>
      <c r="S1357" s="3"/>
    </row>
    <row r="1358" spans="3:19" ht="15.75" customHeight="1" x14ac:dyDescent="0.2">
      <c r="C1358" s="208">
        <v>41841</v>
      </c>
      <c r="D1358" s="19">
        <v>0.4375</v>
      </c>
      <c r="E1358" s="3">
        <v>4</v>
      </c>
      <c r="F1358" s="3">
        <v>7.56</v>
      </c>
      <c r="G1358" s="3">
        <v>86.1</v>
      </c>
      <c r="H1358" s="7">
        <v>21.8</v>
      </c>
      <c r="I1358" s="7">
        <v>21.8</v>
      </c>
      <c r="J1358" s="7"/>
      <c r="L1358" s="3"/>
      <c r="M1358" s="3"/>
      <c r="N1358" s="3"/>
      <c r="O1358" s="3"/>
      <c r="P1358" s="3"/>
      <c r="Q1358" s="3"/>
      <c r="R1358" s="3"/>
      <c r="S1358" s="3"/>
    </row>
    <row r="1359" spans="3:19" ht="15.75" customHeight="1" x14ac:dyDescent="0.2">
      <c r="C1359" s="208">
        <v>41841</v>
      </c>
      <c r="D1359" s="19">
        <v>0.4375</v>
      </c>
      <c r="E1359" s="3">
        <v>5</v>
      </c>
      <c r="F1359" s="3">
        <v>7.54</v>
      </c>
      <c r="G1359" s="3">
        <v>85.9</v>
      </c>
      <c r="H1359" s="7">
        <v>21.8</v>
      </c>
      <c r="I1359" s="7">
        <v>21.8</v>
      </c>
      <c r="J1359" s="7"/>
      <c r="L1359" s="3"/>
      <c r="M1359" s="3"/>
      <c r="N1359" s="3"/>
      <c r="O1359" s="3"/>
      <c r="P1359" s="3"/>
      <c r="Q1359" s="3"/>
      <c r="R1359" s="3"/>
      <c r="S1359" s="3"/>
    </row>
    <row r="1360" spans="3:19" ht="15.75" customHeight="1" x14ac:dyDescent="0.2">
      <c r="C1360" s="208">
        <v>41841</v>
      </c>
      <c r="D1360" s="19">
        <v>0.4375</v>
      </c>
      <c r="E1360" s="3">
        <v>6</v>
      </c>
      <c r="F1360" s="3">
        <v>7.53</v>
      </c>
      <c r="G1360" s="3">
        <v>85.9</v>
      </c>
      <c r="H1360" s="7">
        <v>21.8</v>
      </c>
      <c r="I1360" s="7">
        <v>21.8</v>
      </c>
      <c r="J1360" s="7"/>
      <c r="L1360" s="3"/>
      <c r="M1360" s="3"/>
      <c r="N1360" s="3"/>
      <c r="O1360" s="3"/>
      <c r="P1360" s="3"/>
      <c r="Q1360" s="3"/>
      <c r="R1360" s="3"/>
      <c r="S1360" s="3"/>
    </row>
    <row r="1361" spans="3:19" ht="15.75" customHeight="1" x14ac:dyDescent="0.2">
      <c r="C1361" s="208">
        <v>41841</v>
      </c>
      <c r="D1361" s="19">
        <v>0.4375</v>
      </c>
      <c r="E1361" s="3">
        <v>7</v>
      </c>
      <c r="F1361" s="3">
        <v>7.52</v>
      </c>
      <c r="G1361" s="3">
        <v>85.7</v>
      </c>
      <c r="H1361" s="7">
        <v>21.8</v>
      </c>
      <c r="I1361" s="7">
        <v>21.8</v>
      </c>
      <c r="J1361" s="7"/>
      <c r="L1361" s="3"/>
      <c r="M1361" s="3"/>
      <c r="N1361" s="3"/>
      <c r="O1361" s="3"/>
      <c r="P1361" s="3"/>
      <c r="Q1361" s="3"/>
      <c r="R1361" s="3"/>
      <c r="S1361" s="3"/>
    </row>
    <row r="1362" spans="3:19" ht="15.75" customHeight="1" x14ac:dyDescent="0.2">
      <c r="C1362" s="208">
        <v>41841</v>
      </c>
      <c r="D1362" s="19">
        <v>0.4375</v>
      </c>
      <c r="E1362" s="3">
        <v>8</v>
      </c>
      <c r="F1362" s="3">
        <v>7.51</v>
      </c>
      <c r="G1362" s="3">
        <v>85.6</v>
      </c>
      <c r="H1362" s="7">
        <v>21.8</v>
      </c>
      <c r="I1362" s="7">
        <v>21.8</v>
      </c>
      <c r="J1362" s="7"/>
      <c r="L1362" s="3"/>
      <c r="M1362" s="3"/>
      <c r="N1362" s="3"/>
      <c r="O1362" s="3"/>
      <c r="P1362" s="3"/>
      <c r="Q1362" s="3"/>
      <c r="R1362" s="3"/>
      <c r="S1362" s="3"/>
    </row>
    <row r="1363" spans="3:19" ht="15.75" customHeight="1" x14ac:dyDescent="0.2">
      <c r="C1363" s="208">
        <v>41841</v>
      </c>
      <c r="D1363" s="19">
        <v>0.4375</v>
      </c>
      <c r="E1363" s="3">
        <v>9</v>
      </c>
      <c r="F1363" s="3">
        <v>7.51</v>
      </c>
      <c r="G1363" s="3">
        <v>85.3</v>
      </c>
      <c r="H1363" s="7">
        <v>21.7</v>
      </c>
      <c r="I1363" s="7">
        <v>21.7</v>
      </c>
      <c r="J1363" s="7"/>
      <c r="L1363" s="3"/>
      <c r="M1363" s="3"/>
      <c r="N1363" s="3"/>
      <c r="O1363" s="3"/>
      <c r="P1363" s="3"/>
      <c r="Q1363" s="3"/>
      <c r="R1363" s="3"/>
      <c r="S1363" s="3"/>
    </row>
    <row r="1364" spans="3:19" ht="15.75" customHeight="1" x14ac:dyDescent="0.2">
      <c r="C1364" s="208">
        <v>41841</v>
      </c>
      <c r="D1364" s="19">
        <v>0.4375</v>
      </c>
      <c r="E1364" s="3">
        <v>10</v>
      </c>
      <c r="F1364" s="3">
        <v>8.0500000000000007</v>
      </c>
      <c r="G1364" s="3">
        <v>86.2</v>
      </c>
      <c r="H1364" s="7">
        <v>19</v>
      </c>
      <c r="I1364" s="17">
        <f>AVERAGE(I1354:I1363)</f>
        <v>21.790000000000003</v>
      </c>
      <c r="J1364" s="17"/>
      <c r="L1364" s="3"/>
      <c r="M1364" s="3"/>
      <c r="N1364" s="3"/>
      <c r="O1364" s="3"/>
      <c r="P1364" s="3"/>
      <c r="Q1364" s="3"/>
      <c r="R1364" s="3"/>
      <c r="S1364" s="3"/>
    </row>
    <row r="1365" spans="3:19" ht="15.75" customHeight="1" x14ac:dyDescent="0.2">
      <c r="C1365" s="208">
        <v>41841</v>
      </c>
      <c r="D1365" s="19">
        <v>0.4375</v>
      </c>
      <c r="E1365" s="3">
        <v>11</v>
      </c>
      <c r="F1365" s="3">
        <v>8.8000000000000007</v>
      </c>
      <c r="G1365" s="3">
        <v>85.9</v>
      </c>
      <c r="H1365" s="7">
        <v>15</v>
      </c>
      <c r="I1365" s="3"/>
      <c r="L1365" s="3"/>
      <c r="M1365" s="3"/>
      <c r="N1365" s="3"/>
      <c r="O1365" s="3"/>
      <c r="P1365" s="3"/>
      <c r="Q1365" s="3"/>
      <c r="R1365" s="3"/>
      <c r="S1365" s="3"/>
    </row>
    <row r="1366" spans="3:19" ht="15.75" customHeight="1" x14ac:dyDescent="0.2">
      <c r="C1366" s="208">
        <v>41841</v>
      </c>
      <c r="D1366" s="19">
        <v>0.4375</v>
      </c>
      <c r="E1366" s="3">
        <v>12</v>
      </c>
      <c r="F1366" s="3">
        <v>9.15</v>
      </c>
      <c r="G1366" s="3">
        <v>83.1</v>
      </c>
      <c r="H1366" s="7">
        <v>12.1</v>
      </c>
      <c r="I1366" s="3"/>
      <c r="L1366" s="3"/>
      <c r="M1366" s="3"/>
      <c r="N1366" s="3"/>
      <c r="O1366" s="3"/>
      <c r="P1366" s="3"/>
      <c r="Q1366" s="3"/>
      <c r="R1366" s="3"/>
      <c r="S1366" s="3"/>
    </row>
    <row r="1367" spans="3:19" ht="15.75" customHeight="1" x14ac:dyDescent="0.2">
      <c r="C1367" s="208">
        <v>41841</v>
      </c>
      <c r="D1367" s="19">
        <v>0.4375</v>
      </c>
      <c r="E1367" s="3">
        <v>13</v>
      </c>
      <c r="F1367" s="3">
        <v>9.23</v>
      </c>
      <c r="G1367" s="3">
        <v>79.900000000000006</v>
      </c>
      <c r="H1367" s="7">
        <v>9.4</v>
      </c>
      <c r="I1367" s="3"/>
      <c r="L1367" s="3"/>
      <c r="M1367" s="3"/>
      <c r="N1367" s="3"/>
      <c r="O1367" s="3"/>
      <c r="P1367" s="3"/>
      <c r="Q1367" s="3"/>
      <c r="R1367" s="3"/>
      <c r="S1367" s="3"/>
    </row>
    <row r="1368" spans="3:19" ht="15.75" customHeight="1" x14ac:dyDescent="0.2">
      <c r="C1368" s="208">
        <v>41841</v>
      </c>
      <c r="D1368" s="19">
        <v>0.4375</v>
      </c>
      <c r="E1368" s="3">
        <v>14</v>
      </c>
      <c r="F1368" s="3">
        <v>9.25</v>
      </c>
      <c r="G1368" s="3">
        <v>78.599999999999994</v>
      </c>
      <c r="H1368" s="7">
        <v>8.6</v>
      </c>
      <c r="I1368" s="3"/>
      <c r="L1368" s="3"/>
      <c r="M1368" s="3"/>
      <c r="N1368" s="3"/>
      <c r="O1368" s="3"/>
      <c r="P1368" s="3"/>
      <c r="Q1368" s="3"/>
      <c r="R1368" s="3"/>
      <c r="S1368" s="3"/>
    </row>
    <row r="1369" spans="3:19" ht="15.75" customHeight="1" x14ac:dyDescent="0.2">
      <c r="C1369" s="208">
        <v>41841</v>
      </c>
      <c r="D1369" s="19">
        <v>0.4375</v>
      </c>
      <c r="E1369" s="3">
        <v>15</v>
      </c>
      <c r="F1369" s="3">
        <v>9.2100000000000009</v>
      </c>
      <c r="G1369" s="3">
        <v>77</v>
      </c>
      <c r="H1369" s="7">
        <v>8</v>
      </c>
      <c r="I1369" s="3"/>
      <c r="L1369" s="3"/>
      <c r="M1369" s="3"/>
      <c r="N1369" s="3"/>
      <c r="O1369" s="3"/>
      <c r="P1369" s="3"/>
      <c r="Q1369" s="3"/>
      <c r="R1369" s="3"/>
      <c r="S1369" s="3"/>
    </row>
    <row r="1370" spans="3:19" ht="15.75" customHeight="1" x14ac:dyDescent="0.2">
      <c r="C1370" s="208">
        <v>41841</v>
      </c>
      <c r="D1370" s="19">
        <v>0.4375</v>
      </c>
      <c r="E1370" s="3">
        <v>16</v>
      </c>
      <c r="F1370" s="3">
        <v>9.16</v>
      </c>
      <c r="G1370" s="3">
        <v>75.3</v>
      </c>
      <c r="H1370" s="7">
        <v>7.2</v>
      </c>
      <c r="I1370" s="7"/>
      <c r="L1370" s="3"/>
      <c r="M1370" s="3"/>
      <c r="N1370" s="3"/>
      <c r="O1370" s="3"/>
      <c r="P1370" s="3"/>
      <c r="Q1370" s="3"/>
      <c r="R1370" s="3"/>
      <c r="S1370" s="3"/>
    </row>
    <row r="1371" spans="3:19" ht="15.75" customHeight="1" x14ac:dyDescent="0.2">
      <c r="C1371" s="208">
        <v>41841</v>
      </c>
      <c r="D1371" s="19">
        <v>0.4375</v>
      </c>
      <c r="E1371" s="3">
        <v>17</v>
      </c>
      <c r="F1371" s="3">
        <v>9.07</v>
      </c>
      <c r="G1371" s="3">
        <v>74.3</v>
      </c>
      <c r="H1371" s="7">
        <v>6.9</v>
      </c>
      <c r="I1371" s="7"/>
      <c r="L1371" s="3"/>
      <c r="M1371" s="3"/>
      <c r="N1371" s="3"/>
      <c r="O1371" s="3"/>
      <c r="P1371" s="3"/>
      <c r="Q1371" s="3"/>
      <c r="R1371" s="3"/>
      <c r="S1371" s="3"/>
    </row>
    <row r="1372" spans="3:19" ht="15.75" customHeight="1" x14ac:dyDescent="0.2">
      <c r="C1372" s="208">
        <v>41841</v>
      </c>
      <c r="D1372" s="19">
        <v>0.4375</v>
      </c>
      <c r="E1372" s="3">
        <v>18</v>
      </c>
      <c r="F1372" s="3">
        <v>9.06</v>
      </c>
      <c r="G1372" s="3">
        <v>74</v>
      </c>
      <c r="H1372" s="3">
        <v>6.7</v>
      </c>
      <c r="I1372" s="3"/>
      <c r="L1372" s="3"/>
      <c r="M1372" s="3"/>
      <c r="N1372" s="3"/>
      <c r="O1372" s="3"/>
      <c r="P1372" s="3"/>
      <c r="Q1372" s="3"/>
      <c r="R1372" s="3"/>
      <c r="S1372" s="3"/>
    </row>
    <row r="1373" spans="3:19" ht="15.75" customHeight="1" x14ac:dyDescent="0.2">
      <c r="C1373" s="208">
        <v>41841</v>
      </c>
      <c r="D1373" s="19">
        <v>0.4375</v>
      </c>
      <c r="E1373" s="3">
        <v>19</v>
      </c>
      <c r="F1373" s="3">
        <v>9.0299999999999994</v>
      </c>
      <c r="G1373" s="3">
        <v>73.400000000000006</v>
      </c>
      <c r="H1373" s="7">
        <v>6.6</v>
      </c>
      <c r="I1373" s="7"/>
      <c r="L1373" s="3"/>
      <c r="M1373" s="3"/>
      <c r="N1373" s="3"/>
      <c r="O1373" s="3"/>
      <c r="P1373" s="3"/>
      <c r="Q1373" s="3"/>
      <c r="R1373" s="3"/>
      <c r="S1373" s="3"/>
    </row>
    <row r="1374" spans="3:19" ht="15.75" customHeight="1" x14ac:dyDescent="0.2">
      <c r="C1374" s="208">
        <v>41841</v>
      </c>
      <c r="D1374" s="19">
        <v>0.4375</v>
      </c>
      <c r="E1374" s="3">
        <v>20</v>
      </c>
      <c r="F1374" s="3">
        <v>8.99</v>
      </c>
      <c r="G1374" s="3">
        <v>73.099999999999994</v>
      </c>
      <c r="H1374" s="7">
        <v>6.5</v>
      </c>
      <c r="I1374" s="7"/>
      <c r="L1374" s="3"/>
      <c r="M1374" s="3"/>
      <c r="N1374" s="3"/>
      <c r="O1374" s="3"/>
      <c r="P1374" s="3"/>
      <c r="Q1374" s="3"/>
      <c r="R1374" s="3"/>
      <c r="S1374" s="3"/>
    </row>
    <row r="1375" spans="3:19" ht="15.75" customHeight="1" x14ac:dyDescent="0.2">
      <c r="C1375" s="208">
        <v>41841</v>
      </c>
      <c r="D1375" s="19">
        <v>0.4375</v>
      </c>
      <c r="E1375" s="3">
        <v>25</v>
      </c>
      <c r="F1375" s="3">
        <v>8.9600000000000009</v>
      </c>
      <c r="G1375" s="3">
        <v>72.2</v>
      </c>
      <c r="H1375" s="7">
        <v>6.2</v>
      </c>
      <c r="I1375" s="7"/>
      <c r="L1375" s="3"/>
      <c r="M1375" s="3"/>
      <c r="N1375" s="3"/>
      <c r="O1375" s="3"/>
      <c r="P1375" s="3"/>
      <c r="Q1375" s="3"/>
      <c r="R1375" s="3"/>
      <c r="S1375" s="3"/>
    </row>
    <row r="1376" spans="3:19" ht="15.75" customHeight="1" x14ac:dyDescent="0.2">
      <c r="C1376" s="208">
        <v>41841</v>
      </c>
      <c r="D1376" s="19">
        <v>0.4375</v>
      </c>
      <c r="E1376" s="3">
        <v>30</v>
      </c>
      <c r="F1376" s="3">
        <v>8.91</v>
      </c>
      <c r="G1376" s="3">
        <v>71.2</v>
      </c>
      <c r="H1376" s="7">
        <v>5.9</v>
      </c>
      <c r="I1376" s="7"/>
      <c r="L1376" s="3"/>
      <c r="M1376" s="3"/>
      <c r="N1376" s="3"/>
      <c r="O1376" s="3"/>
      <c r="P1376" s="3"/>
      <c r="Q1376" s="3"/>
      <c r="R1376" s="3"/>
      <c r="S1376" s="3"/>
    </row>
    <row r="1377" spans="3:19" ht="15.75" customHeight="1" x14ac:dyDescent="0.2">
      <c r="C1377" s="208">
        <v>41841</v>
      </c>
      <c r="D1377" s="19">
        <v>0.4375</v>
      </c>
      <c r="E1377" s="3">
        <v>35</v>
      </c>
      <c r="F1377" s="3">
        <v>8.7899999999999991</v>
      </c>
      <c r="G1377" s="3">
        <v>69.900000000000006</v>
      </c>
      <c r="H1377" s="7">
        <v>5.6</v>
      </c>
      <c r="I1377" s="7"/>
      <c r="L1377" s="3"/>
      <c r="M1377" s="3"/>
      <c r="N1377" s="3"/>
      <c r="O1377" s="3"/>
      <c r="P1377" s="3"/>
      <c r="Q1377" s="3"/>
      <c r="R1377" s="3"/>
      <c r="S1377" s="3"/>
    </row>
    <row r="1378" spans="3:19" ht="15.75" customHeight="1" x14ac:dyDescent="0.2">
      <c r="C1378" s="208">
        <v>41841</v>
      </c>
      <c r="D1378" s="19">
        <v>0.4375</v>
      </c>
      <c r="E1378" s="3">
        <v>40</v>
      </c>
      <c r="F1378" s="3">
        <v>8.01</v>
      </c>
      <c r="G1378" s="3">
        <v>62</v>
      </c>
      <c r="H1378" s="7">
        <v>5.5</v>
      </c>
      <c r="I1378" s="7"/>
      <c r="L1378" s="3"/>
      <c r="M1378" s="3"/>
      <c r="N1378" s="3"/>
      <c r="O1378" s="3"/>
      <c r="P1378" s="3"/>
      <c r="Q1378" s="3"/>
      <c r="R1378" s="3"/>
      <c r="S1378" s="3"/>
    </row>
    <row r="1379" spans="3:19" ht="15.75" customHeight="1" x14ac:dyDescent="0.2">
      <c r="C1379" s="208"/>
      <c r="D1379" s="19"/>
      <c r="E1379" s="3"/>
      <c r="F1379" s="3"/>
      <c r="G1379" s="3"/>
      <c r="H1379" s="7"/>
      <c r="I1379" s="7"/>
      <c r="L1379" s="3"/>
      <c r="M1379" s="3"/>
      <c r="N1379" s="3"/>
      <c r="O1379" s="3"/>
      <c r="P1379" s="3"/>
      <c r="Q1379" s="3"/>
      <c r="R1379" s="3"/>
      <c r="S1379" s="3"/>
    </row>
    <row r="1380" spans="3:19" ht="15.75" customHeight="1" x14ac:dyDescent="0.2">
      <c r="C1380" s="208">
        <v>41807</v>
      </c>
      <c r="D1380" s="19">
        <v>0.41666666666666669</v>
      </c>
      <c r="E1380" s="3"/>
      <c r="F1380" s="3"/>
      <c r="G1380" s="3"/>
      <c r="H1380" s="7"/>
      <c r="I1380" s="7"/>
      <c r="J1380">
        <v>6</v>
      </c>
      <c r="K1380">
        <v>7</v>
      </c>
      <c r="L1380" s="3"/>
      <c r="M1380" s="3"/>
      <c r="N1380" s="3"/>
      <c r="O1380" s="3"/>
      <c r="P1380" s="3"/>
      <c r="Q1380" s="3"/>
      <c r="R1380" s="3"/>
      <c r="S1380" s="3"/>
    </row>
    <row r="1381" spans="3:19" ht="15.75" customHeight="1" x14ac:dyDescent="0.2">
      <c r="C1381" s="208">
        <v>41807</v>
      </c>
      <c r="D1381" s="19">
        <v>0.41666666666666669</v>
      </c>
      <c r="E1381" s="3">
        <v>0.1</v>
      </c>
      <c r="F1381" s="3">
        <v>9.16</v>
      </c>
      <c r="G1381" s="3">
        <v>92.2</v>
      </c>
      <c r="H1381" s="7">
        <v>14.7</v>
      </c>
      <c r="I1381" s="7"/>
      <c r="L1381" s="3"/>
      <c r="M1381" s="3"/>
      <c r="N1381" s="3"/>
      <c r="O1381" s="3"/>
      <c r="P1381" s="3"/>
      <c r="Q1381" s="3"/>
      <c r="R1381" s="3"/>
      <c r="S1381" s="3"/>
    </row>
    <row r="1382" spans="3:19" ht="15.75" customHeight="1" x14ac:dyDescent="0.2">
      <c r="C1382" s="208">
        <v>41807</v>
      </c>
      <c r="D1382" s="19">
        <v>0.41666666666666669</v>
      </c>
      <c r="E1382" s="3">
        <v>1</v>
      </c>
      <c r="F1382" s="3">
        <v>9.16</v>
      </c>
      <c r="G1382" s="3">
        <v>90.1</v>
      </c>
      <c r="H1382" s="7">
        <v>14.7</v>
      </c>
      <c r="I1382" s="7"/>
      <c r="L1382" s="3"/>
      <c r="M1382" s="3"/>
      <c r="N1382" s="3"/>
      <c r="O1382" s="3"/>
      <c r="P1382" s="3"/>
      <c r="Q1382" s="3"/>
      <c r="R1382" s="3"/>
      <c r="S1382" s="3"/>
    </row>
    <row r="1383" spans="3:19" ht="15.75" customHeight="1" x14ac:dyDescent="0.2">
      <c r="C1383" s="208">
        <v>41807</v>
      </c>
      <c r="D1383" s="19">
        <v>0.41666666666666669</v>
      </c>
      <c r="E1383" s="3">
        <v>2</v>
      </c>
      <c r="F1383" s="3">
        <v>9.15</v>
      </c>
      <c r="G1383" s="3">
        <v>90</v>
      </c>
      <c r="H1383" s="7">
        <v>14.6</v>
      </c>
      <c r="I1383" s="7"/>
      <c r="L1383" s="3"/>
      <c r="M1383" s="3"/>
      <c r="N1383" s="3"/>
      <c r="O1383" s="3"/>
      <c r="P1383" s="3"/>
      <c r="Q1383" s="3"/>
      <c r="R1383" s="3"/>
      <c r="S1383" s="3"/>
    </row>
    <row r="1384" spans="3:19" ht="15.75" customHeight="1" x14ac:dyDescent="0.2">
      <c r="C1384" s="208">
        <v>41807</v>
      </c>
      <c r="D1384" s="19">
        <v>0.41666666666666669</v>
      </c>
      <c r="E1384" s="3">
        <v>3</v>
      </c>
      <c r="F1384" s="3">
        <v>9.1300000000000008</v>
      </c>
      <c r="G1384" s="3">
        <v>89.7</v>
      </c>
      <c r="H1384" s="7">
        <v>14.6</v>
      </c>
      <c r="I1384" s="7"/>
      <c r="L1384" s="3"/>
      <c r="M1384" s="3"/>
      <c r="N1384" s="3"/>
      <c r="O1384" s="3"/>
      <c r="P1384" s="3"/>
      <c r="Q1384" s="3"/>
      <c r="R1384" s="3"/>
      <c r="S1384" s="3"/>
    </row>
    <row r="1385" spans="3:19" ht="15.75" customHeight="1" x14ac:dyDescent="0.2">
      <c r="C1385" s="208">
        <v>41807</v>
      </c>
      <c r="D1385" s="19">
        <v>0.41666666666666669</v>
      </c>
      <c r="E1385" s="3">
        <v>4</v>
      </c>
      <c r="F1385" s="3">
        <v>9.1</v>
      </c>
      <c r="G1385" s="3">
        <v>89.4</v>
      </c>
      <c r="H1385" s="7">
        <v>14.6</v>
      </c>
      <c r="I1385" s="7"/>
      <c r="L1385" s="3"/>
      <c r="M1385" s="3"/>
      <c r="N1385" s="3"/>
      <c r="O1385" s="3"/>
      <c r="P1385" s="3"/>
      <c r="Q1385" s="3"/>
      <c r="R1385" s="3"/>
      <c r="S1385" s="3"/>
    </row>
    <row r="1386" spans="3:19" ht="15.75" customHeight="1" x14ac:dyDescent="0.2">
      <c r="C1386" s="208">
        <v>41807</v>
      </c>
      <c r="D1386" s="19">
        <v>0.41666666666666669</v>
      </c>
      <c r="E1386" s="3">
        <v>5</v>
      </c>
      <c r="F1386" s="3">
        <v>9.08</v>
      </c>
      <c r="G1386" s="3">
        <v>89</v>
      </c>
      <c r="H1386" s="7">
        <v>14.5</v>
      </c>
      <c r="I1386" s="7"/>
      <c r="L1386" s="3"/>
      <c r="M1386" s="3"/>
      <c r="N1386" s="3"/>
      <c r="O1386" s="3"/>
      <c r="P1386" s="3"/>
      <c r="Q1386" s="3"/>
      <c r="R1386" s="3"/>
      <c r="S1386" s="3"/>
    </row>
    <row r="1387" spans="3:19" ht="15.75" customHeight="1" x14ac:dyDescent="0.2">
      <c r="C1387" s="208">
        <v>41807</v>
      </c>
      <c r="D1387" s="19">
        <v>0.41666666666666669</v>
      </c>
      <c r="E1387" s="3">
        <v>6</v>
      </c>
      <c r="F1387" s="3">
        <v>9.0399999999999991</v>
      </c>
      <c r="G1387" s="3">
        <v>88.7</v>
      </c>
      <c r="H1387" s="7">
        <v>14.5</v>
      </c>
      <c r="I1387" s="7"/>
      <c r="L1387" s="3"/>
      <c r="M1387" s="3"/>
      <c r="N1387" s="3"/>
      <c r="O1387" s="3"/>
      <c r="P1387" s="3"/>
      <c r="Q1387" s="3"/>
      <c r="R1387" s="3"/>
      <c r="S1387" s="3"/>
    </row>
    <row r="1388" spans="3:19" ht="15.75" customHeight="1" x14ac:dyDescent="0.2">
      <c r="C1388" s="208">
        <v>41807</v>
      </c>
      <c r="D1388" s="19">
        <v>0.41666666666666669</v>
      </c>
      <c r="E1388" s="3">
        <v>7</v>
      </c>
      <c r="F1388" s="3">
        <v>9.0299999999999994</v>
      </c>
      <c r="G1388" s="3">
        <v>88.4</v>
      </c>
      <c r="H1388" s="7">
        <v>14.4</v>
      </c>
      <c r="I1388" s="7"/>
      <c r="L1388" s="3"/>
      <c r="M1388" s="3"/>
      <c r="N1388" s="3"/>
      <c r="O1388" s="3"/>
      <c r="P1388" s="3"/>
      <c r="Q1388" s="3"/>
      <c r="R1388" s="3"/>
      <c r="S1388" s="3"/>
    </row>
    <row r="1389" spans="3:19" ht="15.75" customHeight="1" x14ac:dyDescent="0.2">
      <c r="C1389" s="208">
        <v>41807</v>
      </c>
      <c r="D1389" s="19">
        <v>0.41666666666666669</v>
      </c>
      <c r="E1389" s="3">
        <v>8</v>
      </c>
      <c r="F1389" s="3">
        <v>9.02</v>
      </c>
      <c r="G1389" s="3">
        <v>88.1</v>
      </c>
      <c r="H1389" s="7">
        <v>14.4</v>
      </c>
      <c r="I1389" s="7"/>
      <c r="L1389" s="3"/>
      <c r="M1389" s="3"/>
      <c r="N1389" s="3"/>
      <c r="O1389" s="3"/>
      <c r="P1389" s="3"/>
      <c r="Q1389" s="3"/>
      <c r="R1389" s="3"/>
      <c r="S1389" s="3"/>
    </row>
    <row r="1390" spans="3:19" ht="15.75" customHeight="1" x14ac:dyDescent="0.2">
      <c r="C1390" s="208">
        <v>41807</v>
      </c>
      <c r="D1390" s="19">
        <v>0.41666666666666669</v>
      </c>
      <c r="E1390" s="3">
        <v>9</v>
      </c>
      <c r="F1390" s="3">
        <v>8.98</v>
      </c>
      <c r="G1390" s="3">
        <v>86.4</v>
      </c>
      <c r="H1390" s="7">
        <v>14</v>
      </c>
      <c r="I1390" s="7"/>
      <c r="L1390" s="3"/>
      <c r="M1390" s="3"/>
      <c r="N1390" s="3"/>
      <c r="O1390" s="3"/>
      <c r="P1390" s="3"/>
      <c r="Q1390" s="3"/>
      <c r="R1390" s="3"/>
      <c r="S1390" s="3"/>
    </row>
    <row r="1391" spans="3:19" ht="15.75" customHeight="1" x14ac:dyDescent="0.2">
      <c r="C1391" s="208">
        <v>41807</v>
      </c>
      <c r="D1391" s="19">
        <v>0.41666666666666669</v>
      </c>
      <c r="E1391" s="3">
        <v>10</v>
      </c>
      <c r="F1391" s="3">
        <v>9.0299999999999994</v>
      </c>
      <c r="G1391" s="3">
        <v>85.9</v>
      </c>
      <c r="H1391" s="7">
        <v>13.1</v>
      </c>
      <c r="I1391" s="7"/>
      <c r="L1391" s="3"/>
      <c r="M1391" s="3"/>
      <c r="N1391" s="3"/>
      <c r="O1391" s="3"/>
      <c r="P1391" s="3"/>
      <c r="Q1391" s="3"/>
      <c r="R1391" s="3"/>
      <c r="S1391" s="3"/>
    </row>
    <row r="1392" spans="3:19" ht="15.75" customHeight="1" x14ac:dyDescent="0.2">
      <c r="C1392" s="208">
        <v>41807</v>
      </c>
      <c r="D1392" s="19">
        <v>0.41666666666666669</v>
      </c>
      <c r="E1392" s="3">
        <v>11</v>
      </c>
      <c r="F1392" s="3">
        <v>9.0399999999999991</v>
      </c>
      <c r="G1392" s="3">
        <v>84.8</v>
      </c>
      <c r="H1392" s="7">
        <v>12.7</v>
      </c>
      <c r="I1392" s="7"/>
      <c r="L1392" s="3"/>
      <c r="M1392" s="3"/>
      <c r="N1392" s="3"/>
      <c r="O1392" s="3"/>
      <c r="P1392" s="3"/>
      <c r="Q1392" s="3"/>
      <c r="R1392" s="3"/>
      <c r="S1392" s="3"/>
    </row>
    <row r="1393" spans="3:19" ht="15.75" customHeight="1" x14ac:dyDescent="0.2">
      <c r="C1393" s="208">
        <v>41807</v>
      </c>
      <c r="D1393" s="19">
        <v>0.41666666666666669</v>
      </c>
      <c r="E1393" s="3">
        <v>12</v>
      </c>
      <c r="F1393" s="3">
        <v>9.08</v>
      </c>
      <c r="G1393" s="3">
        <v>82.7</v>
      </c>
      <c r="H1393" s="7">
        <v>11.5</v>
      </c>
      <c r="I1393" s="7"/>
      <c r="L1393" s="3"/>
      <c r="M1393" s="3"/>
      <c r="N1393" s="3"/>
      <c r="O1393" s="3"/>
      <c r="P1393" s="3"/>
      <c r="Q1393" s="3"/>
      <c r="R1393" s="3"/>
      <c r="S1393" s="3"/>
    </row>
    <row r="1394" spans="3:19" ht="15.75" customHeight="1" x14ac:dyDescent="0.2">
      <c r="C1394" s="208">
        <v>41807</v>
      </c>
      <c r="D1394" s="19">
        <v>0.41666666666666669</v>
      </c>
      <c r="E1394" s="3">
        <v>13</v>
      </c>
      <c r="F1394" s="3">
        <v>9.1300000000000008</v>
      </c>
      <c r="G1394" s="3">
        <v>80</v>
      </c>
      <c r="H1394" s="7">
        <v>9.8000000000000007</v>
      </c>
      <c r="I1394" s="7"/>
      <c r="L1394" s="3"/>
      <c r="M1394" s="3"/>
      <c r="N1394" s="3"/>
      <c r="O1394" s="3"/>
      <c r="P1394" s="3"/>
      <c r="Q1394" s="3"/>
      <c r="R1394" s="3"/>
      <c r="S1394" s="3"/>
    </row>
    <row r="1395" spans="3:19" ht="15.75" customHeight="1" x14ac:dyDescent="0.2">
      <c r="C1395" s="208">
        <v>41807</v>
      </c>
      <c r="D1395" s="19">
        <v>0.41666666666666669</v>
      </c>
      <c r="E1395" s="3">
        <v>14</v>
      </c>
      <c r="F1395" s="3">
        <v>9.34</v>
      </c>
      <c r="G1395" s="3">
        <v>78.8</v>
      </c>
      <c r="H1395" s="7">
        <v>8.1999999999999993</v>
      </c>
      <c r="I1395" s="7"/>
      <c r="L1395" s="3"/>
      <c r="M1395" s="3"/>
      <c r="N1395" s="3"/>
      <c r="O1395" s="3"/>
      <c r="P1395" s="3"/>
      <c r="Q1395" s="3"/>
      <c r="R1395" s="3"/>
      <c r="S1395" s="3"/>
    </row>
    <row r="1396" spans="3:19" ht="15.75" customHeight="1" x14ac:dyDescent="0.2">
      <c r="C1396" s="208">
        <v>41807</v>
      </c>
      <c r="D1396" s="19">
        <v>0.41666666666666669</v>
      </c>
      <c r="E1396" s="3">
        <v>15</v>
      </c>
      <c r="F1396" s="3">
        <v>9.4499999999999993</v>
      </c>
      <c r="G1396" s="3">
        <v>78.2</v>
      </c>
      <c r="H1396" s="7">
        <v>7.3</v>
      </c>
      <c r="I1396" s="7"/>
      <c r="L1396" s="3"/>
      <c r="M1396" s="3"/>
      <c r="N1396" s="3"/>
      <c r="O1396" s="3"/>
      <c r="P1396" s="3"/>
      <c r="Q1396" s="3"/>
      <c r="R1396" s="3"/>
      <c r="S1396" s="3"/>
    </row>
    <row r="1397" spans="3:19" ht="15.75" customHeight="1" x14ac:dyDescent="0.2">
      <c r="C1397" s="208">
        <v>41807</v>
      </c>
      <c r="D1397" s="19">
        <v>0.41666666666666669</v>
      </c>
      <c r="E1397" s="3">
        <v>16</v>
      </c>
      <c r="F1397" s="3">
        <v>9.4700000000000006</v>
      </c>
      <c r="G1397" s="3">
        <v>77.599999999999994</v>
      </c>
      <c r="H1397" s="7">
        <v>7</v>
      </c>
      <c r="I1397" s="7"/>
      <c r="L1397" s="3"/>
      <c r="M1397" s="3"/>
      <c r="N1397" s="3"/>
      <c r="O1397" s="3"/>
      <c r="P1397" s="3"/>
      <c r="Q1397" s="3"/>
      <c r="R1397" s="3"/>
      <c r="S1397" s="3"/>
    </row>
    <row r="1398" spans="3:19" ht="15.75" customHeight="1" x14ac:dyDescent="0.2">
      <c r="C1398" s="208">
        <v>41807</v>
      </c>
      <c r="D1398" s="19">
        <v>0.41666666666666669</v>
      </c>
      <c r="E1398" s="3">
        <v>17</v>
      </c>
      <c r="F1398" s="3">
        <v>9.51</v>
      </c>
      <c r="G1398" s="3">
        <v>77.599999999999994</v>
      </c>
      <c r="H1398" s="7">
        <v>6.6</v>
      </c>
      <c r="I1398" s="7"/>
      <c r="L1398" s="3"/>
      <c r="M1398" s="3"/>
      <c r="N1398" s="3"/>
      <c r="O1398" s="3"/>
      <c r="P1398" s="3"/>
      <c r="Q1398" s="3"/>
      <c r="R1398" s="3"/>
      <c r="S1398" s="3"/>
    </row>
    <row r="1399" spans="3:19" ht="15.75" customHeight="1" x14ac:dyDescent="0.2">
      <c r="C1399" s="208">
        <v>41807</v>
      </c>
      <c r="D1399" s="19">
        <v>0.41666666666666669</v>
      </c>
      <c r="E1399" s="3">
        <v>18</v>
      </c>
      <c r="F1399" s="3">
        <v>9.5299999999999994</v>
      </c>
      <c r="G1399" s="3">
        <v>77.8</v>
      </c>
      <c r="H1399" s="7">
        <v>6.5</v>
      </c>
      <c r="I1399" s="7"/>
      <c r="L1399" s="3"/>
      <c r="M1399" s="3"/>
      <c r="N1399" s="3"/>
      <c r="O1399" s="3"/>
      <c r="P1399" s="3"/>
      <c r="Q1399" s="3"/>
      <c r="R1399" s="3"/>
      <c r="S1399" s="3"/>
    </row>
    <row r="1400" spans="3:19" ht="15.75" customHeight="1" x14ac:dyDescent="0.2">
      <c r="C1400" s="208">
        <v>41807</v>
      </c>
      <c r="D1400" s="19">
        <v>0.41666666666666669</v>
      </c>
      <c r="E1400" s="3">
        <v>19</v>
      </c>
      <c r="F1400" s="3">
        <v>9.6199999999999992</v>
      </c>
      <c r="G1400" s="3">
        <v>78</v>
      </c>
      <c r="H1400" s="7">
        <v>6.3</v>
      </c>
      <c r="I1400" s="7"/>
      <c r="L1400" s="3"/>
      <c r="M1400" s="3"/>
      <c r="N1400" s="3"/>
      <c r="O1400" s="3"/>
      <c r="P1400" s="3"/>
      <c r="Q1400" s="3"/>
      <c r="R1400" s="3"/>
      <c r="S1400" s="3"/>
    </row>
    <row r="1401" spans="3:19" ht="15.75" customHeight="1" x14ac:dyDescent="0.2">
      <c r="C1401" s="208">
        <v>41807</v>
      </c>
      <c r="D1401" s="19">
        <v>0.41666666666666669</v>
      </c>
      <c r="E1401" s="3">
        <v>20</v>
      </c>
      <c r="F1401" s="3">
        <v>9.6999999999999993</v>
      </c>
      <c r="G1401" s="3">
        <v>78.099999999999994</v>
      </c>
      <c r="H1401" s="7">
        <v>6.1</v>
      </c>
      <c r="I1401" s="7"/>
      <c r="L1401" s="3"/>
      <c r="M1401" s="3"/>
      <c r="N1401" s="3"/>
      <c r="O1401" s="3"/>
      <c r="P1401" s="3"/>
      <c r="Q1401" s="3"/>
      <c r="R1401" s="3"/>
      <c r="S1401" s="3"/>
    </row>
    <row r="1402" spans="3:19" ht="15.75" customHeight="1" x14ac:dyDescent="0.2">
      <c r="C1402" s="208">
        <v>41807</v>
      </c>
      <c r="D1402" s="19">
        <v>0.41666666666666669</v>
      </c>
      <c r="E1402" s="3">
        <v>30</v>
      </c>
      <c r="F1402" s="3">
        <v>9.5399999999999991</v>
      </c>
      <c r="G1402" s="3">
        <v>75.599999999999994</v>
      </c>
      <c r="H1402" s="7">
        <v>5.6</v>
      </c>
      <c r="I1402" s="7"/>
      <c r="L1402" s="3"/>
      <c r="M1402" s="3"/>
      <c r="N1402" s="3"/>
      <c r="O1402" s="3"/>
      <c r="P1402" s="3"/>
      <c r="Q1402" s="3"/>
      <c r="R1402" s="3"/>
      <c r="S1402" s="3"/>
    </row>
    <row r="1403" spans="3:19" ht="15.75" customHeight="1" x14ac:dyDescent="0.2">
      <c r="C1403" s="208">
        <v>41807</v>
      </c>
      <c r="D1403" s="19">
        <v>0.41666666666666669</v>
      </c>
      <c r="E1403" s="3">
        <v>40</v>
      </c>
      <c r="F1403" s="3"/>
      <c r="G1403" s="3">
        <v>67</v>
      </c>
      <c r="H1403" s="7">
        <v>5.3</v>
      </c>
      <c r="I1403" s="7"/>
      <c r="L1403" s="3"/>
      <c r="M1403" s="3"/>
      <c r="N1403" s="3"/>
      <c r="O1403" s="3"/>
      <c r="P1403" s="3"/>
      <c r="Q1403" s="3"/>
      <c r="R1403" s="3"/>
      <c r="S1403" s="3"/>
    </row>
    <row r="1404" spans="3:19" ht="15.75" customHeight="1" x14ac:dyDescent="0.2">
      <c r="C1404" s="208"/>
      <c r="D1404" s="19"/>
      <c r="E1404" s="3"/>
      <c r="F1404" s="3"/>
      <c r="G1404" s="3"/>
      <c r="H1404" s="7"/>
      <c r="I1404" s="7"/>
      <c r="L1404" s="3"/>
      <c r="M1404" s="3"/>
      <c r="N1404" s="3"/>
      <c r="O1404" s="3"/>
      <c r="P1404" s="3"/>
      <c r="Q1404" s="3"/>
      <c r="R1404" s="3"/>
      <c r="S1404" s="3"/>
    </row>
    <row r="1405" spans="3:19" ht="15.75" customHeight="1" x14ac:dyDescent="0.2">
      <c r="C1405" s="208">
        <v>41779</v>
      </c>
      <c r="D1405" s="19">
        <v>0.41666666666666669</v>
      </c>
      <c r="E1405" s="3"/>
      <c r="F1405" s="3"/>
      <c r="G1405" s="3"/>
      <c r="H1405" s="7"/>
      <c r="I1405" s="7"/>
      <c r="J1405">
        <v>7</v>
      </c>
      <c r="K1405">
        <v>7.75</v>
      </c>
      <c r="L1405" s="3"/>
      <c r="M1405" s="3"/>
      <c r="N1405" s="3"/>
      <c r="O1405" s="3"/>
      <c r="P1405" s="3"/>
      <c r="Q1405" s="3"/>
      <c r="R1405" s="3"/>
      <c r="S1405" s="3"/>
    </row>
    <row r="1406" spans="3:19" ht="15.75" customHeight="1" x14ac:dyDescent="0.2">
      <c r="C1406" s="208">
        <v>41779</v>
      </c>
      <c r="D1406" s="19">
        <v>0.41666666666666669</v>
      </c>
      <c r="E1406" s="3">
        <v>0.1</v>
      </c>
      <c r="F1406" s="3">
        <v>10.47</v>
      </c>
      <c r="G1406" s="3">
        <v>98</v>
      </c>
      <c r="H1406" s="7">
        <v>12.4</v>
      </c>
      <c r="I1406" s="7"/>
      <c r="L1406" s="3"/>
      <c r="M1406" s="3"/>
      <c r="N1406" s="3"/>
      <c r="O1406" s="3"/>
      <c r="P1406" s="3"/>
      <c r="Q1406" s="3"/>
      <c r="R1406" s="3"/>
      <c r="S1406" s="3"/>
    </row>
    <row r="1407" spans="3:19" ht="15.75" customHeight="1" x14ac:dyDescent="0.2">
      <c r="C1407" s="208">
        <v>41779</v>
      </c>
      <c r="D1407" s="19">
        <v>0.41666666666666669</v>
      </c>
      <c r="E1407" s="3">
        <v>1</v>
      </c>
      <c r="F1407" s="3">
        <v>10.5</v>
      </c>
      <c r="G1407" s="3">
        <v>97.5</v>
      </c>
      <c r="H1407" s="7">
        <v>12.2</v>
      </c>
      <c r="I1407" s="7"/>
      <c r="L1407" s="3"/>
      <c r="M1407" s="3"/>
      <c r="N1407" s="3"/>
      <c r="O1407" s="3"/>
      <c r="P1407" s="3"/>
      <c r="Q1407" s="3"/>
      <c r="R1407" s="3"/>
      <c r="S1407" s="3"/>
    </row>
    <row r="1408" spans="3:19" ht="15.75" customHeight="1" x14ac:dyDescent="0.2">
      <c r="C1408" s="208">
        <v>41779</v>
      </c>
      <c r="D1408" s="19">
        <v>0.41666666666666669</v>
      </c>
      <c r="E1408" s="3">
        <v>2</v>
      </c>
      <c r="F1408" s="3">
        <v>10.52</v>
      </c>
      <c r="G1408" s="3">
        <v>96.9</v>
      </c>
      <c r="H1408" s="7">
        <v>11.8</v>
      </c>
      <c r="I1408" s="7"/>
      <c r="L1408" s="3"/>
      <c r="M1408" s="3"/>
      <c r="N1408" s="3"/>
      <c r="O1408" s="3"/>
      <c r="P1408" s="3"/>
      <c r="Q1408" s="3"/>
      <c r="R1408" s="3"/>
      <c r="S1408" s="3"/>
    </row>
    <row r="1409" spans="3:19" ht="15.75" customHeight="1" x14ac:dyDescent="0.2">
      <c r="C1409" s="208">
        <v>41779</v>
      </c>
      <c r="D1409" s="19">
        <v>0.41666666666666669</v>
      </c>
      <c r="E1409" s="3">
        <v>3</v>
      </c>
      <c r="F1409" s="3">
        <v>10.63</v>
      </c>
      <c r="G1409" s="3">
        <v>96.8</v>
      </c>
      <c r="H1409" s="7">
        <v>11.4</v>
      </c>
      <c r="I1409" s="7"/>
      <c r="L1409" s="3"/>
      <c r="M1409" s="3"/>
      <c r="N1409" s="3"/>
      <c r="O1409" s="3"/>
      <c r="P1409" s="3"/>
      <c r="Q1409" s="3"/>
      <c r="R1409" s="3"/>
      <c r="S1409" s="3"/>
    </row>
    <row r="1410" spans="3:19" ht="15.75" customHeight="1" x14ac:dyDescent="0.2">
      <c r="C1410" s="208">
        <v>41779</v>
      </c>
      <c r="D1410" s="19">
        <v>0.41666666666666669</v>
      </c>
      <c r="E1410" s="3">
        <v>4</v>
      </c>
      <c r="F1410" s="3">
        <v>10.78</v>
      </c>
      <c r="G1410" s="3">
        <v>96.5</v>
      </c>
      <c r="H1410" s="7">
        <v>10.5</v>
      </c>
      <c r="I1410" s="7"/>
      <c r="L1410" s="3"/>
      <c r="M1410" s="3"/>
      <c r="N1410" s="3"/>
      <c r="O1410" s="3"/>
      <c r="P1410" s="3"/>
      <c r="Q1410" s="3"/>
      <c r="R1410" s="3"/>
      <c r="S1410" s="3"/>
    </row>
    <row r="1411" spans="3:19" ht="15.75" customHeight="1" x14ac:dyDescent="0.2">
      <c r="C1411" s="208">
        <v>41779</v>
      </c>
      <c r="D1411" s="19">
        <v>0.41666666666666669</v>
      </c>
      <c r="E1411" s="3">
        <v>5</v>
      </c>
      <c r="F1411" s="3">
        <v>10.94</v>
      </c>
      <c r="G1411" s="3">
        <v>95.6</v>
      </c>
      <c r="H1411" s="7">
        <v>9.6</v>
      </c>
      <c r="I1411" s="7"/>
      <c r="L1411" s="3"/>
      <c r="M1411" s="3"/>
      <c r="N1411" s="3"/>
      <c r="O1411" s="3"/>
      <c r="P1411" s="3"/>
      <c r="Q1411" s="3"/>
      <c r="R1411" s="3"/>
      <c r="S1411" s="3"/>
    </row>
    <row r="1412" spans="3:19" ht="15.75" customHeight="1" x14ac:dyDescent="0.2">
      <c r="C1412" s="208">
        <v>41779</v>
      </c>
      <c r="D1412" s="19">
        <v>0.41666666666666669</v>
      </c>
      <c r="E1412" s="3">
        <v>6</v>
      </c>
      <c r="F1412" s="3">
        <v>10.94</v>
      </c>
      <c r="G1412" s="3">
        <v>94.7</v>
      </c>
      <c r="H1412" s="7">
        <v>9.1</v>
      </c>
      <c r="I1412" s="7"/>
      <c r="L1412" s="3"/>
      <c r="M1412" s="3"/>
      <c r="N1412" s="3"/>
      <c r="O1412" s="3"/>
      <c r="P1412" s="3"/>
      <c r="Q1412" s="3"/>
      <c r="R1412" s="3"/>
      <c r="S1412" s="3"/>
    </row>
    <row r="1413" spans="3:19" ht="15.75" customHeight="1" x14ac:dyDescent="0.2">
      <c r="C1413" s="208">
        <v>41779</v>
      </c>
      <c r="D1413" s="19">
        <v>0.41666666666666669</v>
      </c>
      <c r="E1413" s="3">
        <v>7</v>
      </c>
      <c r="F1413" s="3">
        <v>10.95</v>
      </c>
      <c r="G1413" s="3">
        <v>94.3</v>
      </c>
      <c r="H1413" s="7">
        <v>8.9</v>
      </c>
      <c r="I1413" s="7"/>
      <c r="L1413" s="3"/>
      <c r="M1413" s="3"/>
      <c r="N1413" s="3"/>
      <c r="O1413" s="3"/>
      <c r="P1413" s="3"/>
      <c r="Q1413" s="3"/>
      <c r="R1413" s="3"/>
      <c r="S1413" s="3"/>
    </row>
    <row r="1414" spans="3:19" ht="15.75" customHeight="1" x14ac:dyDescent="0.2">
      <c r="C1414" s="208">
        <v>41779</v>
      </c>
      <c r="D1414" s="19">
        <v>0.41666666666666669</v>
      </c>
      <c r="E1414" s="3">
        <v>8</v>
      </c>
      <c r="F1414" s="3">
        <v>10.98</v>
      </c>
      <c r="G1414" s="3">
        <v>93.2</v>
      </c>
      <c r="H1414" s="7">
        <v>8.6</v>
      </c>
      <c r="I1414" s="7"/>
      <c r="L1414" s="3"/>
      <c r="M1414" s="3"/>
      <c r="N1414" s="3"/>
      <c r="O1414" s="3"/>
      <c r="P1414" s="3"/>
      <c r="Q1414" s="3"/>
      <c r="R1414" s="3"/>
      <c r="S1414" s="3"/>
    </row>
    <row r="1415" spans="3:19" ht="15.75" customHeight="1" x14ac:dyDescent="0.2">
      <c r="C1415" s="208">
        <v>41779</v>
      </c>
      <c r="D1415" s="19">
        <v>0.41666666666666669</v>
      </c>
      <c r="E1415" s="3">
        <v>9</v>
      </c>
      <c r="F1415" s="3">
        <v>11</v>
      </c>
      <c r="G1415" s="3">
        <v>93</v>
      </c>
      <c r="H1415" s="7">
        <v>8.1</v>
      </c>
      <c r="I1415" s="7"/>
      <c r="L1415" s="3"/>
      <c r="M1415" s="3"/>
      <c r="N1415" s="3"/>
      <c r="O1415" s="3"/>
      <c r="P1415" s="3"/>
      <c r="Q1415" s="3"/>
      <c r="R1415" s="3"/>
      <c r="S1415" s="3"/>
    </row>
    <row r="1416" spans="3:19" ht="15.75" customHeight="1" x14ac:dyDescent="0.2">
      <c r="C1416" s="208">
        <v>41779</v>
      </c>
      <c r="D1416" s="19">
        <v>0.41666666666666669</v>
      </c>
      <c r="E1416" s="3">
        <v>10</v>
      </c>
      <c r="F1416" s="3">
        <v>11.03</v>
      </c>
      <c r="G1416" s="3">
        <v>92.4</v>
      </c>
      <c r="H1416" s="7">
        <v>7.8</v>
      </c>
      <c r="I1416" s="7"/>
      <c r="L1416" s="3"/>
      <c r="M1416" s="3"/>
      <c r="N1416" s="3"/>
      <c r="O1416" s="3"/>
      <c r="P1416" s="3"/>
      <c r="Q1416" s="3"/>
      <c r="R1416" s="3"/>
      <c r="S1416" s="3"/>
    </row>
    <row r="1417" spans="3:19" ht="15.75" customHeight="1" x14ac:dyDescent="0.2">
      <c r="C1417" s="208">
        <v>41779</v>
      </c>
      <c r="D1417" s="19">
        <v>0.41666666666666669</v>
      </c>
      <c r="E1417" s="3">
        <v>11</v>
      </c>
      <c r="F1417" s="3">
        <v>11.03</v>
      </c>
      <c r="G1417" s="3">
        <v>91.9</v>
      </c>
      <c r="H1417" s="7">
        <v>7.6</v>
      </c>
      <c r="I1417" s="7"/>
      <c r="L1417" s="3"/>
      <c r="M1417" s="3"/>
      <c r="N1417" s="3"/>
      <c r="O1417" s="3"/>
      <c r="P1417" s="3"/>
      <c r="Q1417" s="3"/>
      <c r="R1417" s="3"/>
      <c r="S1417" s="3"/>
    </row>
    <row r="1418" spans="3:19" ht="15.75" customHeight="1" x14ac:dyDescent="0.2">
      <c r="C1418" s="208">
        <v>41779</v>
      </c>
      <c r="D1418" s="19">
        <v>0.41666666666666669</v>
      </c>
      <c r="E1418" s="3">
        <v>12</v>
      </c>
      <c r="F1418" s="3">
        <v>10.99</v>
      </c>
      <c r="G1418" s="3">
        <v>91.5</v>
      </c>
      <c r="H1418" s="7">
        <v>7.5</v>
      </c>
      <c r="I1418" s="7"/>
      <c r="L1418" s="3"/>
      <c r="M1418" s="3"/>
      <c r="N1418" s="3"/>
      <c r="O1418" s="3"/>
      <c r="P1418" s="3"/>
      <c r="Q1418" s="3"/>
      <c r="R1418" s="3"/>
      <c r="S1418" s="3"/>
    </row>
    <row r="1419" spans="3:19" ht="15.75" customHeight="1" x14ac:dyDescent="0.2">
      <c r="C1419" s="208">
        <v>41779</v>
      </c>
      <c r="D1419" s="19">
        <v>0.41666666666666669</v>
      </c>
      <c r="E1419" s="3">
        <v>13</v>
      </c>
      <c r="F1419" s="3">
        <v>11.01</v>
      </c>
      <c r="G1419" s="3">
        <v>91.4</v>
      </c>
      <c r="H1419" s="7">
        <v>7.3</v>
      </c>
      <c r="I1419" s="7"/>
      <c r="L1419" s="3"/>
      <c r="M1419" s="3"/>
      <c r="N1419" s="3"/>
      <c r="O1419" s="3"/>
      <c r="P1419" s="3"/>
      <c r="Q1419" s="3"/>
      <c r="R1419" s="3"/>
      <c r="S1419" s="3"/>
    </row>
    <row r="1420" spans="3:19" ht="15.75" customHeight="1" x14ac:dyDescent="0.2">
      <c r="C1420" s="208">
        <v>41779</v>
      </c>
      <c r="D1420" s="19">
        <v>0.41666666666666669</v>
      </c>
      <c r="E1420" s="3">
        <v>14</v>
      </c>
      <c r="F1420" s="3">
        <v>11.03</v>
      </c>
      <c r="G1420" s="3">
        <v>91.4</v>
      </c>
      <c r="H1420" s="7">
        <v>7.2</v>
      </c>
      <c r="I1420" s="7"/>
      <c r="L1420" s="3"/>
      <c r="M1420" s="3"/>
      <c r="N1420" s="3"/>
      <c r="O1420" s="3"/>
      <c r="P1420" s="3"/>
      <c r="Q1420" s="3"/>
      <c r="R1420" s="3"/>
      <c r="S1420" s="3"/>
    </row>
    <row r="1421" spans="3:19" ht="15.75" customHeight="1" x14ac:dyDescent="0.2">
      <c r="C1421" s="208">
        <v>41779</v>
      </c>
      <c r="D1421" s="19">
        <v>0.41666666666666669</v>
      </c>
      <c r="E1421" s="3">
        <v>15</v>
      </c>
      <c r="F1421" s="3">
        <v>11.02</v>
      </c>
      <c r="G1421" s="3">
        <v>90.4</v>
      </c>
      <c r="H1421" s="7">
        <v>7.1</v>
      </c>
      <c r="I1421" s="7"/>
      <c r="L1421" s="3"/>
      <c r="M1421" s="3"/>
      <c r="N1421" s="3"/>
      <c r="O1421" s="3"/>
      <c r="P1421" s="3"/>
      <c r="Q1421" s="3"/>
      <c r="R1421" s="3"/>
      <c r="S1421" s="3"/>
    </row>
    <row r="1422" spans="3:19" ht="15.75" customHeight="1" x14ac:dyDescent="0.2">
      <c r="C1422" s="208">
        <v>41779</v>
      </c>
      <c r="D1422" s="19">
        <v>0.41666666666666669</v>
      </c>
      <c r="E1422" s="3">
        <v>16</v>
      </c>
      <c r="F1422" s="3">
        <v>10.93</v>
      </c>
      <c r="G1422" s="3">
        <v>89.9</v>
      </c>
      <c r="H1422" s="7">
        <v>6.9</v>
      </c>
      <c r="I1422" s="7"/>
      <c r="L1422" s="3"/>
      <c r="M1422" s="3"/>
      <c r="N1422" s="3"/>
      <c r="O1422" s="3"/>
      <c r="P1422" s="3"/>
      <c r="Q1422" s="3"/>
      <c r="R1422" s="3"/>
      <c r="S1422" s="3"/>
    </row>
    <row r="1423" spans="3:19" ht="15.75" customHeight="1" x14ac:dyDescent="0.2">
      <c r="C1423" s="208">
        <v>41779</v>
      </c>
      <c r="D1423" s="19">
        <v>0.41666666666666669</v>
      </c>
      <c r="E1423" s="3">
        <v>17</v>
      </c>
      <c r="F1423" s="3">
        <v>10.85</v>
      </c>
      <c r="G1423" s="3">
        <v>88.6</v>
      </c>
      <c r="H1423" s="7">
        <v>6.6</v>
      </c>
      <c r="I1423" s="7"/>
      <c r="L1423" s="3"/>
      <c r="M1423" s="3"/>
      <c r="N1423" s="3"/>
      <c r="O1423" s="3"/>
      <c r="P1423" s="3"/>
      <c r="Q1423" s="3"/>
      <c r="R1423" s="3"/>
      <c r="S1423" s="3"/>
    </row>
    <row r="1424" spans="3:19" ht="15.75" customHeight="1" x14ac:dyDescent="0.2">
      <c r="C1424" s="208">
        <v>41779</v>
      </c>
      <c r="D1424" s="19">
        <v>0.41666666666666669</v>
      </c>
      <c r="E1424" s="3">
        <v>18</v>
      </c>
      <c r="F1424" s="3">
        <v>10.84</v>
      </c>
      <c r="G1424" s="3">
        <v>88.2</v>
      </c>
      <c r="H1424" s="7">
        <v>6.6</v>
      </c>
      <c r="I1424" s="7"/>
      <c r="L1424" s="3"/>
      <c r="M1424" s="3"/>
      <c r="N1424" s="3"/>
      <c r="O1424" s="3"/>
      <c r="P1424" s="3"/>
      <c r="Q1424" s="3"/>
      <c r="R1424" s="3"/>
      <c r="S1424" s="3"/>
    </row>
    <row r="1425" spans="3:19" ht="15.75" customHeight="1" x14ac:dyDescent="0.2">
      <c r="C1425" s="208">
        <v>41779</v>
      </c>
      <c r="D1425" s="19">
        <v>0.41666666666666669</v>
      </c>
      <c r="E1425" s="3">
        <v>19</v>
      </c>
      <c r="F1425" s="3">
        <v>10.84</v>
      </c>
      <c r="G1425" s="3">
        <v>88</v>
      </c>
      <c r="H1425" s="7">
        <v>6.5</v>
      </c>
      <c r="I1425" s="7"/>
      <c r="L1425" s="3"/>
      <c r="M1425" s="3"/>
      <c r="N1425" s="3"/>
      <c r="O1425" s="3"/>
      <c r="P1425" s="3"/>
      <c r="Q1425" s="3"/>
      <c r="R1425" s="3"/>
      <c r="S1425" s="3"/>
    </row>
    <row r="1426" spans="3:19" ht="15.75" customHeight="1" x14ac:dyDescent="0.2">
      <c r="C1426" s="208">
        <v>41779</v>
      </c>
      <c r="D1426" s="19">
        <v>0.41666666666666669</v>
      </c>
      <c r="E1426" s="3">
        <v>20</v>
      </c>
      <c r="F1426" s="3">
        <v>10.83</v>
      </c>
      <c r="G1426" s="3">
        <v>87.7</v>
      </c>
      <c r="H1426" s="7">
        <v>6.3</v>
      </c>
      <c r="I1426" s="7"/>
      <c r="L1426" s="3"/>
      <c r="M1426" s="3"/>
      <c r="N1426" s="3"/>
      <c r="O1426" s="3"/>
      <c r="P1426" s="3"/>
      <c r="Q1426" s="3"/>
      <c r="R1426" s="3"/>
      <c r="S1426" s="3"/>
    </row>
    <row r="1427" spans="3:19" ht="15.75" customHeight="1" x14ac:dyDescent="0.2">
      <c r="C1427" s="208">
        <v>41779</v>
      </c>
      <c r="D1427" s="19">
        <v>0.41666666666666669</v>
      </c>
      <c r="E1427" s="3">
        <v>21</v>
      </c>
      <c r="F1427" s="3">
        <v>10.81</v>
      </c>
      <c r="G1427" s="3">
        <v>87.2</v>
      </c>
      <c r="H1427" s="7">
        <v>6.2</v>
      </c>
      <c r="I1427" s="7"/>
      <c r="L1427" s="3"/>
      <c r="M1427" s="3"/>
      <c r="N1427" s="3"/>
      <c r="O1427" s="3"/>
      <c r="P1427" s="3"/>
      <c r="Q1427" s="3"/>
      <c r="R1427" s="3"/>
      <c r="S1427" s="3"/>
    </row>
    <row r="1428" spans="3:19" ht="15.75" customHeight="1" x14ac:dyDescent="0.2">
      <c r="C1428" s="208">
        <v>41779</v>
      </c>
      <c r="D1428" s="19">
        <v>0.41666666666666669</v>
      </c>
      <c r="E1428" s="3">
        <v>22</v>
      </c>
      <c r="F1428" s="3">
        <v>10.79</v>
      </c>
      <c r="G1428" s="3">
        <v>86.9</v>
      </c>
      <c r="H1428" s="7">
        <v>6.1</v>
      </c>
      <c r="I1428" s="7"/>
      <c r="L1428" s="3"/>
      <c r="M1428" s="3"/>
      <c r="N1428" s="3"/>
      <c r="O1428" s="3"/>
      <c r="P1428" s="3"/>
      <c r="Q1428" s="3"/>
      <c r="R1428" s="3"/>
      <c r="S1428" s="3"/>
    </row>
    <row r="1429" spans="3:19" ht="15.75" customHeight="1" x14ac:dyDescent="0.2">
      <c r="C1429" s="208">
        <v>41779</v>
      </c>
      <c r="D1429" s="19">
        <v>0.41666666666666669</v>
      </c>
      <c r="E1429" s="3">
        <v>23</v>
      </c>
      <c r="F1429" s="3">
        <v>10.75</v>
      </c>
      <c r="G1429" s="3">
        <v>86.2</v>
      </c>
      <c r="H1429" s="7">
        <v>6</v>
      </c>
      <c r="I1429" s="7"/>
      <c r="L1429" s="3"/>
      <c r="M1429" s="3"/>
      <c r="N1429" s="3"/>
      <c r="O1429" s="3"/>
      <c r="P1429" s="3"/>
      <c r="Q1429" s="3"/>
      <c r="R1429" s="3"/>
      <c r="S1429" s="3"/>
    </row>
    <row r="1430" spans="3:19" ht="15.75" customHeight="1" x14ac:dyDescent="0.2">
      <c r="C1430" s="208">
        <v>41779</v>
      </c>
      <c r="D1430" s="19">
        <v>0.41666666666666669</v>
      </c>
      <c r="E1430" s="3">
        <v>24</v>
      </c>
      <c r="F1430" s="3">
        <v>10.72</v>
      </c>
      <c r="G1430" s="3">
        <v>85.8</v>
      </c>
      <c r="H1430" s="7">
        <v>5.9</v>
      </c>
      <c r="I1430" s="7"/>
      <c r="L1430" s="3"/>
      <c r="M1430" s="3"/>
      <c r="N1430" s="3"/>
      <c r="O1430" s="3"/>
      <c r="P1430" s="3"/>
      <c r="Q1430" s="3"/>
      <c r="R1430" s="3"/>
      <c r="S1430" s="3"/>
    </row>
    <row r="1431" spans="3:19" ht="15.75" customHeight="1" x14ac:dyDescent="0.2">
      <c r="C1431" s="208">
        <v>41779</v>
      </c>
      <c r="D1431" s="19">
        <v>0.41666666666666669</v>
      </c>
      <c r="E1431" s="3">
        <v>25</v>
      </c>
      <c r="F1431" s="3">
        <v>10.69</v>
      </c>
      <c r="G1431" s="3">
        <v>85.4</v>
      </c>
      <c r="H1431" s="7">
        <v>5.8</v>
      </c>
      <c r="I1431" s="7"/>
      <c r="L1431" s="3"/>
      <c r="M1431" s="3"/>
      <c r="N1431" s="3"/>
      <c r="O1431" s="3"/>
      <c r="P1431" s="3"/>
      <c r="Q1431" s="3"/>
      <c r="R1431" s="3"/>
      <c r="S1431" s="3"/>
    </row>
    <row r="1432" spans="3:19" ht="15.75" customHeight="1" x14ac:dyDescent="0.2">
      <c r="C1432" s="208">
        <v>41779</v>
      </c>
      <c r="D1432" s="19">
        <v>0.41666666666666669</v>
      </c>
      <c r="E1432" s="3">
        <v>30</v>
      </c>
      <c r="F1432" s="3">
        <v>10.63</v>
      </c>
      <c r="G1432" s="3">
        <v>84.3</v>
      </c>
      <c r="H1432" s="7">
        <v>5.5</v>
      </c>
      <c r="I1432" s="7"/>
      <c r="L1432" s="3"/>
      <c r="M1432" s="3"/>
      <c r="N1432" s="3"/>
      <c r="O1432" s="3"/>
      <c r="P1432" s="3"/>
      <c r="Q1432" s="3"/>
      <c r="R1432" s="3"/>
      <c r="S1432" s="3"/>
    </row>
    <row r="1433" spans="3:19" ht="15.75" customHeight="1" x14ac:dyDescent="0.2">
      <c r="C1433" s="208">
        <v>41779</v>
      </c>
      <c r="D1433" s="19">
        <v>0.41666666666666669</v>
      </c>
      <c r="E1433" s="3">
        <v>40</v>
      </c>
      <c r="F1433" s="3">
        <v>10.27</v>
      </c>
      <c r="G1433" s="3">
        <v>80.8</v>
      </c>
      <c r="H1433" s="7">
        <v>5.3</v>
      </c>
      <c r="I1433" s="7"/>
      <c r="L1433" s="3"/>
      <c r="M1433" s="3"/>
      <c r="N1433" s="3"/>
      <c r="O1433" s="3"/>
      <c r="P1433" s="3"/>
      <c r="Q1433" s="3"/>
      <c r="R1433" s="3"/>
      <c r="S1433" s="3"/>
    </row>
    <row r="1434" spans="3:19" ht="15.75" customHeight="1" x14ac:dyDescent="0.2">
      <c r="C1434" s="208"/>
      <c r="D1434" s="19"/>
      <c r="E1434" s="3"/>
      <c r="F1434" s="3"/>
      <c r="G1434" s="3"/>
      <c r="H1434" s="7"/>
      <c r="I1434" s="7"/>
      <c r="L1434" s="3"/>
      <c r="M1434" s="3"/>
      <c r="N1434" s="3"/>
      <c r="O1434" s="3"/>
      <c r="P1434" s="3"/>
      <c r="Q1434" s="3"/>
      <c r="R1434" s="3"/>
      <c r="S1434" s="3"/>
    </row>
    <row r="1435" spans="3:19" ht="15.75" customHeight="1" x14ac:dyDescent="0.2">
      <c r="C1435" s="208"/>
      <c r="D1435" s="19"/>
      <c r="E1435" s="3"/>
      <c r="F1435" s="3"/>
      <c r="G1435" s="3"/>
      <c r="H1435" s="7"/>
      <c r="I1435" s="7"/>
      <c r="L1435" s="3"/>
      <c r="M1435" s="3"/>
      <c r="N1435" s="3"/>
      <c r="O1435" s="3"/>
      <c r="P1435" s="3"/>
      <c r="Q1435" s="3"/>
      <c r="R1435" s="3"/>
      <c r="S1435" s="3"/>
    </row>
    <row r="1436" spans="3:19" ht="15.75" customHeight="1" x14ac:dyDescent="0.2">
      <c r="C1436" s="208"/>
      <c r="D1436" s="19"/>
      <c r="E1436" s="3"/>
      <c r="F1436" s="3"/>
      <c r="G1436" s="3"/>
      <c r="H1436" s="7"/>
      <c r="I1436" s="7"/>
      <c r="L1436" s="3"/>
      <c r="M1436" s="3"/>
      <c r="N1436" s="3"/>
      <c r="O1436" s="3"/>
      <c r="P1436" s="3"/>
      <c r="Q1436" s="3"/>
      <c r="R1436" s="3"/>
      <c r="S1436" s="3"/>
    </row>
    <row r="1437" spans="3:19" ht="15.75" customHeight="1" x14ac:dyDescent="0.2">
      <c r="C1437" s="208"/>
      <c r="D1437" s="19"/>
      <c r="E1437" s="3"/>
      <c r="F1437" s="3"/>
      <c r="G1437" s="3"/>
      <c r="H1437" s="7"/>
      <c r="I1437" s="7"/>
      <c r="L1437" s="3"/>
      <c r="M1437" s="3"/>
      <c r="N1437" s="3"/>
      <c r="O1437" s="3"/>
      <c r="P1437" s="3"/>
      <c r="Q1437" s="3"/>
      <c r="R1437" s="3"/>
      <c r="S1437" s="3"/>
    </row>
    <row r="1438" spans="3:19" ht="15.75" customHeight="1" x14ac:dyDescent="0.2">
      <c r="C1438" s="208"/>
      <c r="D1438" s="19"/>
      <c r="E1438" s="3"/>
      <c r="F1438" s="3"/>
      <c r="G1438" s="3"/>
      <c r="H1438" s="7"/>
      <c r="I1438" s="7"/>
      <c r="L1438" s="3"/>
      <c r="M1438" s="3"/>
      <c r="N1438" s="3"/>
      <c r="O1438" s="3"/>
      <c r="P1438" s="3"/>
      <c r="Q1438" s="3"/>
      <c r="R1438" s="3"/>
      <c r="S1438" s="3"/>
    </row>
    <row r="1439" spans="3:19" ht="15.75" customHeight="1" x14ac:dyDescent="0.2">
      <c r="C1439" s="208">
        <v>41429</v>
      </c>
      <c r="D1439" s="19">
        <v>0.4375</v>
      </c>
      <c r="E1439" s="3"/>
      <c r="F1439" s="3"/>
      <c r="G1439" s="3"/>
      <c r="H1439" s="7"/>
      <c r="I1439" s="7"/>
      <c r="J1439">
        <v>6</v>
      </c>
      <c r="K1439">
        <v>7</v>
      </c>
      <c r="L1439" s="3"/>
      <c r="M1439" s="3"/>
      <c r="N1439" s="3"/>
      <c r="O1439" s="3"/>
      <c r="P1439" s="3"/>
      <c r="Q1439" s="3"/>
      <c r="R1439" s="3"/>
      <c r="S1439" s="3"/>
    </row>
    <row r="1440" spans="3:19" ht="15.75" customHeight="1" x14ac:dyDescent="0.2">
      <c r="C1440" s="208">
        <v>41429</v>
      </c>
      <c r="D1440" s="19">
        <v>0.4375</v>
      </c>
      <c r="E1440" s="3">
        <v>0.1</v>
      </c>
      <c r="F1440" s="3">
        <v>9.68</v>
      </c>
      <c r="G1440" s="3">
        <v>93.8</v>
      </c>
      <c r="H1440" s="7">
        <v>14.5</v>
      </c>
      <c r="I1440" s="7"/>
      <c r="L1440" s="3"/>
      <c r="M1440" s="3"/>
      <c r="N1440" s="3"/>
      <c r="O1440" s="3"/>
      <c r="P1440" s="3"/>
      <c r="Q1440" s="3"/>
      <c r="R1440" s="3"/>
      <c r="S1440" s="3"/>
    </row>
    <row r="1441" spans="3:19" ht="15.75" customHeight="1" x14ac:dyDescent="0.2">
      <c r="C1441" s="208">
        <v>41429</v>
      </c>
      <c r="D1441" s="19">
        <v>0.4375</v>
      </c>
      <c r="E1441" s="3">
        <v>1</v>
      </c>
      <c r="F1441" s="3">
        <v>9.7100000000000009</v>
      </c>
      <c r="G1441" s="3">
        <v>94</v>
      </c>
      <c r="H1441" s="7">
        <v>13.9</v>
      </c>
      <c r="I1441" s="7"/>
      <c r="L1441" s="3"/>
      <c r="M1441" s="3"/>
      <c r="N1441" s="3"/>
      <c r="O1441" s="3"/>
      <c r="P1441" s="3"/>
      <c r="Q1441" s="3"/>
      <c r="R1441" s="3"/>
      <c r="S1441" s="3"/>
    </row>
    <row r="1442" spans="3:19" ht="15.75" customHeight="1" x14ac:dyDescent="0.2">
      <c r="C1442" s="208">
        <v>41429</v>
      </c>
      <c r="D1442" s="19">
        <v>0.4375</v>
      </c>
      <c r="E1442" s="3">
        <v>2</v>
      </c>
      <c r="F1442" s="3">
        <v>9.74</v>
      </c>
      <c r="G1442" s="3">
        <v>93.9</v>
      </c>
      <c r="H1442" s="7">
        <v>13.8</v>
      </c>
      <c r="I1442" s="7"/>
      <c r="L1442" s="3"/>
      <c r="M1442" s="3"/>
      <c r="N1442" s="3"/>
      <c r="O1442" s="3"/>
      <c r="P1442" s="3"/>
      <c r="Q1442" s="3"/>
      <c r="R1442" s="3"/>
      <c r="S1442" s="3"/>
    </row>
    <row r="1443" spans="3:19" ht="15.75" customHeight="1" x14ac:dyDescent="0.2">
      <c r="C1443" s="208">
        <v>41429</v>
      </c>
      <c r="D1443" s="19">
        <v>0.4375</v>
      </c>
      <c r="E1443" s="3">
        <v>3</v>
      </c>
      <c r="F1443" s="3">
        <v>9.74</v>
      </c>
      <c r="G1443" s="3">
        <v>93.1</v>
      </c>
      <c r="H1443" s="7">
        <v>13.5</v>
      </c>
      <c r="I1443" s="7"/>
      <c r="L1443" s="3"/>
      <c r="M1443" s="3"/>
      <c r="N1443" s="3"/>
      <c r="O1443" s="3"/>
      <c r="P1443" s="3"/>
      <c r="Q1443" s="3"/>
      <c r="R1443" s="3"/>
      <c r="S1443" s="3"/>
    </row>
    <row r="1444" spans="3:19" ht="15.75" customHeight="1" x14ac:dyDescent="0.2">
      <c r="C1444" s="208">
        <v>41429</v>
      </c>
      <c r="D1444" s="19">
        <v>0.4375</v>
      </c>
      <c r="E1444" s="3">
        <v>4</v>
      </c>
      <c r="F1444" s="3">
        <v>9.7200000000000006</v>
      </c>
      <c r="G1444" s="3">
        <v>92.7</v>
      </c>
      <c r="H1444" s="7">
        <v>13.2</v>
      </c>
      <c r="I1444" s="7"/>
      <c r="L1444" s="3"/>
      <c r="M1444" s="3"/>
      <c r="N1444" s="3"/>
      <c r="O1444" s="3"/>
      <c r="P1444" s="3"/>
      <c r="Q1444" s="3"/>
      <c r="R1444" s="3"/>
      <c r="S1444" s="3"/>
    </row>
    <row r="1445" spans="3:19" ht="15.75" customHeight="1" x14ac:dyDescent="0.2">
      <c r="C1445" s="208">
        <v>41429</v>
      </c>
      <c r="D1445" s="19">
        <v>0.4375</v>
      </c>
      <c r="E1445" s="3">
        <v>5</v>
      </c>
      <c r="F1445" s="3">
        <v>9.7100000000000009</v>
      </c>
      <c r="G1445" s="3">
        <v>92.4</v>
      </c>
      <c r="H1445" s="7">
        <v>13.1</v>
      </c>
      <c r="I1445" s="7"/>
      <c r="L1445" s="3"/>
      <c r="M1445" s="3"/>
      <c r="N1445" s="3"/>
      <c r="O1445" s="3"/>
      <c r="P1445" s="3"/>
      <c r="Q1445" s="3"/>
      <c r="R1445" s="3"/>
      <c r="S1445" s="3"/>
    </row>
    <row r="1446" spans="3:19" ht="15.75" customHeight="1" x14ac:dyDescent="0.2">
      <c r="C1446" s="208">
        <v>41429</v>
      </c>
      <c r="D1446" s="19">
        <v>0.4375</v>
      </c>
      <c r="E1446" s="3">
        <v>6</v>
      </c>
      <c r="F1446" s="3">
        <v>9.7100000000000009</v>
      </c>
      <c r="G1446" s="3">
        <v>92.2</v>
      </c>
      <c r="H1446" s="7">
        <v>13.1</v>
      </c>
      <c r="I1446" s="7"/>
      <c r="L1446" s="3"/>
      <c r="M1446" s="3"/>
      <c r="N1446" s="3"/>
      <c r="O1446" s="3"/>
      <c r="P1446" s="3"/>
      <c r="Q1446" s="3"/>
      <c r="R1446" s="3"/>
      <c r="S1446" s="3"/>
    </row>
    <row r="1447" spans="3:19" ht="15.75" customHeight="1" x14ac:dyDescent="0.2">
      <c r="C1447" s="208">
        <v>41429</v>
      </c>
      <c r="D1447" s="19">
        <v>0.4375</v>
      </c>
      <c r="E1447" s="3">
        <v>7</v>
      </c>
      <c r="F1447" s="3">
        <v>9.69</v>
      </c>
      <c r="G1447" s="3">
        <v>92</v>
      </c>
      <c r="H1447" s="7">
        <v>13</v>
      </c>
      <c r="I1447" s="7"/>
      <c r="L1447" s="3"/>
      <c r="M1447" s="3"/>
      <c r="N1447" s="3"/>
      <c r="O1447" s="3"/>
      <c r="P1447" s="3"/>
      <c r="Q1447" s="3"/>
      <c r="R1447" s="3"/>
      <c r="S1447" s="3"/>
    </row>
    <row r="1448" spans="3:19" ht="15.75" customHeight="1" x14ac:dyDescent="0.2">
      <c r="C1448" s="208">
        <v>41429</v>
      </c>
      <c r="D1448" s="19">
        <v>0.4375</v>
      </c>
      <c r="E1448" s="3">
        <v>8</v>
      </c>
      <c r="F1448" s="3">
        <v>9.68</v>
      </c>
      <c r="G1448" s="3">
        <v>89.1</v>
      </c>
      <c r="H1448" s="7">
        <v>12</v>
      </c>
      <c r="I1448" s="7"/>
      <c r="L1448" s="3"/>
      <c r="M1448" s="3"/>
      <c r="N1448" s="3"/>
      <c r="O1448" s="3"/>
      <c r="P1448" s="3"/>
      <c r="Q1448" s="3"/>
      <c r="R1448" s="3"/>
      <c r="S1448" s="3"/>
    </row>
    <row r="1449" spans="3:19" ht="15.75" customHeight="1" x14ac:dyDescent="0.2">
      <c r="C1449" s="208">
        <v>41429</v>
      </c>
      <c r="D1449" s="19">
        <v>0.4375</v>
      </c>
      <c r="E1449" s="3">
        <v>9</v>
      </c>
      <c r="F1449" s="3">
        <v>9.77</v>
      </c>
      <c r="G1449" s="3">
        <v>88.8</v>
      </c>
      <c r="H1449" s="7">
        <v>11.2</v>
      </c>
      <c r="I1449" s="7"/>
      <c r="L1449" s="3"/>
      <c r="M1449" s="3"/>
      <c r="N1449" s="3"/>
      <c r="O1449" s="3"/>
      <c r="P1449" s="3"/>
      <c r="Q1449" s="3"/>
      <c r="R1449" s="3"/>
      <c r="S1449" s="3"/>
    </row>
    <row r="1450" spans="3:19" ht="15.75" customHeight="1" x14ac:dyDescent="0.2">
      <c r="C1450" s="208">
        <v>41429</v>
      </c>
      <c r="D1450" s="19">
        <v>0.4375</v>
      </c>
      <c r="E1450" s="3">
        <v>10</v>
      </c>
      <c r="F1450" s="3">
        <v>9.7899999999999991</v>
      </c>
      <c r="G1450" s="3">
        <v>88.5</v>
      </c>
      <c r="H1450" s="7">
        <v>10.9</v>
      </c>
      <c r="I1450" s="7"/>
      <c r="L1450" s="3"/>
      <c r="M1450" s="3"/>
      <c r="N1450" s="3"/>
      <c r="O1450" s="3"/>
      <c r="P1450" s="3"/>
      <c r="Q1450" s="3"/>
      <c r="R1450" s="3"/>
      <c r="S1450" s="3"/>
    </row>
    <row r="1451" spans="3:19" ht="15.75" customHeight="1" x14ac:dyDescent="0.2">
      <c r="C1451" s="208">
        <v>41429</v>
      </c>
      <c r="D1451" s="19">
        <v>0.4375</v>
      </c>
      <c r="E1451" s="3">
        <v>11</v>
      </c>
      <c r="F1451" s="3">
        <v>9.7799999999999994</v>
      </c>
      <c r="G1451" s="3">
        <v>88.3</v>
      </c>
      <c r="H1451" s="7">
        <v>10.8</v>
      </c>
      <c r="I1451" s="7"/>
      <c r="L1451" s="3"/>
      <c r="M1451" s="3"/>
      <c r="N1451" s="3"/>
      <c r="O1451" s="3"/>
      <c r="P1451" s="3"/>
      <c r="Q1451" s="3"/>
      <c r="R1451" s="3"/>
      <c r="S1451" s="3"/>
    </row>
    <row r="1452" spans="3:19" ht="15.75" customHeight="1" x14ac:dyDescent="0.2">
      <c r="C1452" s="208">
        <v>41429</v>
      </c>
      <c r="D1452" s="19">
        <v>0.4375</v>
      </c>
      <c r="E1452" s="3">
        <v>12</v>
      </c>
      <c r="F1452" s="3">
        <v>9.8800000000000008</v>
      </c>
      <c r="G1452" s="3">
        <v>83.2</v>
      </c>
      <c r="H1452" s="7">
        <v>8</v>
      </c>
      <c r="I1452" s="7"/>
      <c r="L1452" s="3"/>
      <c r="M1452" s="3"/>
      <c r="N1452" s="3"/>
      <c r="O1452" s="3"/>
      <c r="P1452" s="3"/>
      <c r="Q1452" s="3"/>
      <c r="R1452" s="3"/>
      <c r="S1452" s="3"/>
    </row>
    <row r="1453" spans="3:19" ht="15.75" customHeight="1" x14ac:dyDescent="0.2">
      <c r="C1453" s="208">
        <v>41429</v>
      </c>
      <c r="D1453" s="19">
        <v>0.4375</v>
      </c>
      <c r="E1453" s="3">
        <v>13</v>
      </c>
      <c r="F1453" s="3">
        <v>9.86</v>
      </c>
      <c r="G1453" s="3">
        <v>82.7</v>
      </c>
      <c r="H1453" s="7">
        <v>7.8</v>
      </c>
      <c r="I1453" s="7"/>
      <c r="L1453" s="3"/>
      <c r="M1453" s="3"/>
      <c r="N1453" s="3"/>
      <c r="O1453" s="3"/>
      <c r="P1453" s="3"/>
      <c r="Q1453" s="3"/>
      <c r="R1453" s="3"/>
      <c r="S1453" s="3"/>
    </row>
    <row r="1454" spans="3:19" ht="15.75" customHeight="1" x14ac:dyDescent="0.2">
      <c r="C1454" s="208">
        <v>41429</v>
      </c>
      <c r="D1454" s="19">
        <v>0.4375</v>
      </c>
      <c r="E1454" s="3">
        <v>14</v>
      </c>
      <c r="F1454" s="3">
        <v>10.039999999999999</v>
      </c>
      <c r="G1454" s="3">
        <v>81.900000000000006</v>
      </c>
      <c r="H1454" s="7">
        <v>6.9</v>
      </c>
      <c r="I1454" s="7"/>
      <c r="L1454" s="3"/>
      <c r="M1454" s="3"/>
      <c r="N1454" s="3"/>
      <c r="O1454" s="3"/>
      <c r="P1454" s="3"/>
      <c r="Q1454" s="3"/>
      <c r="R1454" s="3"/>
      <c r="S1454" s="3"/>
    </row>
    <row r="1455" spans="3:19" ht="15.75" customHeight="1" x14ac:dyDescent="0.2">
      <c r="C1455" s="208">
        <v>41429</v>
      </c>
      <c r="D1455" s="19">
        <v>0.4375</v>
      </c>
      <c r="E1455" s="3">
        <v>15</v>
      </c>
      <c r="F1455" s="3">
        <v>10.119999999999999</v>
      </c>
      <c r="G1455" s="3">
        <v>82</v>
      </c>
      <c r="H1455" s="7">
        <v>6.5</v>
      </c>
      <c r="I1455" s="7"/>
      <c r="L1455" s="3"/>
      <c r="M1455" s="3"/>
      <c r="N1455" s="3"/>
      <c r="O1455" s="3"/>
      <c r="P1455" s="3"/>
      <c r="Q1455" s="3"/>
      <c r="R1455" s="3"/>
      <c r="S1455" s="3"/>
    </row>
    <row r="1456" spans="3:19" ht="15.75" customHeight="1" x14ac:dyDescent="0.2">
      <c r="C1456" s="208">
        <v>41429</v>
      </c>
      <c r="D1456" s="19">
        <v>0.4375</v>
      </c>
      <c r="E1456" s="3">
        <v>16</v>
      </c>
      <c r="F1456" s="3">
        <v>10.11</v>
      </c>
      <c r="G1456" s="3">
        <v>81.5</v>
      </c>
      <c r="H1456" s="7">
        <v>6.2</v>
      </c>
      <c r="I1456" s="7"/>
      <c r="L1456" s="3"/>
      <c r="M1456" s="3"/>
      <c r="N1456" s="3"/>
      <c r="O1456" s="3"/>
      <c r="P1456" s="3"/>
      <c r="Q1456" s="3"/>
      <c r="R1456" s="3"/>
      <c r="S1456" s="3"/>
    </row>
    <row r="1457" spans="3:19" ht="15.75" customHeight="1" x14ac:dyDescent="0.2">
      <c r="C1457" s="208">
        <v>41429</v>
      </c>
      <c r="D1457" s="19">
        <v>0.4375</v>
      </c>
      <c r="E1457" s="3">
        <v>17</v>
      </c>
      <c r="F1457" s="3">
        <v>10.1</v>
      </c>
      <c r="G1457" s="3">
        <v>81.2</v>
      </c>
      <c r="H1457" s="7">
        <v>6</v>
      </c>
      <c r="I1457" s="7"/>
      <c r="L1457" s="3"/>
      <c r="M1457" s="3"/>
      <c r="N1457" s="3"/>
      <c r="O1457" s="3"/>
      <c r="P1457" s="3"/>
      <c r="Q1457" s="3"/>
      <c r="R1457" s="3"/>
      <c r="S1457" s="3"/>
    </row>
    <row r="1458" spans="3:19" ht="15.75" customHeight="1" x14ac:dyDescent="0.2">
      <c r="C1458" s="208">
        <v>41429</v>
      </c>
      <c r="D1458" s="19">
        <v>0.4375</v>
      </c>
      <c r="E1458" s="3">
        <v>18</v>
      </c>
      <c r="F1458" s="3">
        <v>10.07</v>
      </c>
      <c r="G1458" s="3">
        <v>80.7</v>
      </c>
      <c r="H1458" s="7">
        <v>5.9</v>
      </c>
      <c r="I1458" s="7"/>
      <c r="L1458" s="3"/>
      <c r="M1458" s="3"/>
      <c r="N1458" s="3"/>
      <c r="O1458" s="3"/>
      <c r="P1458" s="3"/>
      <c r="Q1458" s="3"/>
      <c r="R1458" s="3"/>
      <c r="S1458" s="3"/>
    </row>
    <row r="1459" spans="3:19" ht="15.75" customHeight="1" x14ac:dyDescent="0.2">
      <c r="C1459" s="208">
        <v>41429</v>
      </c>
      <c r="D1459" s="19">
        <v>0.4375</v>
      </c>
      <c r="E1459" s="3">
        <v>19</v>
      </c>
      <c r="F1459" s="3">
        <v>10.07</v>
      </c>
      <c r="G1459" s="3">
        <v>80.5</v>
      </c>
      <c r="H1459" s="7">
        <v>5.8</v>
      </c>
      <c r="I1459" s="7"/>
      <c r="L1459" s="3"/>
      <c r="M1459" s="3"/>
      <c r="N1459" s="3"/>
      <c r="O1459" s="3"/>
      <c r="P1459" s="3"/>
      <c r="Q1459" s="3"/>
      <c r="R1459" s="3"/>
      <c r="S1459" s="3"/>
    </row>
    <row r="1460" spans="3:19" ht="15.75" customHeight="1" x14ac:dyDescent="0.2">
      <c r="C1460" s="208">
        <v>41429</v>
      </c>
      <c r="D1460" s="19">
        <v>0.4375</v>
      </c>
      <c r="E1460" s="3">
        <v>20</v>
      </c>
      <c r="F1460" s="3">
        <v>10.06</v>
      </c>
      <c r="G1460" s="3">
        <v>80.3</v>
      </c>
      <c r="H1460" s="7">
        <v>5.8</v>
      </c>
      <c r="I1460" s="7"/>
      <c r="L1460" s="3"/>
      <c r="M1460" s="3"/>
      <c r="N1460" s="3"/>
      <c r="O1460" s="3"/>
      <c r="P1460" s="3"/>
      <c r="Q1460" s="3"/>
      <c r="R1460" s="3"/>
      <c r="S1460" s="3"/>
    </row>
    <row r="1461" spans="3:19" ht="15.75" customHeight="1" x14ac:dyDescent="0.2">
      <c r="C1461" s="208">
        <v>41429</v>
      </c>
      <c r="D1461" s="19">
        <v>0.4375</v>
      </c>
      <c r="E1461" s="3">
        <v>21</v>
      </c>
      <c r="F1461" s="3">
        <v>10.039999999999999</v>
      </c>
      <c r="G1461" s="3">
        <v>80</v>
      </c>
      <c r="H1461" s="7">
        <v>5.7</v>
      </c>
      <c r="I1461" s="7"/>
      <c r="L1461" s="3"/>
      <c r="M1461" s="3"/>
      <c r="N1461" s="3"/>
      <c r="O1461" s="3"/>
      <c r="P1461" s="3"/>
      <c r="Q1461" s="3"/>
      <c r="R1461" s="3"/>
      <c r="S1461" s="3"/>
    </row>
    <row r="1462" spans="3:19" ht="15.75" customHeight="1" x14ac:dyDescent="0.2">
      <c r="C1462" s="208">
        <v>41429</v>
      </c>
      <c r="D1462" s="19">
        <v>0.4375</v>
      </c>
      <c r="E1462" s="3">
        <v>22</v>
      </c>
      <c r="F1462" s="3">
        <v>10.050000000000001</v>
      </c>
      <c r="G1462" s="3">
        <v>79.900000000000006</v>
      </c>
      <c r="H1462" s="7">
        <v>5.6</v>
      </c>
      <c r="I1462" s="7"/>
      <c r="L1462" s="3"/>
      <c r="M1462" s="3"/>
      <c r="N1462" s="3"/>
      <c r="O1462" s="3"/>
      <c r="P1462" s="3"/>
      <c r="Q1462" s="3"/>
      <c r="R1462" s="3"/>
      <c r="S1462" s="3"/>
    </row>
    <row r="1463" spans="3:19" ht="15.75" customHeight="1" x14ac:dyDescent="0.2">
      <c r="C1463" s="208">
        <v>41429</v>
      </c>
      <c r="D1463" s="19">
        <v>0.4375</v>
      </c>
      <c r="E1463" s="3">
        <v>23</v>
      </c>
      <c r="F1463" s="3">
        <v>10.039999999999999</v>
      </c>
      <c r="G1463" s="3">
        <v>79.8</v>
      </c>
      <c r="H1463" s="7">
        <v>5.6</v>
      </c>
      <c r="I1463" s="7"/>
      <c r="L1463" s="3"/>
      <c r="M1463" s="3"/>
      <c r="N1463" s="3"/>
      <c r="O1463" s="3"/>
      <c r="P1463" s="3"/>
      <c r="Q1463" s="3"/>
      <c r="R1463" s="3"/>
      <c r="S1463" s="3"/>
    </row>
    <row r="1464" spans="3:19" ht="15.75" customHeight="1" x14ac:dyDescent="0.2">
      <c r="C1464" s="208">
        <v>41429</v>
      </c>
      <c r="D1464" s="19">
        <v>0.4375</v>
      </c>
      <c r="E1464" s="3">
        <v>24</v>
      </c>
      <c r="F1464" s="3">
        <v>10.029999999999999</v>
      </c>
      <c r="G1464" s="3">
        <v>79.599999999999994</v>
      </c>
      <c r="H1464" s="7">
        <v>5.5</v>
      </c>
      <c r="I1464" s="7"/>
      <c r="L1464" s="3"/>
      <c r="M1464" s="3"/>
      <c r="N1464" s="3"/>
      <c r="O1464" s="3"/>
      <c r="P1464" s="3"/>
      <c r="Q1464" s="3"/>
      <c r="R1464" s="3"/>
      <c r="S1464" s="3"/>
    </row>
    <row r="1465" spans="3:19" ht="15.75" customHeight="1" x14ac:dyDescent="0.2">
      <c r="C1465" s="208">
        <v>41429</v>
      </c>
      <c r="D1465" s="19">
        <v>0.4375</v>
      </c>
      <c r="E1465" s="3">
        <v>25</v>
      </c>
      <c r="F1465" s="3">
        <v>10.029999999999999</v>
      </c>
      <c r="G1465" s="3">
        <v>79.400000000000006</v>
      </c>
      <c r="H1465" s="7">
        <v>5.4</v>
      </c>
      <c r="I1465" s="7"/>
      <c r="L1465" s="3"/>
      <c r="M1465" s="3"/>
      <c r="N1465" s="3"/>
      <c r="O1465" s="3"/>
      <c r="P1465" s="3"/>
      <c r="Q1465" s="3"/>
      <c r="R1465" s="3"/>
      <c r="S1465" s="3"/>
    </row>
    <row r="1466" spans="3:19" ht="15.75" customHeight="1" x14ac:dyDescent="0.2">
      <c r="C1466" s="208"/>
      <c r="D1466" s="19"/>
      <c r="E1466" s="3"/>
      <c r="F1466" s="3"/>
      <c r="G1466" s="3"/>
      <c r="H1466" s="7"/>
      <c r="I1466" s="7"/>
      <c r="L1466" s="3"/>
      <c r="M1466" s="3"/>
      <c r="N1466" s="3"/>
      <c r="O1466" s="3"/>
      <c r="P1466" s="3"/>
      <c r="Q1466" s="3"/>
      <c r="R1466" s="3"/>
      <c r="S1466" s="3"/>
    </row>
    <row r="1467" spans="3:19" ht="15.75" customHeight="1" x14ac:dyDescent="0.2">
      <c r="C1467" s="208">
        <v>41479</v>
      </c>
      <c r="D1467" s="19">
        <v>0.4236111111111111</v>
      </c>
      <c r="E1467" s="3"/>
      <c r="F1467" s="3"/>
      <c r="G1467" s="3"/>
      <c r="H1467" s="7"/>
      <c r="I1467" s="7"/>
      <c r="J1467">
        <v>8</v>
      </c>
      <c r="K1467">
        <v>10.5</v>
      </c>
      <c r="L1467" s="3"/>
      <c r="M1467" s="3"/>
      <c r="N1467" s="3"/>
      <c r="O1467" s="3"/>
      <c r="P1467" s="3"/>
      <c r="Q1467" s="3"/>
      <c r="R1467" s="3"/>
      <c r="S1467" s="3"/>
    </row>
    <row r="1468" spans="3:19" ht="15.75" customHeight="1" x14ac:dyDescent="0.2">
      <c r="C1468" s="208">
        <v>41479</v>
      </c>
      <c r="D1468" s="19">
        <v>0.4236111111111111</v>
      </c>
      <c r="E1468" s="3">
        <v>0.1</v>
      </c>
      <c r="F1468" s="3">
        <v>7.29</v>
      </c>
      <c r="G1468" s="3">
        <v>85.4</v>
      </c>
      <c r="H1468" s="7">
        <v>23.3</v>
      </c>
      <c r="I1468" s="7"/>
      <c r="L1468" s="3"/>
      <c r="M1468" s="3"/>
      <c r="N1468" s="3"/>
      <c r="O1468" s="3"/>
      <c r="P1468" s="3"/>
      <c r="Q1468" s="3"/>
      <c r="R1468" s="3"/>
      <c r="S1468" s="3"/>
    </row>
    <row r="1469" spans="3:19" ht="15.75" customHeight="1" x14ac:dyDescent="0.2">
      <c r="C1469" s="208">
        <v>41479</v>
      </c>
      <c r="D1469" s="19">
        <v>0.4236111111111111</v>
      </c>
      <c r="E1469" s="3">
        <v>1</v>
      </c>
      <c r="F1469" s="3">
        <v>7.29</v>
      </c>
      <c r="G1469" s="3">
        <v>85.1</v>
      </c>
      <c r="H1469" s="7">
        <v>23.1</v>
      </c>
      <c r="I1469" s="7"/>
      <c r="L1469" s="3"/>
      <c r="M1469" s="3"/>
      <c r="N1469" s="3"/>
      <c r="O1469" s="3"/>
      <c r="P1469" s="3"/>
      <c r="Q1469" s="3"/>
      <c r="R1469" s="3"/>
      <c r="S1469" s="3"/>
    </row>
    <row r="1470" spans="3:19" ht="15.75" customHeight="1" x14ac:dyDescent="0.2">
      <c r="C1470" s="208">
        <v>41479</v>
      </c>
      <c r="D1470" s="19">
        <v>0.4236111111111111</v>
      </c>
      <c r="E1470" s="3">
        <v>2</v>
      </c>
      <c r="F1470" s="3">
        <v>7.28</v>
      </c>
      <c r="G1470" s="3">
        <v>84.9</v>
      </c>
      <c r="H1470" s="7">
        <v>23</v>
      </c>
      <c r="I1470" s="7"/>
      <c r="L1470" s="3"/>
      <c r="M1470" s="3"/>
      <c r="N1470" s="3"/>
      <c r="O1470" s="3"/>
      <c r="P1470" s="3"/>
      <c r="Q1470" s="3"/>
      <c r="R1470" s="3"/>
      <c r="S1470" s="3"/>
    </row>
    <row r="1471" spans="3:19" ht="15.75" customHeight="1" x14ac:dyDescent="0.2">
      <c r="C1471" s="208">
        <v>41479</v>
      </c>
      <c r="D1471" s="19">
        <v>0.4236111111111111</v>
      </c>
      <c r="E1471" s="3">
        <v>3</v>
      </c>
      <c r="F1471" s="3">
        <v>7.29</v>
      </c>
      <c r="G1471" s="3">
        <v>84.7</v>
      </c>
      <c r="H1471" s="7">
        <v>22.8</v>
      </c>
      <c r="I1471" s="7"/>
      <c r="L1471" s="3"/>
      <c r="M1471" s="3"/>
      <c r="N1471" s="3"/>
      <c r="O1471" s="3"/>
      <c r="P1471" s="3"/>
      <c r="Q1471" s="3"/>
      <c r="R1471" s="3"/>
      <c r="S1471" s="3"/>
    </row>
    <row r="1472" spans="3:19" ht="15.75" customHeight="1" x14ac:dyDescent="0.2">
      <c r="C1472" s="208">
        <v>41479</v>
      </c>
      <c r="D1472" s="19">
        <v>0.4236111111111111</v>
      </c>
      <c r="E1472" s="3">
        <v>4</v>
      </c>
      <c r="F1472" s="3">
        <v>7.27</v>
      </c>
      <c r="G1472" s="3">
        <v>84.3</v>
      </c>
      <c r="H1472" s="7">
        <v>22.7</v>
      </c>
      <c r="I1472" s="7"/>
      <c r="L1472" s="3"/>
      <c r="M1472" s="3"/>
      <c r="N1472" s="3"/>
      <c r="O1472" s="3"/>
      <c r="P1472" s="3"/>
      <c r="Q1472" s="3"/>
      <c r="R1472" s="3"/>
      <c r="S1472" s="3"/>
    </row>
    <row r="1473" spans="3:19" ht="15.75" customHeight="1" x14ac:dyDescent="0.2">
      <c r="C1473" s="208">
        <v>41479</v>
      </c>
      <c r="D1473" s="19">
        <v>0.4236111111111111</v>
      </c>
      <c r="E1473" s="3">
        <v>5</v>
      </c>
      <c r="F1473" s="3">
        <v>7.26</v>
      </c>
      <c r="G1473" s="3">
        <v>83.9</v>
      </c>
      <c r="H1473" s="7">
        <v>22.6</v>
      </c>
      <c r="I1473" s="7"/>
      <c r="L1473" s="3"/>
      <c r="M1473" s="3"/>
      <c r="N1473" s="3"/>
      <c r="O1473" s="3"/>
      <c r="P1473" s="3"/>
      <c r="Q1473" s="3"/>
      <c r="R1473" s="3"/>
      <c r="S1473" s="3"/>
    </row>
    <row r="1474" spans="3:19" ht="15.75" customHeight="1" x14ac:dyDescent="0.2">
      <c r="C1474" s="208">
        <v>41479</v>
      </c>
      <c r="D1474" s="19">
        <v>0.4236111111111111</v>
      </c>
      <c r="E1474" s="3">
        <v>6</v>
      </c>
      <c r="F1474" s="3">
        <v>7.25</v>
      </c>
      <c r="G1474" s="3">
        <v>83.7</v>
      </c>
      <c r="H1474" s="7">
        <v>22.5</v>
      </c>
      <c r="I1474" s="7"/>
      <c r="L1474" s="3"/>
      <c r="M1474" s="3"/>
      <c r="N1474" s="3"/>
      <c r="O1474" s="3"/>
      <c r="P1474" s="3"/>
      <c r="Q1474" s="3"/>
      <c r="R1474" s="3"/>
      <c r="S1474" s="3"/>
    </row>
    <row r="1475" spans="3:19" ht="15.75" customHeight="1" x14ac:dyDescent="0.2">
      <c r="C1475" s="208">
        <v>41479</v>
      </c>
      <c r="D1475" s="19">
        <v>0.4236111111111111</v>
      </c>
      <c r="E1475" s="3">
        <v>7</v>
      </c>
      <c r="F1475" s="3">
        <v>7.32</v>
      </c>
      <c r="G1475" s="3">
        <v>83.4</v>
      </c>
      <c r="H1475" s="7">
        <v>22.1</v>
      </c>
      <c r="I1475" s="7"/>
      <c r="L1475" s="3"/>
      <c r="M1475" s="3"/>
      <c r="N1475" s="3"/>
      <c r="O1475" s="3"/>
      <c r="P1475" s="3"/>
      <c r="Q1475" s="3"/>
      <c r="R1475" s="3"/>
      <c r="S1475" s="3"/>
    </row>
    <row r="1476" spans="3:19" ht="15.75" customHeight="1" x14ac:dyDescent="0.2">
      <c r="C1476" s="208">
        <v>41479</v>
      </c>
      <c r="D1476" s="19">
        <v>0.4236111111111111</v>
      </c>
      <c r="E1476" s="3">
        <v>8</v>
      </c>
      <c r="F1476" s="3">
        <v>8.56</v>
      </c>
      <c r="G1476" s="3">
        <v>88.7</v>
      </c>
      <c r="H1476" s="7">
        <v>20</v>
      </c>
      <c r="I1476" s="7"/>
      <c r="L1476" s="3"/>
      <c r="M1476" s="3"/>
      <c r="N1476" s="3"/>
      <c r="O1476" s="3"/>
      <c r="P1476" s="3"/>
      <c r="Q1476" s="3"/>
      <c r="R1476" s="3"/>
      <c r="S1476" s="3"/>
    </row>
    <row r="1477" spans="3:19" ht="15.75" customHeight="1" x14ac:dyDescent="0.2">
      <c r="C1477" s="208">
        <v>41479</v>
      </c>
      <c r="D1477" s="19">
        <v>0.4236111111111111</v>
      </c>
      <c r="E1477" s="3">
        <v>9</v>
      </c>
      <c r="F1477" s="3">
        <v>8.99</v>
      </c>
      <c r="G1477" s="3">
        <v>90.1</v>
      </c>
      <c r="H1477" s="7">
        <v>16</v>
      </c>
      <c r="I1477" s="7"/>
      <c r="L1477" s="3"/>
      <c r="M1477" s="3"/>
      <c r="N1477" s="3"/>
      <c r="O1477" s="3"/>
      <c r="P1477" s="3"/>
      <c r="Q1477" s="3"/>
      <c r="R1477" s="3"/>
      <c r="S1477" s="3"/>
    </row>
    <row r="1478" spans="3:19" ht="15.75" customHeight="1" x14ac:dyDescent="0.2">
      <c r="C1478" s="208">
        <v>41479</v>
      </c>
      <c r="D1478" s="19">
        <v>0.4236111111111111</v>
      </c>
      <c r="E1478" s="3">
        <v>10</v>
      </c>
      <c r="F1478" s="3">
        <v>9.2100000000000009</v>
      </c>
      <c r="G1478" s="3">
        <v>87.8</v>
      </c>
      <c r="H1478" s="7">
        <v>14.5</v>
      </c>
      <c r="I1478" s="7"/>
      <c r="L1478" s="3"/>
      <c r="M1478" s="3"/>
      <c r="N1478" s="3"/>
      <c r="O1478" s="3"/>
      <c r="P1478" s="3"/>
      <c r="Q1478" s="3"/>
      <c r="R1478" s="3"/>
      <c r="S1478" s="3"/>
    </row>
    <row r="1479" spans="3:19" ht="15.75" customHeight="1" x14ac:dyDescent="0.2">
      <c r="C1479" s="208">
        <v>41479</v>
      </c>
      <c r="D1479" s="19">
        <v>0.4236111111111111</v>
      </c>
      <c r="E1479" s="3">
        <v>11</v>
      </c>
      <c r="F1479" s="3">
        <v>9.44</v>
      </c>
      <c r="G1479" s="3">
        <v>87.4</v>
      </c>
      <c r="H1479" s="7">
        <v>12.5</v>
      </c>
      <c r="I1479" s="7"/>
      <c r="L1479" s="3"/>
      <c r="M1479" s="3"/>
      <c r="N1479" s="3"/>
      <c r="O1479" s="3"/>
      <c r="P1479" s="3"/>
      <c r="Q1479" s="3"/>
      <c r="R1479" s="3"/>
      <c r="S1479" s="3"/>
    </row>
    <row r="1480" spans="3:19" ht="15.75" customHeight="1" x14ac:dyDescent="0.2">
      <c r="C1480" s="208">
        <v>41479</v>
      </c>
      <c r="D1480" s="19">
        <v>0.4236111111111111</v>
      </c>
      <c r="E1480" s="3">
        <v>12</v>
      </c>
      <c r="F1480" s="3">
        <v>9.6300000000000008</v>
      </c>
      <c r="G1480" s="3">
        <v>87.2</v>
      </c>
      <c r="H1480" s="7">
        <v>11.2</v>
      </c>
      <c r="I1480" s="7"/>
      <c r="L1480" s="3"/>
      <c r="M1480" s="3"/>
      <c r="N1480" s="3"/>
      <c r="O1480" s="3"/>
      <c r="P1480" s="3"/>
      <c r="Q1480" s="3"/>
      <c r="R1480" s="3"/>
      <c r="S1480" s="3"/>
    </row>
    <row r="1481" spans="3:19" ht="15.75" customHeight="1" x14ac:dyDescent="0.2">
      <c r="C1481" s="208">
        <v>41479</v>
      </c>
      <c r="D1481" s="19">
        <v>0.4236111111111111</v>
      </c>
      <c r="E1481" s="3">
        <v>13</v>
      </c>
      <c r="F1481" s="3">
        <v>9.56</v>
      </c>
      <c r="G1481" s="3">
        <v>85.4</v>
      </c>
      <c r="H1481" s="7">
        <v>10.4</v>
      </c>
      <c r="I1481" s="7"/>
      <c r="L1481" s="3"/>
      <c r="M1481" s="3"/>
      <c r="N1481" s="3"/>
      <c r="O1481" s="3"/>
      <c r="P1481" s="3"/>
      <c r="Q1481" s="3"/>
      <c r="R1481" s="3"/>
      <c r="S1481" s="3"/>
    </row>
    <row r="1482" spans="3:19" ht="15.75" customHeight="1" x14ac:dyDescent="0.2">
      <c r="C1482" s="208">
        <v>41479</v>
      </c>
      <c r="D1482" s="19">
        <v>0.4236111111111111</v>
      </c>
      <c r="E1482" s="3">
        <v>14</v>
      </c>
      <c r="F1482" s="3">
        <v>9.34</v>
      </c>
      <c r="G1482" s="3">
        <v>82</v>
      </c>
      <c r="H1482" s="7">
        <v>9.6999999999999993</v>
      </c>
      <c r="I1482" s="7"/>
      <c r="L1482" s="3"/>
      <c r="M1482" s="3"/>
      <c r="N1482" s="3"/>
      <c r="O1482" s="3"/>
      <c r="P1482" s="3"/>
      <c r="Q1482" s="3"/>
      <c r="R1482" s="3"/>
      <c r="S1482" s="3"/>
    </row>
    <row r="1483" spans="3:19" ht="15.75" customHeight="1" x14ac:dyDescent="0.2">
      <c r="C1483" s="208">
        <v>41479</v>
      </c>
      <c r="D1483" s="19">
        <v>0.4236111111111111</v>
      </c>
      <c r="E1483" s="3">
        <v>15</v>
      </c>
      <c r="F1483" s="3">
        <v>9.24</v>
      </c>
      <c r="G1483" s="3">
        <v>79</v>
      </c>
      <c r="H1483" s="7">
        <v>8.6999999999999993</v>
      </c>
      <c r="I1483" s="7"/>
      <c r="L1483" s="3"/>
      <c r="M1483" s="3"/>
      <c r="N1483" s="3"/>
      <c r="O1483" s="3"/>
      <c r="P1483" s="3"/>
      <c r="Q1483" s="3"/>
      <c r="R1483" s="3"/>
      <c r="S1483" s="3"/>
    </row>
    <row r="1484" spans="3:19" ht="15.75" customHeight="1" x14ac:dyDescent="0.2">
      <c r="C1484" s="208">
        <v>41479</v>
      </c>
      <c r="D1484" s="19">
        <v>0.4236111111111111</v>
      </c>
      <c r="E1484" s="3">
        <v>16</v>
      </c>
      <c r="F1484" s="3">
        <v>9.23</v>
      </c>
      <c r="G1484" s="3">
        <v>78.3</v>
      </c>
      <c r="H1484" s="7">
        <v>8.3000000000000007</v>
      </c>
      <c r="I1484" s="7"/>
      <c r="L1484" s="3"/>
      <c r="M1484" s="3"/>
      <c r="N1484" s="3"/>
      <c r="O1484" s="3"/>
      <c r="P1484" s="3"/>
      <c r="Q1484" s="3"/>
      <c r="R1484" s="3"/>
      <c r="S1484" s="3"/>
    </row>
    <row r="1485" spans="3:19" ht="15.75" customHeight="1" x14ac:dyDescent="0.2">
      <c r="C1485" s="208">
        <v>41479</v>
      </c>
      <c r="D1485" s="19">
        <v>0.4236111111111111</v>
      </c>
      <c r="E1485" s="3">
        <v>17</v>
      </c>
      <c r="F1485" s="3">
        <v>9.2100000000000009</v>
      </c>
      <c r="G1485" s="3">
        <v>77</v>
      </c>
      <c r="H1485" s="7">
        <v>7.6</v>
      </c>
      <c r="I1485" s="7"/>
      <c r="L1485" s="3"/>
      <c r="M1485" s="3"/>
      <c r="N1485" s="3"/>
      <c r="O1485" s="3"/>
      <c r="P1485" s="3"/>
      <c r="Q1485" s="3"/>
      <c r="R1485" s="3"/>
      <c r="S1485" s="3"/>
    </row>
    <row r="1486" spans="3:19" ht="15.75" customHeight="1" x14ac:dyDescent="0.2">
      <c r="C1486" s="208">
        <v>41479</v>
      </c>
      <c r="D1486" s="19">
        <v>0.4236111111111111</v>
      </c>
      <c r="E1486" s="3">
        <v>18</v>
      </c>
      <c r="F1486" s="3">
        <v>9.17</v>
      </c>
      <c r="G1486" s="3">
        <v>75.900000000000006</v>
      </c>
      <c r="H1486" s="7">
        <v>7.4</v>
      </c>
      <c r="I1486" s="7"/>
      <c r="L1486" s="3"/>
      <c r="M1486" s="3"/>
      <c r="N1486" s="3"/>
      <c r="O1486" s="3"/>
      <c r="P1486" s="3"/>
      <c r="Q1486" s="3"/>
      <c r="R1486" s="3"/>
      <c r="S1486" s="3"/>
    </row>
    <row r="1487" spans="3:19" ht="15.75" customHeight="1" x14ac:dyDescent="0.2">
      <c r="C1487" s="208">
        <v>41479</v>
      </c>
      <c r="D1487" s="19">
        <v>0.4236111111111111</v>
      </c>
      <c r="E1487" s="3">
        <v>19</v>
      </c>
      <c r="F1487" s="3">
        <v>9.1300000000000008</v>
      </c>
      <c r="G1487" s="3">
        <v>75.3</v>
      </c>
      <c r="H1487" s="7">
        <v>7</v>
      </c>
      <c r="I1487" s="7"/>
      <c r="L1487" s="3"/>
      <c r="M1487" s="3"/>
      <c r="N1487" s="3"/>
      <c r="O1487" s="3"/>
      <c r="P1487" s="3"/>
      <c r="Q1487" s="3"/>
      <c r="R1487" s="3"/>
      <c r="S1487" s="3"/>
    </row>
    <row r="1488" spans="3:19" ht="15.75" customHeight="1" x14ac:dyDescent="0.2">
      <c r="C1488" s="208">
        <v>41479</v>
      </c>
      <c r="D1488" s="19">
        <v>0.4236111111111111</v>
      </c>
      <c r="E1488" s="3">
        <v>20</v>
      </c>
      <c r="F1488" s="3">
        <v>9.02</v>
      </c>
      <c r="G1488" s="3">
        <v>73.900000000000006</v>
      </c>
      <c r="H1488" s="7">
        <v>6.7</v>
      </c>
      <c r="I1488" s="7"/>
      <c r="L1488" s="3"/>
      <c r="M1488" s="3"/>
      <c r="N1488" s="3"/>
      <c r="O1488" s="3"/>
      <c r="P1488" s="3"/>
      <c r="Q1488" s="3"/>
      <c r="R1488" s="3"/>
      <c r="S1488" s="3"/>
    </row>
    <row r="1489" spans="3:19" ht="15.75" customHeight="1" x14ac:dyDescent="0.2">
      <c r="C1489" s="208">
        <v>41479</v>
      </c>
      <c r="D1489" s="19">
        <v>0.4236111111111111</v>
      </c>
      <c r="E1489" s="3">
        <v>21</v>
      </c>
      <c r="F1489" s="3">
        <v>8.9700000000000006</v>
      </c>
      <c r="G1489" s="3">
        <v>73</v>
      </c>
      <c r="H1489" s="7">
        <v>6.6</v>
      </c>
      <c r="I1489" s="7"/>
      <c r="L1489" s="3"/>
      <c r="M1489" s="3"/>
      <c r="N1489" s="3"/>
      <c r="O1489" s="3"/>
      <c r="P1489" s="3"/>
      <c r="Q1489" s="3"/>
      <c r="R1489" s="3"/>
      <c r="S1489" s="3"/>
    </row>
    <row r="1490" spans="3:19" ht="15.75" customHeight="1" x14ac:dyDescent="0.2">
      <c r="C1490" s="208">
        <v>41479</v>
      </c>
      <c r="D1490" s="19">
        <v>0.4236111111111111</v>
      </c>
      <c r="E1490" s="3">
        <v>22</v>
      </c>
      <c r="F1490" s="3">
        <v>8.9600000000000009</v>
      </c>
      <c r="G1490" s="3">
        <v>72.8</v>
      </c>
      <c r="H1490" s="7">
        <v>6.4</v>
      </c>
      <c r="I1490" s="7"/>
      <c r="L1490" s="3"/>
      <c r="M1490" s="3"/>
      <c r="N1490" s="3"/>
      <c r="O1490" s="3"/>
      <c r="P1490" s="3"/>
      <c r="Q1490" s="3"/>
      <c r="R1490" s="3"/>
      <c r="S1490" s="3"/>
    </row>
    <row r="1491" spans="3:19" ht="15.75" customHeight="1" x14ac:dyDescent="0.2">
      <c r="C1491" s="208">
        <v>41479</v>
      </c>
      <c r="D1491" s="19">
        <v>0.4236111111111111</v>
      </c>
      <c r="E1491" s="3">
        <v>23</v>
      </c>
      <c r="F1491" s="3">
        <v>8.93</v>
      </c>
      <c r="G1491" s="3">
        <v>72.400000000000006</v>
      </c>
      <c r="H1491" s="7">
        <v>6.4</v>
      </c>
      <c r="I1491" s="7"/>
      <c r="L1491" s="3"/>
      <c r="M1491" s="3"/>
      <c r="N1491" s="3"/>
      <c r="O1491" s="3"/>
      <c r="P1491" s="3"/>
      <c r="Q1491" s="3"/>
      <c r="R1491" s="3"/>
      <c r="S1491" s="3"/>
    </row>
    <row r="1492" spans="3:19" ht="15.75" customHeight="1" x14ac:dyDescent="0.2">
      <c r="C1492" s="208">
        <v>41479</v>
      </c>
      <c r="D1492" s="19">
        <v>0.4236111111111111</v>
      </c>
      <c r="E1492" s="3">
        <v>24</v>
      </c>
      <c r="F1492" s="3">
        <v>8.9600000000000009</v>
      </c>
      <c r="G1492" s="3">
        <v>72.099999999999994</v>
      </c>
      <c r="H1492" s="7">
        <v>6.2</v>
      </c>
      <c r="I1492" s="7"/>
      <c r="L1492" s="3"/>
      <c r="M1492" s="3"/>
      <c r="N1492" s="3"/>
      <c r="O1492" s="3"/>
      <c r="P1492" s="3"/>
      <c r="Q1492" s="3"/>
      <c r="R1492" s="3"/>
      <c r="S1492" s="3"/>
    </row>
    <row r="1493" spans="3:19" ht="15.75" customHeight="1" x14ac:dyDescent="0.2">
      <c r="C1493" s="208">
        <v>41479</v>
      </c>
      <c r="D1493" s="19">
        <v>0.4236111111111111</v>
      </c>
      <c r="E1493" s="3">
        <v>25</v>
      </c>
      <c r="F1493" s="3">
        <v>8.9700000000000006</v>
      </c>
      <c r="G1493" s="3">
        <v>72</v>
      </c>
      <c r="H1493" s="7">
        <v>6.1</v>
      </c>
      <c r="I1493" s="7"/>
      <c r="L1493" s="3"/>
      <c r="M1493" s="3"/>
      <c r="N1493" s="3"/>
      <c r="O1493" s="3"/>
      <c r="P1493" s="3"/>
      <c r="Q1493" s="3"/>
      <c r="R1493" s="3"/>
      <c r="S1493" s="3"/>
    </row>
    <row r="1494" spans="3:19" ht="15.75" customHeight="1" x14ac:dyDescent="0.2">
      <c r="C1494" s="208"/>
      <c r="D1494" s="19"/>
      <c r="E1494" s="3"/>
      <c r="F1494" s="3"/>
      <c r="G1494" s="3"/>
      <c r="H1494" s="7"/>
      <c r="I1494" s="7"/>
      <c r="L1494" s="3"/>
      <c r="M1494" s="3"/>
      <c r="N1494" s="3"/>
      <c r="O1494" s="3"/>
      <c r="P1494" s="3"/>
      <c r="Q1494" s="3"/>
      <c r="R1494" s="3"/>
      <c r="S1494" s="3"/>
    </row>
    <row r="1495" spans="3:19" ht="15.75" customHeight="1" x14ac:dyDescent="0.2">
      <c r="C1495" s="208"/>
      <c r="D1495" s="19"/>
      <c r="E1495" s="3"/>
      <c r="F1495" s="3"/>
      <c r="G1495" s="3"/>
      <c r="H1495" s="7"/>
      <c r="I1495" s="7"/>
      <c r="L1495" s="3"/>
      <c r="M1495" s="3"/>
      <c r="N1495" s="3"/>
      <c r="O1495" s="3"/>
      <c r="P1495" s="3"/>
      <c r="Q1495" s="3"/>
      <c r="R1495" s="3"/>
      <c r="S1495" s="3"/>
    </row>
    <row r="1496" spans="3:19" ht="15.75" customHeight="1" x14ac:dyDescent="0.2">
      <c r="C1496" s="208"/>
      <c r="D1496" s="19"/>
      <c r="E1496" s="3"/>
      <c r="F1496" s="3"/>
      <c r="G1496" s="3"/>
      <c r="H1496" s="7"/>
      <c r="I1496" s="7"/>
      <c r="L1496" s="3"/>
      <c r="M1496" s="3"/>
      <c r="N1496" s="3"/>
      <c r="O1496" s="3"/>
      <c r="P1496" s="3"/>
      <c r="Q1496" s="3"/>
      <c r="R1496" s="3"/>
      <c r="S1496" s="3"/>
    </row>
    <row r="1497" spans="3:19" ht="15.75" customHeight="1" x14ac:dyDescent="0.2">
      <c r="C1497" s="208">
        <v>41506</v>
      </c>
      <c r="D1497" s="19">
        <v>0.53125</v>
      </c>
      <c r="E1497" s="3"/>
      <c r="F1497" s="3"/>
      <c r="G1497" s="3"/>
      <c r="H1497" s="7"/>
      <c r="I1497" s="7"/>
      <c r="J1497">
        <v>8</v>
      </c>
      <c r="K1497">
        <v>12</v>
      </c>
      <c r="L1497" s="3"/>
      <c r="M1497" s="3"/>
      <c r="N1497" s="3"/>
      <c r="O1497" s="3"/>
      <c r="P1497" s="3"/>
      <c r="Q1497" s="3"/>
      <c r="R1497" s="3"/>
      <c r="S1497" s="3"/>
    </row>
    <row r="1498" spans="3:19" ht="15.75" customHeight="1" x14ac:dyDescent="0.2">
      <c r="C1498" s="208">
        <v>41506</v>
      </c>
      <c r="D1498" s="19">
        <v>0.53125</v>
      </c>
      <c r="E1498" s="3">
        <v>0.1</v>
      </c>
      <c r="F1498" s="3">
        <v>6.84</v>
      </c>
      <c r="G1498" s="3">
        <v>81.8</v>
      </c>
      <c r="H1498" s="7">
        <v>24.8</v>
      </c>
      <c r="I1498" s="7" t="s">
        <v>183</v>
      </c>
      <c r="J1498" s="7"/>
      <c r="L1498" s="3"/>
      <c r="M1498" s="3"/>
      <c r="N1498" s="3"/>
      <c r="O1498" s="3"/>
      <c r="P1498" s="3"/>
      <c r="Q1498" s="3"/>
      <c r="R1498" s="3"/>
      <c r="S1498" s="3"/>
    </row>
    <row r="1499" spans="3:19" ht="15.75" customHeight="1" x14ac:dyDescent="0.2">
      <c r="C1499" s="208">
        <v>41506</v>
      </c>
      <c r="D1499" s="19">
        <v>0.53125</v>
      </c>
      <c r="E1499" s="3">
        <v>1</v>
      </c>
      <c r="F1499" s="3">
        <v>6.93</v>
      </c>
      <c r="G1499" s="3">
        <v>82.4</v>
      </c>
      <c r="H1499" s="7">
        <v>24.2</v>
      </c>
      <c r="I1499" s="7" t="s">
        <v>183</v>
      </c>
      <c r="J1499" s="7"/>
      <c r="L1499" s="3"/>
      <c r="M1499" s="3"/>
      <c r="N1499" s="3"/>
      <c r="O1499" s="3"/>
      <c r="P1499" s="3"/>
      <c r="Q1499" s="3"/>
      <c r="R1499" s="3"/>
      <c r="S1499" s="3"/>
    </row>
    <row r="1500" spans="3:19" ht="15.75" customHeight="1" x14ac:dyDescent="0.2">
      <c r="C1500" s="208">
        <v>41506</v>
      </c>
      <c r="D1500" s="19">
        <v>0.53125</v>
      </c>
      <c r="E1500" s="3">
        <v>2</v>
      </c>
      <c r="F1500" s="3">
        <v>6.96</v>
      </c>
      <c r="G1500" s="3">
        <v>82.5</v>
      </c>
      <c r="H1500" s="7">
        <v>24</v>
      </c>
      <c r="I1500" s="7">
        <v>24</v>
      </c>
      <c r="J1500" s="7"/>
      <c r="L1500" s="3"/>
      <c r="M1500" s="3"/>
      <c r="N1500" s="3"/>
      <c r="O1500" s="3"/>
      <c r="P1500" s="3"/>
      <c r="Q1500" s="3"/>
      <c r="R1500" s="3"/>
      <c r="S1500" s="3"/>
    </row>
    <row r="1501" spans="3:19" ht="15.75" customHeight="1" x14ac:dyDescent="0.2">
      <c r="C1501" s="208">
        <v>41506</v>
      </c>
      <c r="D1501" s="19">
        <v>0.53125</v>
      </c>
      <c r="E1501" s="3">
        <v>3</v>
      </c>
      <c r="F1501" s="3">
        <v>6.99</v>
      </c>
      <c r="G1501" s="3">
        <v>82.5</v>
      </c>
      <c r="H1501" s="7">
        <v>23.8</v>
      </c>
      <c r="I1501" s="7">
        <v>23.8</v>
      </c>
      <c r="J1501" s="7"/>
      <c r="L1501" s="3"/>
      <c r="M1501" s="3"/>
      <c r="N1501" s="3"/>
      <c r="O1501" s="3"/>
      <c r="P1501" s="3"/>
      <c r="Q1501" s="3"/>
      <c r="R1501" s="3"/>
      <c r="S1501" s="3"/>
    </row>
    <row r="1502" spans="3:19" ht="15.75" customHeight="1" x14ac:dyDescent="0.2">
      <c r="C1502" s="208">
        <v>41506</v>
      </c>
      <c r="D1502" s="19">
        <v>0.53125</v>
      </c>
      <c r="E1502" s="3">
        <v>4</v>
      </c>
      <c r="F1502" s="3">
        <v>7.03</v>
      </c>
      <c r="G1502" s="3">
        <v>82.5</v>
      </c>
      <c r="H1502" s="7">
        <v>23.4</v>
      </c>
      <c r="I1502" s="7">
        <v>23.4</v>
      </c>
      <c r="J1502" s="7"/>
      <c r="L1502" s="3"/>
      <c r="M1502" s="3"/>
      <c r="N1502" s="3"/>
      <c r="O1502" s="3"/>
      <c r="P1502" s="3"/>
      <c r="Q1502" s="3"/>
      <c r="R1502" s="3"/>
      <c r="S1502" s="3"/>
    </row>
    <row r="1503" spans="3:19" ht="15.75" customHeight="1" x14ac:dyDescent="0.2">
      <c r="C1503" s="208">
        <v>41506</v>
      </c>
      <c r="D1503" s="19">
        <v>0.53125</v>
      </c>
      <c r="E1503" s="3">
        <v>5</v>
      </c>
      <c r="F1503" s="3">
        <v>7.05</v>
      </c>
      <c r="G1503" s="3">
        <v>82.5</v>
      </c>
      <c r="H1503" s="7">
        <v>23.2</v>
      </c>
      <c r="I1503" s="7">
        <v>23.2</v>
      </c>
      <c r="J1503" s="7"/>
      <c r="L1503" s="3"/>
      <c r="M1503" s="3"/>
      <c r="N1503" s="3"/>
      <c r="O1503" s="3"/>
      <c r="P1503" s="3"/>
      <c r="Q1503" s="3"/>
      <c r="R1503" s="3"/>
      <c r="S1503" s="3"/>
    </row>
    <row r="1504" spans="3:19" ht="15.75" customHeight="1" x14ac:dyDescent="0.2">
      <c r="C1504" s="208">
        <v>41506</v>
      </c>
      <c r="D1504" s="19">
        <v>0.53125</v>
      </c>
      <c r="E1504" s="3">
        <v>6</v>
      </c>
      <c r="F1504" s="3">
        <v>7.05</v>
      </c>
      <c r="G1504" s="3">
        <v>82.4</v>
      </c>
      <c r="H1504" s="7">
        <v>23.1</v>
      </c>
      <c r="I1504" s="7">
        <v>23.1</v>
      </c>
      <c r="J1504" s="7"/>
      <c r="L1504" s="3"/>
      <c r="M1504" s="3"/>
      <c r="N1504" s="3"/>
      <c r="O1504" s="3"/>
      <c r="P1504" s="3"/>
      <c r="Q1504" s="3"/>
      <c r="R1504" s="3"/>
      <c r="S1504" s="3"/>
    </row>
    <row r="1505" spans="3:19" ht="15.75" customHeight="1" x14ac:dyDescent="0.2">
      <c r="C1505" s="208">
        <v>41506</v>
      </c>
      <c r="D1505" s="19">
        <v>0.53125</v>
      </c>
      <c r="E1505" s="3">
        <v>7</v>
      </c>
      <c r="F1505" s="3">
        <v>7.04</v>
      </c>
      <c r="G1505" s="3">
        <v>82.1</v>
      </c>
      <c r="H1505" s="7">
        <v>23</v>
      </c>
      <c r="I1505" s="7">
        <v>23</v>
      </c>
      <c r="J1505" s="7"/>
      <c r="L1505" s="3"/>
      <c r="M1505" s="3"/>
      <c r="N1505" s="3"/>
      <c r="O1505" s="3"/>
      <c r="P1505" s="3"/>
      <c r="Q1505" s="3"/>
      <c r="R1505" s="3"/>
      <c r="S1505" s="3"/>
    </row>
    <row r="1506" spans="3:19" ht="15.75" customHeight="1" x14ac:dyDescent="0.2">
      <c r="C1506" s="208">
        <v>41506</v>
      </c>
      <c r="D1506" s="19">
        <v>0.53125</v>
      </c>
      <c r="E1506" s="3">
        <v>8</v>
      </c>
      <c r="F1506" s="3">
        <v>7.03</v>
      </c>
      <c r="G1506" s="3">
        <v>81.8</v>
      </c>
      <c r="H1506" s="7">
        <v>22.9</v>
      </c>
      <c r="I1506" s="7">
        <v>22.9</v>
      </c>
      <c r="J1506" s="7"/>
      <c r="L1506" s="3"/>
      <c r="M1506" s="3"/>
      <c r="N1506" s="3"/>
      <c r="O1506" s="3"/>
      <c r="P1506" s="3"/>
      <c r="Q1506" s="3"/>
      <c r="R1506" s="3"/>
      <c r="S1506" s="3"/>
    </row>
    <row r="1507" spans="3:19" ht="15.75" customHeight="1" x14ac:dyDescent="0.2">
      <c r="C1507" s="208">
        <v>41506</v>
      </c>
      <c r="D1507" s="19">
        <v>0.53125</v>
      </c>
      <c r="E1507" s="3">
        <v>9</v>
      </c>
      <c r="F1507" s="3">
        <v>7.02</v>
      </c>
      <c r="G1507" s="3">
        <v>81.599999999999994</v>
      </c>
      <c r="H1507" s="7">
        <v>22.9</v>
      </c>
      <c r="I1507" s="7">
        <v>22.9</v>
      </c>
      <c r="J1507" s="7"/>
      <c r="L1507" s="3"/>
      <c r="M1507" s="3"/>
      <c r="N1507" s="3"/>
      <c r="O1507" s="3"/>
      <c r="P1507" s="3"/>
      <c r="Q1507" s="3"/>
      <c r="R1507" s="3"/>
      <c r="S1507" s="3"/>
    </row>
    <row r="1508" spans="3:19" ht="15.75" customHeight="1" x14ac:dyDescent="0.2">
      <c r="C1508" s="208">
        <v>41506</v>
      </c>
      <c r="D1508" s="19">
        <v>0.53125</v>
      </c>
      <c r="E1508" s="3">
        <v>10</v>
      </c>
      <c r="F1508" s="3">
        <v>8.7200000000000006</v>
      </c>
      <c r="G1508" s="3">
        <v>90.2</v>
      </c>
      <c r="H1508" s="7">
        <v>17.5</v>
      </c>
      <c r="I1508" s="17">
        <f>AVERAGE(I1500:I1507)</f>
        <v>23.287500000000001</v>
      </c>
      <c r="J1508" s="17"/>
      <c r="L1508" s="3"/>
      <c r="M1508" s="3"/>
      <c r="N1508" s="3"/>
      <c r="O1508" s="3"/>
      <c r="P1508" s="3"/>
      <c r="Q1508" s="3"/>
      <c r="R1508" s="3"/>
      <c r="S1508" s="3"/>
    </row>
    <row r="1509" spans="3:19" ht="15.75" customHeight="1" x14ac:dyDescent="0.2">
      <c r="C1509" s="208">
        <v>41506</v>
      </c>
      <c r="D1509" s="19">
        <v>0.53125</v>
      </c>
      <c r="E1509" s="3">
        <v>11</v>
      </c>
      <c r="F1509" s="3">
        <v>9.18</v>
      </c>
      <c r="G1509" s="3">
        <v>89.5</v>
      </c>
      <c r="H1509" s="7">
        <v>14.5</v>
      </c>
      <c r="I1509" s="3"/>
      <c r="L1509" s="3"/>
      <c r="M1509" s="3"/>
      <c r="N1509" s="3"/>
      <c r="O1509" s="3"/>
      <c r="P1509" s="3"/>
      <c r="Q1509" s="3"/>
      <c r="R1509" s="3"/>
      <c r="S1509" s="3"/>
    </row>
    <row r="1510" spans="3:19" ht="15.75" customHeight="1" x14ac:dyDescent="0.2">
      <c r="C1510" s="208">
        <v>41506</v>
      </c>
      <c r="D1510" s="19">
        <v>0.53125</v>
      </c>
      <c r="E1510" s="3">
        <v>12</v>
      </c>
      <c r="F1510" s="3">
        <v>9.52</v>
      </c>
      <c r="G1510" s="3">
        <v>88.6</v>
      </c>
      <c r="H1510" s="7">
        <v>12.4</v>
      </c>
      <c r="I1510" s="3"/>
      <c r="L1510" s="3"/>
      <c r="M1510" s="3"/>
      <c r="N1510" s="3"/>
      <c r="O1510" s="3"/>
      <c r="P1510" s="3"/>
      <c r="Q1510" s="3"/>
      <c r="R1510" s="3"/>
      <c r="S1510" s="3"/>
    </row>
    <row r="1511" spans="3:19" ht="15.75" customHeight="1" x14ac:dyDescent="0.2">
      <c r="C1511" s="208">
        <v>41506</v>
      </c>
      <c r="D1511" s="19">
        <v>0.53125</v>
      </c>
      <c r="E1511" s="3">
        <v>13</v>
      </c>
      <c r="F1511" s="3">
        <v>9.27</v>
      </c>
      <c r="G1511" s="3">
        <v>81.599999999999994</v>
      </c>
      <c r="H1511" s="7">
        <v>10</v>
      </c>
      <c r="I1511" s="3"/>
      <c r="L1511" s="3"/>
      <c r="M1511" s="3"/>
      <c r="N1511" s="3"/>
      <c r="O1511" s="3"/>
      <c r="P1511" s="3"/>
      <c r="Q1511" s="3"/>
      <c r="R1511" s="3"/>
      <c r="S1511" s="3"/>
    </row>
    <row r="1512" spans="3:19" ht="15.75" customHeight="1" x14ac:dyDescent="0.2">
      <c r="C1512" s="208">
        <v>41506</v>
      </c>
      <c r="D1512" s="19">
        <v>0.53125</v>
      </c>
      <c r="E1512" s="3">
        <v>14</v>
      </c>
      <c r="F1512" s="3">
        <v>9.2100000000000009</v>
      </c>
      <c r="G1512" s="3">
        <v>78.599999999999994</v>
      </c>
      <c r="H1512" s="7">
        <v>8.6999999999999993</v>
      </c>
      <c r="I1512" s="3"/>
      <c r="L1512" s="3"/>
      <c r="M1512" s="3"/>
      <c r="N1512" s="3"/>
      <c r="O1512" s="3"/>
      <c r="P1512" s="3"/>
      <c r="Q1512" s="3"/>
      <c r="R1512" s="3"/>
      <c r="S1512" s="3"/>
    </row>
    <row r="1513" spans="3:19" ht="15.75" customHeight="1" x14ac:dyDescent="0.2">
      <c r="C1513" s="208">
        <v>41506</v>
      </c>
      <c r="D1513" s="19">
        <v>0.53125</v>
      </c>
      <c r="E1513" s="3">
        <v>15</v>
      </c>
      <c r="F1513" s="3">
        <v>8.9499999999999993</v>
      </c>
      <c r="G1513" s="3">
        <v>75.2</v>
      </c>
      <c r="H1513" s="7">
        <v>7.9</v>
      </c>
      <c r="I1513" s="3"/>
      <c r="L1513" s="3"/>
      <c r="M1513" s="3"/>
      <c r="N1513" s="3"/>
      <c r="O1513" s="3"/>
      <c r="P1513" s="3"/>
      <c r="Q1513" s="3"/>
      <c r="R1513" s="3"/>
      <c r="S1513" s="3"/>
    </row>
    <row r="1514" spans="3:19" ht="15.75" customHeight="1" x14ac:dyDescent="0.2">
      <c r="C1514" s="208">
        <v>41506</v>
      </c>
      <c r="D1514" s="19">
        <v>0.53125</v>
      </c>
      <c r="E1514" s="3">
        <v>16</v>
      </c>
      <c r="F1514" s="3">
        <v>8.77</v>
      </c>
      <c r="G1514" s="3">
        <v>72.5</v>
      </c>
      <c r="H1514" s="7">
        <v>7.2</v>
      </c>
      <c r="I1514" s="3"/>
      <c r="L1514" s="3"/>
      <c r="M1514" s="3"/>
      <c r="N1514" s="3"/>
      <c r="O1514" s="3"/>
      <c r="P1514" s="3"/>
      <c r="Q1514" s="3"/>
      <c r="R1514" s="3"/>
      <c r="S1514" s="3"/>
    </row>
    <row r="1515" spans="3:19" ht="15.75" customHeight="1" x14ac:dyDescent="0.2">
      <c r="C1515" s="208">
        <v>41506</v>
      </c>
      <c r="D1515" s="19">
        <v>0.53125</v>
      </c>
      <c r="E1515" s="3">
        <v>17</v>
      </c>
      <c r="F1515" s="3">
        <v>8.7200000000000006</v>
      </c>
      <c r="G1515" s="3">
        <v>71.5</v>
      </c>
      <c r="H1515" s="7">
        <v>6.9</v>
      </c>
      <c r="I1515" s="3"/>
      <c r="L1515" s="3"/>
      <c r="M1515" s="3"/>
      <c r="N1515" s="3"/>
      <c r="O1515" s="3"/>
      <c r="P1515" s="3"/>
      <c r="Q1515" s="3"/>
      <c r="R1515" s="3"/>
      <c r="S1515" s="3"/>
    </row>
    <row r="1516" spans="3:19" ht="15.75" customHeight="1" x14ac:dyDescent="0.2">
      <c r="C1516" s="208">
        <v>41506</v>
      </c>
      <c r="D1516" s="19">
        <v>0.53125</v>
      </c>
      <c r="E1516" s="3">
        <v>18</v>
      </c>
      <c r="F1516" s="3">
        <v>8.67</v>
      </c>
      <c r="G1516" s="3">
        <v>70.8</v>
      </c>
      <c r="H1516" s="7">
        <v>6.7</v>
      </c>
      <c r="I1516" s="3"/>
      <c r="L1516" s="3"/>
      <c r="M1516" s="3"/>
      <c r="N1516" s="3"/>
      <c r="O1516" s="3"/>
      <c r="P1516" s="3"/>
      <c r="Q1516" s="3"/>
      <c r="R1516" s="3"/>
      <c r="S1516" s="3"/>
    </row>
    <row r="1517" spans="3:19" ht="15.75" customHeight="1" x14ac:dyDescent="0.2">
      <c r="C1517" s="208">
        <v>41506</v>
      </c>
      <c r="D1517" s="19">
        <v>0.53125</v>
      </c>
      <c r="E1517" s="3">
        <v>19</v>
      </c>
      <c r="F1517" s="3">
        <v>8.6300000000000008</v>
      </c>
      <c r="G1517" s="3">
        <v>70.2</v>
      </c>
      <c r="H1517" s="7">
        <v>6.5</v>
      </c>
      <c r="I1517" s="3"/>
      <c r="L1517" s="3"/>
      <c r="M1517" s="3"/>
      <c r="N1517" s="3"/>
      <c r="O1517" s="3"/>
      <c r="P1517" s="3"/>
      <c r="Q1517" s="3"/>
      <c r="R1517" s="3"/>
      <c r="S1517" s="3"/>
    </row>
    <row r="1518" spans="3:19" ht="15.75" customHeight="1" x14ac:dyDescent="0.2">
      <c r="C1518" s="208">
        <v>41506</v>
      </c>
      <c r="D1518" s="19">
        <v>0.53125</v>
      </c>
      <c r="E1518" s="3">
        <v>20</v>
      </c>
      <c r="F1518" s="3">
        <v>8.6</v>
      </c>
      <c r="G1518" s="3">
        <v>69.8</v>
      </c>
      <c r="H1518" s="7">
        <v>6.5</v>
      </c>
      <c r="I1518" s="3"/>
      <c r="L1518" s="3"/>
      <c r="M1518" s="3"/>
      <c r="N1518" s="3"/>
      <c r="O1518" s="3"/>
      <c r="P1518" s="3"/>
      <c r="Q1518" s="3"/>
      <c r="R1518" s="3"/>
      <c r="S1518" s="3"/>
    </row>
    <row r="1519" spans="3:19" ht="15.75" customHeight="1" x14ac:dyDescent="0.2">
      <c r="C1519" s="208">
        <v>41506</v>
      </c>
      <c r="D1519" s="19">
        <v>0.53125</v>
      </c>
      <c r="E1519" s="3">
        <v>21</v>
      </c>
      <c r="F1519" s="3">
        <v>8.57</v>
      </c>
      <c r="G1519" s="3">
        <v>69.400000000000006</v>
      </c>
      <c r="H1519" s="7">
        <v>6.4</v>
      </c>
      <c r="I1519" s="3"/>
      <c r="L1519" s="3"/>
      <c r="M1519" s="3"/>
      <c r="N1519" s="3"/>
      <c r="O1519" s="3"/>
      <c r="P1519" s="3"/>
      <c r="Q1519" s="3"/>
      <c r="R1519" s="3"/>
      <c r="S1519" s="3"/>
    </row>
    <row r="1520" spans="3:19" ht="15.75" customHeight="1" x14ac:dyDescent="0.2">
      <c r="C1520" s="208">
        <v>41506</v>
      </c>
      <c r="D1520" s="19">
        <v>0.53125</v>
      </c>
      <c r="E1520" s="3">
        <v>22</v>
      </c>
      <c r="F1520" s="3">
        <v>8.5399999999999991</v>
      </c>
      <c r="G1520" s="3">
        <v>69.2</v>
      </c>
      <c r="H1520" s="7">
        <v>6.3</v>
      </c>
      <c r="I1520" s="3"/>
      <c r="L1520" s="3"/>
      <c r="M1520" s="3"/>
      <c r="N1520" s="3"/>
      <c r="O1520" s="3"/>
      <c r="P1520" s="3"/>
      <c r="Q1520" s="3"/>
      <c r="R1520" s="3"/>
      <c r="S1520" s="3"/>
    </row>
    <row r="1521" spans="3:19" ht="15.75" customHeight="1" x14ac:dyDescent="0.2">
      <c r="C1521" s="208">
        <v>41506</v>
      </c>
      <c r="D1521" s="19">
        <v>0.53125</v>
      </c>
      <c r="E1521" s="3">
        <v>23</v>
      </c>
      <c r="F1521" s="3">
        <v>8.5399999999999991</v>
      </c>
      <c r="G1521" s="3">
        <v>68.900000000000006</v>
      </c>
      <c r="H1521" s="7">
        <v>6.2</v>
      </c>
      <c r="I1521" s="3"/>
      <c r="L1521" s="3"/>
      <c r="M1521" s="3"/>
      <c r="N1521" s="3"/>
      <c r="O1521" s="3"/>
      <c r="P1521" s="3"/>
      <c r="Q1521" s="3"/>
      <c r="R1521" s="3"/>
      <c r="S1521" s="3"/>
    </row>
    <row r="1522" spans="3:19" ht="15.75" customHeight="1" x14ac:dyDescent="0.2">
      <c r="C1522" s="208">
        <v>41506</v>
      </c>
      <c r="D1522" s="19">
        <v>0.53125</v>
      </c>
      <c r="E1522" s="3">
        <v>24</v>
      </c>
      <c r="F1522" s="3">
        <v>8.52</v>
      </c>
      <c r="G1522" s="3">
        <v>68.8</v>
      </c>
      <c r="H1522" s="7">
        <v>6.2</v>
      </c>
      <c r="I1522" s="3"/>
      <c r="L1522" s="3"/>
      <c r="M1522" s="3"/>
      <c r="N1522" s="3"/>
      <c r="O1522" s="3"/>
      <c r="P1522" s="3"/>
      <c r="Q1522" s="3"/>
      <c r="R1522" s="3"/>
      <c r="S1522" s="3"/>
    </row>
    <row r="1523" spans="3:19" ht="15.75" customHeight="1" x14ac:dyDescent="0.2">
      <c r="C1523" s="208">
        <v>41506</v>
      </c>
      <c r="D1523" s="19">
        <v>0.53125</v>
      </c>
      <c r="E1523" s="3">
        <v>25</v>
      </c>
      <c r="F1523" s="3">
        <v>8.51</v>
      </c>
      <c r="G1523" s="3">
        <v>68.7</v>
      </c>
      <c r="H1523" s="7">
        <v>6.2</v>
      </c>
      <c r="I1523" s="3"/>
      <c r="L1523" s="3"/>
      <c r="M1523" s="3"/>
      <c r="N1523" s="3"/>
      <c r="O1523" s="3"/>
      <c r="P1523" s="3"/>
      <c r="Q1523" s="3"/>
      <c r="R1523" s="3"/>
      <c r="S1523" s="3"/>
    </row>
    <row r="1524" spans="3:19" ht="15.75" customHeight="1" x14ac:dyDescent="0.2">
      <c r="C1524" s="208"/>
      <c r="D1524" s="19"/>
      <c r="E1524" s="3"/>
      <c r="F1524" s="3"/>
      <c r="G1524" s="3"/>
      <c r="H1524" s="7"/>
      <c r="I1524" s="3"/>
      <c r="L1524" s="3"/>
      <c r="M1524" s="3"/>
      <c r="N1524" s="3"/>
      <c r="O1524" s="3"/>
      <c r="P1524" s="3"/>
      <c r="Q1524" s="3"/>
      <c r="R1524" s="3"/>
      <c r="S1524" s="3"/>
    </row>
    <row r="1525" spans="3:19" ht="15.75" customHeight="1" x14ac:dyDescent="0.2">
      <c r="C1525" s="208">
        <v>41057</v>
      </c>
      <c r="D1525" s="19">
        <v>0.41666666666666669</v>
      </c>
      <c r="E1525" s="3"/>
      <c r="F1525" s="3"/>
      <c r="G1525" s="3"/>
      <c r="H1525" s="7"/>
      <c r="I1525" s="3"/>
      <c r="J1525">
        <v>7</v>
      </c>
      <c r="K1525">
        <v>10</v>
      </c>
      <c r="L1525" s="3"/>
      <c r="M1525" s="3"/>
      <c r="N1525" s="3"/>
      <c r="O1525" s="3"/>
      <c r="P1525" s="3"/>
      <c r="Q1525" s="3"/>
      <c r="R1525" s="3"/>
      <c r="S1525" s="3"/>
    </row>
    <row r="1526" spans="3:19" ht="15.75" customHeight="1" x14ac:dyDescent="0.2">
      <c r="C1526" s="208">
        <v>41057</v>
      </c>
      <c r="D1526" s="19">
        <v>0.41666666666666669</v>
      </c>
      <c r="E1526" s="3">
        <v>0.1</v>
      </c>
      <c r="F1526" s="3">
        <v>15.6</v>
      </c>
      <c r="G1526" s="3">
        <v>138</v>
      </c>
      <c r="H1526" s="7">
        <v>9.6999999999999993</v>
      </c>
      <c r="I1526" s="3"/>
      <c r="L1526" s="3"/>
      <c r="M1526" s="3"/>
      <c r="N1526" s="3"/>
      <c r="O1526" s="3"/>
      <c r="P1526" s="3"/>
      <c r="Q1526" s="3"/>
      <c r="R1526" s="3"/>
      <c r="S1526" s="3"/>
    </row>
    <row r="1527" spans="3:19" ht="15.75" customHeight="1" x14ac:dyDescent="0.2">
      <c r="C1527" s="208">
        <v>41057</v>
      </c>
      <c r="D1527" s="19">
        <v>0.41666666666666669</v>
      </c>
      <c r="E1527" s="3">
        <v>1</v>
      </c>
      <c r="F1527" s="3">
        <v>15.5</v>
      </c>
      <c r="G1527" s="3">
        <v>136</v>
      </c>
      <c r="H1527" s="7">
        <v>9.6999999999999993</v>
      </c>
      <c r="I1527" s="3"/>
      <c r="L1527" s="3"/>
      <c r="M1527" s="3"/>
      <c r="N1527" s="3"/>
      <c r="O1527" s="3"/>
      <c r="P1527" s="3"/>
      <c r="Q1527" s="3"/>
      <c r="R1527" s="3"/>
      <c r="S1527" s="3"/>
    </row>
    <row r="1528" spans="3:19" ht="15.75" customHeight="1" x14ac:dyDescent="0.2">
      <c r="C1528" s="208">
        <v>41057</v>
      </c>
      <c r="D1528" s="19">
        <v>0.41666666666666669</v>
      </c>
      <c r="E1528" s="3">
        <v>2</v>
      </c>
      <c r="F1528" s="3">
        <v>15.5</v>
      </c>
      <c r="G1528" s="3">
        <v>136.30000000000001</v>
      </c>
      <c r="H1528" s="7">
        <v>9.6999999999999993</v>
      </c>
      <c r="I1528" s="3"/>
      <c r="L1528" s="3"/>
      <c r="M1528" s="3"/>
      <c r="N1528" s="3"/>
      <c r="O1528" s="3"/>
      <c r="P1528" s="3"/>
      <c r="Q1528" s="3"/>
      <c r="R1528" s="3"/>
      <c r="S1528" s="3"/>
    </row>
    <row r="1529" spans="3:19" ht="15.75" customHeight="1" x14ac:dyDescent="0.2">
      <c r="C1529" s="208">
        <v>41057</v>
      </c>
      <c r="D1529" s="19">
        <v>0.41666666666666669</v>
      </c>
      <c r="E1529" s="3">
        <v>3</v>
      </c>
      <c r="F1529" s="3">
        <v>15.48</v>
      </c>
      <c r="G1529" s="3">
        <v>135.80000000000001</v>
      </c>
      <c r="H1529" s="7">
        <v>9.6999999999999993</v>
      </c>
      <c r="I1529" s="3"/>
      <c r="L1529" s="3"/>
      <c r="M1529" s="3"/>
      <c r="N1529" s="3"/>
      <c r="O1529" s="3"/>
      <c r="P1529" s="3"/>
      <c r="Q1529" s="3"/>
      <c r="R1529" s="3"/>
      <c r="S1529" s="3"/>
    </row>
    <row r="1530" spans="3:19" ht="15.75" customHeight="1" x14ac:dyDescent="0.2">
      <c r="C1530" s="208">
        <v>41057</v>
      </c>
      <c r="D1530" s="19">
        <v>0.41666666666666669</v>
      </c>
      <c r="E1530" s="3">
        <v>4</v>
      </c>
      <c r="F1530" s="3">
        <v>15.3</v>
      </c>
      <c r="G1530" s="3">
        <v>135.30000000000001</v>
      </c>
      <c r="H1530" s="7">
        <v>9.6999999999999993</v>
      </c>
      <c r="I1530" s="3"/>
      <c r="L1530" s="3"/>
      <c r="M1530" s="3"/>
      <c r="N1530" s="3"/>
      <c r="O1530" s="3"/>
      <c r="P1530" s="3"/>
      <c r="Q1530" s="3"/>
      <c r="R1530" s="3"/>
      <c r="S1530" s="3"/>
    </row>
    <row r="1531" spans="3:19" ht="15.75" customHeight="1" x14ac:dyDescent="0.2">
      <c r="C1531" s="208">
        <v>41057</v>
      </c>
      <c r="D1531" s="19">
        <v>0.41666666666666669</v>
      </c>
      <c r="E1531" s="3">
        <v>5</v>
      </c>
      <c r="F1531" s="3">
        <v>15.2</v>
      </c>
      <c r="G1531" s="3">
        <v>134.5</v>
      </c>
      <c r="H1531" s="7">
        <v>9.6</v>
      </c>
      <c r="I1531" s="3"/>
      <c r="L1531" s="3"/>
      <c r="M1531" s="3"/>
      <c r="N1531" s="3"/>
      <c r="O1531" s="3"/>
      <c r="P1531" s="3"/>
      <c r="Q1531" s="3"/>
      <c r="R1531" s="3"/>
      <c r="S1531" s="3"/>
    </row>
    <row r="1532" spans="3:19" ht="15.75" customHeight="1" x14ac:dyDescent="0.2">
      <c r="C1532" s="208">
        <v>41057</v>
      </c>
      <c r="D1532" s="19">
        <v>0.41666666666666669</v>
      </c>
      <c r="E1532" s="3">
        <v>6</v>
      </c>
      <c r="F1532" s="3">
        <v>15.8</v>
      </c>
      <c r="G1532" s="3">
        <v>134.30000000000001</v>
      </c>
      <c r="H1532" s="7">
        <v>8.4</v>
      </c>
      <c r="I1532" s="3"/>
      <c r="L1532" s="3"/>
      <c r="M1532" s="3"/>
      <c r="N1532" s="3"/>
      <c r="O1532" s="3"/>
      <c r="P1532" s="3"/>
      <c r="Q1532" s="3"/>
      <c r="R1532" s="3"/>
      <c r="S1532" s="3"/>
    </row>
    <row r="1533" spans="3:19" ht="15.75" customHeight="1" x14ac:dyDescent="0.2">
      <c r="C1533" s="208">
        <v>41057</v>
      </c>
      <c r="D1533" s="19">
        <v>0.41666666666666669</v>
      </c>
      <c r="E1533" s="3">
        <v>7</v>
      </c>
      <c r="F1533" s="3">
        <v>15.6</v>
      </c>
      <c r="G1533" s="3">
        <v>133.80000000000001</v>
      </c>
      <c r="H1533" s="7">
        <v>8.4</v>
      </c>
      <c r="I1533" s="3"/>
      <c r="L1533" s="3"/>
      <c r="M1533" s="3"/>
      <c r="N1533" s="3"/>
      <c r="O1533" s="3"/>
      <c r="P1533" s="3"/>
      <c r="Q1533" s="3"/>
      <c r="R1533" s="3"/>
      <c r="S1533" s="3"/>
    </row>
    <row r="1534" spans="3:19" ht="15.75" customHeight="1" x14ac:dyDescent="0.2">
      <c r="C1534" s="208">
        <v>41057</v>
      </c>
      <c r="D1534" s="19">
        <v>0.41666666666666669</v>
      </c>
      <c r="E1534" s="3">
        <v>8</v>
      </c>
      <c r="F1534" s="3">
        <v>14.8</v>
      </c>
      <c r="G1534" s="3">
        <v>131.9</v>
      </c>
      <c r="H1534" s="7">
        <v>8.4</v>
      </c>
      <c r="I1534" s="3"/>
      <c r="L1534" s="3"/>
      <c r="M1534" s="3"/>
      <c r="N1534" s="3"/>
      <c r="O1534" s="3"/>
      <c r="P1534" s="3"/>
      <c r="Q1534" s="3"/>
      <c r="R1534" s="3"/>
      <c r="S1534" s="3"/>
    </row>
    <row r="1535" spans="3:19" ht="15.75" customHeight="1" x14ac:dyDescent="0.2">
      <c r="C1535" s="208">
        <v>41057</v>
      </c>
      <c r="D1535" s="19">
        <v>0.41666666666666669</v>
      </c>
      <c r="E1535" s="3">
        <v>9</v>
      </c>
      <c r="F1535" s="3">
        <v>15.4</v>
      </c>
      <c r="G1535" s="3">
        <v>132.4</v>
      </c>
      <c r="H1535" s="7">
        <v>8.1999999999999993</v>
      </c>
      <c r="I1535" s="3"/>
      <c r="L1535" s="3"/>
      <c r="M1535" s="3"/>
      <c r="N1535" s="3"/>
      <c r="O1535" s="3"/>
      <c r="P1535" s="3"/>
      <c r="Q1535" s="3"/>
      <c r="R1535" s="3"/>
      <c r="S1535" s="3"/>
    </row>
    <row r="1536" spans="3:19" ht="15.75" customHeight="1" x14ac:dyDescent="0.2">
      <c r="C1536" s="208">
        <v>41057</v>
      </c>
      <c r="D1536" s="19">
        <v>0.41666666666666669</v>
      </c>
      <c r="E1536" s="3">
        <v>10</v>
      </c>
      <c r="F1536" s="3">
        <v>15.8</v>
      </c>
      <c r="G1536" s="3">
        <v>133.69999999999999</v>
      </c>
      <c r="H1536" s="7">
        <v>7.9</v>
      </c>
      <c r="I1536" s="3"/>
      <c r="L1536" s="3"/>
      <c r="M1536" s="3"/>
      <c r="N1536" s="3"/>
      <c r="O1536" s="3"/>
      <c r="P1536" s="3"/>
      <c r="Q1536" s="3"/>
      <c r="R1536" s="3"/>
      <c r="S1536" s="3"/>
    </row>
    <row r="1537" spans="3:19" ht="15.75" customHeight="1" x14ac:dyDescent="0.2">
      <c r="C1537" s="208">
        <v>41057</v>
      </c>
      <c r="D1537" s="19">
        <v>0.41666666666666669</v>
      </c>
      <c r="E1537" s="3">
        <v>11</v>
      </c>
      <c r="F1537" s="3">
        <v>15.9</v>
      </c>
      <c r="G1537" s="3">
        <v>133.9</v>
      </c>
      <c r="H1537" s="7">
        <v>7.8</v>
      </c>
      <c r="I1537" s="3"/>
      <c r="L1537" s="3"/>
      <c r="M1537" s="3"/>
      <c r="N1537" s="3"/>
      <c r="O1537" s="3"/>
      <c r="P1537" s="3"/>
      <c r="Q1537" s="3"/>
      <c r="R1537" s="3"/>
      <c r="S1537" s="3"/>
    </row>
    <row r="1538" spans="3:19" ht="15.75" customHeight="1" x14ac:dyDescent="0.2">
      <c r="C1538" s="208">
        <v>41057</v>
      </c>
      <c r="D1538" s="19">
        <v>0.41666666666666669</v>
      </c>
      <c r="E1538" s="3">
        <v>12</v>
      </c>
      <c r="F1538" s="3">
        <v>15.96</v>
      </c>
      <c r="G1538" s="3">
        <v>133.69999999999999</v>
      </c>
      <c r="H1538" s="7">
        <v>7.7</v>
      </c>
      <c r="I1538" s="3"/>
      <c r="L1538" s="3"/>
      <c r="M1538" s="3"/>
      <c r="N1538" s="3"/>
      <c r="O1538" s="3"/>
      <c r="P1538" s="3"/>
      <c r="Q1538" s="3"/>
      <c r="R1538" s="3"/>
      <c r="S1538" s="3"/>
    </row>
    <row r="1539" spans="3:19" ht="15.75" customHeight="1" x14ac:dyDescent="0.2">
      <c r="C1539" s="208">
        <v>41057</v>
      </c>
      <c r="D1539" s="19">
        <v>0.41666666666666669</v>
      </c>
      <c r="E1539" s="3">
        <v>13</v>
      </c>
      <c r="F1539" s="3">
        <v>16</v>
      </c>
      <c r="G1539" s="3">
        <v>133.5</v>
      </c>
      <c r="H1539" s="7">
        <v>7.7</v>
      </c>
      <c r="I1539" s="3"/>
      <c r="L1539" s="3"/>
      <c r="M1539" s="3"/>
      <c r="N1539" s="3"/>
      <c r="O1539" s="3"/>
      <c r="P1539" s="3"/>
      <c r="Q1539" s="3"/>
      <c r="R1539" s="3"/>
      <c r="S1539" s="3"/>
    </row>
    <row r="1540" spans="3:19" ht="15.75" customHeight="1" x14ac:dyDescent="0.2">
      <c r="C1540" s="208">
        <v>41057</v>
      </c>
      <c r="D1540" s="19">
        <v>0.41666666666666669</v>
      </c>
      <c r="E1540" s="3">
        <v>14</v>
      </c>
      <c r="F1540" s="3">
        <v>16.170000000000002</v>
      </c>
      <c r="G1540" s="3">
        <v>133.30000000000001</v>
      </c>
      <c r="H1540" s="7">
        <v>7.2</v>
      </c>
      <c r="I1540" s="3"/>
      <c r="L1540" s="3"/>
      <c r="M1540" s="3"/>
      <c r="N1540" s="3"/>
      <c r="O1540" s="3"/>
      <c r="P1540" s="3"/>
      <c r="Q1540" s="3"/>
      <c r="R1540" s="3"/>
      <c r="S1540" s="3"/>
    </row>
    <row r="1541" spans="3:19" ht="15.75" customHeight="1" x14ac:dyDescent="0.2">
      <c r="C1541" s="208">
        <v>41057</v>
      </c>
      <c r="D1541" s="19">
        <v>0.41666666666666669</v>
      </c>
      <c r="E1541" s="3">
        <v>15</v>
      </c>
      <c r="F1541" s="3">
        <v>16.2</v>
      </c>
      <c r="G1541" s="3">
        <v>133.30000000000001</v>
      </c>
      <c r="H1541" s="7">
        <v>6.9</v>
      </c>
      <c r="I1541" s="3"/>
      <c r="L1541" s="3"/>
      <c r="M1541" s="3"/>
      <c r="N1541" s="3"/>
      <c r="O1541" s="3"/>
      <c r="P1541" s="3"/>
      <c r="Q1541" s="3"/>
      <c r="R1541" s="3"/>
      <c r="S1541" s="3"/>
    </row>
    <row r="1542" spans="3:19" ht="15.75" customHeight="1" x14ac:dyDescent="0.2">
      <c r="C1542" s="208">
        <v>41057</v>
      </c>
      <c r="D1542" s="19">
        <v>0.41666666666666669</v>
      </c>
      <c r="E1542" s="3">
        <v>16</v>
      </c>
      <c r="F1542" s="3">
        <v>16.2</v>
      </c>
      <c r="G1542" s="3">
        <v>133</v>
      </c>
      <c r="H1542" s="7">
        <v>6.8</v>
      </c>
      <c r="I1542" s="3"/>
      <c r="L1542" s="3"/>
      <c r="M1542" s="3"/>
      <c r="N1542" s="3"/>
      <c r="O1542" s="3"/>
      <c r="P1542" s="3"/>
      <c r="Q1542" s="3"/>
      <c r="R1542" s="3"/>
      <c r="S1542" s="3"/>
    </row>
    <row r="1543" spans="3:19" ht="15.75" customHeight="1" x14ac:dyDescent="0.2">
      <c r="C1543" s="208">
        <v>41057</v>
      </c>
      <c r="D1543" s="19">
        <v>0.41666666666666669</v>
      </c>
      <c r="E1543" s="3">
        <v>17</v>
      </c>
      <c r="F1543" s="3">
        <v>16.18</v>
      </c>
      <c r="G1543" s="3">
        <v>132.9</v>
      </c>
      <c r="H1543" s="7">
        <v>6.9</v>
      </c>
      <c r="I1543" s="3"/>
      <c r="L1543" s="3"/>
      <c r="M1543" s="3"/>
      <c r="N1543" s="3"/>
      <c r="O1543" s="3"/>
      <c r="P1543" s="3"/>
      <c r="Q1543" s="3"/>
      <c r="R1543" s="3"/>
      <c r="S1543" s="3"/>
    </row>
    <row r="1544" spans="3:19" ht="15.75" customHeight="1" x14ac:dyDescent="0.2">
      <c r="C1544" s="208">
        <v>41057</v>
      </c>
      <c r="D1544" s="19">
        <v>0.41666666666666669</v>
      </c>
      <c r="E1544" s="3">
        <v>18</v>
      </c>
      <c r="F1544" s="3">
        <v>16.18</v>
      </c>
      <c r="G1544" s="3">
        <v>132.6</v>
      </c>
      <c r="H1544" s="7">
        <v>6.8</v>
      </c>
      <c r="I1544" s="3"/>
      <c r="L1544" s="3"/>
      <c r="M1544" s="3"/>
      <c r="N1544" s="3"/>
      <c r="O1544" s="3"/>
      <c r="P1544" s="3"/>
      <c r="Q1544" s="3"/>
      <c r="R1544" s="3"/>
      <c r="S1544" s="3"/>
    </row>
    <row r="1545" spans="3:19" ht="15.75" customHeight="1" x14ac:dyDescent="0.2">
      <c r="C1545" s="208">
        <v>41057</v>
      </c>
      <c r="D1545" s="19">
        <v>0.41666666666666669</v>
      </c>
      <c r="E1545" s="3">
        <v>19</v>
      </c>
      <c r="F1545" s="3">
        <v>16.2</v>
      </c>
      <c r="G1545" s="3">
        <v>132.19999999999999</v>
      </c>
      <c r="H1545" s="7">
        <v>6.8</v>
      </c>
      <c r="I1545" s="3"/>
      <c r="L1545" s="3"/>
      <c r="M1545" s="3"/>
      <c r="N1545" s="3"/>
      <c r="O1545" s="3"/>
      <c r="P1545" s="3"/>
      <c r="Q1545" s="3"/>
      <c r="R1545" s="3"/>
      <c r="S1545" s="3"/>
    </row>
    <row r="1546" spans="3:19" ht="15.75" customHeight="1" x14ac:dyDescent="0.2">
      <c r="C1546" s="208">
        <v>41057</v>
      </c>
      <c r="D1546" s="19">
        <v>0.41666666666666669</v>
      </c>
      <c r="E1546" s="3">
        <v>20</v>
      </c>
      <c r="F1546" s="3">
        <v>16.23</v>
      </c>
      <c r="G1546" s="3">
        <v>131.5</v>
      </c>
      <c r="H1546" s="7">
        <v>6.4</v>
      </c>
      <c r="I1546" s="3"/>
      <c r="L1546" s="3"/>
      <c r="M1546" s="3"/>
      <c r="N1546" s="3"/>
      <c r="O1546" s="3"/>
      <c r="P1546" s="3"/>
      <c r="Q1546" s="3"/>
      <c r="R1546" s="3"/>
      <c r="S1546" s="3"/>
    </row>
    <row r="1547" spans="3:19" ht="15.75" customHeight="1" x14ac:dyDescent="0.2">
      <c r="C1547" s="208">
        <v>41057</v>
      </c>
      <c r="D1547" s="19">
        <v>0.41666666666666669</v>
      </c>
      <c r="E1547" s="3">
        <v>21</v>
      </c>
      <c r="F1547" s="3">
        <v>16.13</v>
      </c>
      <c r="G1547" s="3">
        <v>130.9</v>
      </c>
      <c r="H1547" s="7">
        <v>6.3</v>
      </c>
      <c r="I1547" s="3"/>
      <c r="L1547" s="3"/>
      <c r="M1547" s="3"/>
      <c r="N1547" s="3"/>
      <c r="O1547" s="3"/>
      <c r="P1547" s="3"/>
      <c r="Q1547" s="3"/>
      <c r="R1547" s="3"/>
      <c r="S1547" s="3"/>
    </row>
    <row r="1548" spans="3:19" ht="15.75" customHeight="1" x14ac:dyDescent="0.2">
      <c r="C1548" s="208">
        <v>41057</v>
      </c>
      <c r="D1548" s="19">
        <v>0.41666666666666669</v>
      </c>
      <c r="E1548" s="3">
        <v>22</v>
      </c>
      <c r="F1548" s="3">
        <v>16.12</v>
      </c>
      <c r="G1548" s="3">
        <v>130.5</v>
      </c>
      <c r="H1548" s="7">
        <v>6.3</v>
      </c>
      <c r="I1548" s="3"/>
      <c r="L1548" s="3"/>
      <c r="M1548" s="3"/>
      <c r="N1548" s="3"/>
      <c r="O1548" s="3"/>
      <c r="P1548" s="3"/>
      <c r="Q1548" s="3"/>
      <c r="R1548" s="3"/>
      <c r="S1548" s="3"/>
    </row>
    <row r="1549" spans="3:19" ht="15.75" customHeight="1" x14ac:dyDescent="0.2">
      <c r="C1549" s="208">
        <v>41057</v>
      </c>
      <c r="D1549" s="19">
        <v>0.41666666666666669</v>
      </c>
      <c r="E1549" s="3">
        <v>23</v>
      </c>
      <c r="F1549" s="3">
        <v>16.13</v>
      </c>
      <c r="G1549" s="3">
        <v>130.6</v>
      </c>
      <c r="H1549" s="7">
        <v>6.2</v>
      </c>
      <c r="I1549" s="3"/>
      <c r="L1549" s="3"/>
      <c r="M1549" s="3"/>
      <c r="N1549" s="3"/>
      <c r="O1549" s="3"/>
      <c r="P1549" s="3"/>
      <c r="Q1549" s="3"/>
      <c r="R1549" s="3"/>
      <c r="S1549" s="3"/>
    </row>
    <row r="1550" spans="3:19" ht="15.75" customHeight="1" x14ac:dyDescent="0.2">
      <c r="C1550" s="208">
        <v>41057</v>
      </c>
      <c r="D1550" s="19">
        <v>0.41666666666666669</v>
      </c>
      <c r="E1550" s="3">
        <v>24</v>
      </c>
      <c r="F1550" s="3">
        <v>16.2</v>
      </c>
      <c r="G1550" s="3">
        <v>130.1</v>
      </c>
      <c r="H1550" s="7">
        <v>6.1</v>
      </c>
      <c r="I1550" s="3"/>
      <c r="L1550" s="3"/>
      <c r="M1550" s="3"/>
      <c r="N1550" s="3"/>
      <c r="O1550" s="3"/>
      <c r="P1550" s="3"/>
      <c r="Q1550" s="3"/>
      <c r="R1550" s="3"/>
      <c r="S1550" s="3"/>
    </row>
    <row r="1551" spans="3:19" ht="15.75" customHeight="1" x14ac:dyDescent="0.2">
      <c r="C1551" s="208">
        <v>41057</v>
      </c>
      <c r="D1551" s="19">
        <v>0.41666666666666669</v>
      </c>
      <c r="E1551" s="3">
        <v>25</v>
      </c>
      <c r="F1551" s="3">
        <v>16.149999999999999</v>
      </c>
      <c r="G1551" s="3">
        <v>129.9</v>
      </c>
      <c r="H1551" s="7">
        <v>6.1</v>
      </c>
      <c r="I1551" s="3"/>
      <c r="L1551" s="3"/>
      <c r="M1551" s="3"/>
      <c r="N1551" s="3"/>
      <c r="O1551" s="3"/>
      <c r="P1551" s="3"/>
      <c r="Q1551" s="3"/>
      <c r="R1551" s="3"/>
      <c r="S1551" s="3"/>
    </row>
    <row r="1552" spans="3:19" ht="15.75" customHeight="1" x14ac:dyDescent="0.2">
      <c r="C1552" s="208"/>
      <c r="D1552" s="19"/>
      <c r="E1552" s="3"/>
      <c r="F1552" s="3"/>
      <c r="G1552" s="3"/>
      <c r="H1552" s="7"/>
      <c r="I1552" s="3"/>
      <c r="L1552" s="3"/>
      <c r="M1552" s="3"/>
      <c r="N1552" s="3"/>
      <c r="O1552" s="3"/>
      <c r="P1552" s="3"/>
      <c r="Q1552" s="3"/>
      <c r="R1552" s="3"/>
      <c r="S1552" s="3"/>
    </row>
    <row r="1553" spans="3:19" ht="15.75" customHeight="1" x14ac:dyDescent="0.2">
      <c r="C1553" s="208">
        <v>41080</v>
      </c>
      <c r="D1553" s="19">
        <v>0.41666666666666669</v>
      </c>
      <c r="E1553" s="3"/>
      <c r="F1553" s="3"/>
      <c r="G1553" s="3"/>
      <c r="H1553" s="7"/>
      <c r="I1553" s="3"/>
      <c r="J1553">
        <v>6</v>
      </c>
      <c r="K1553">
        <v>7</v>
      </c>
      <c r="L1553" s="3"/>
      <c r="M1553" s="3"/>
      <c r="N1553" s="3"/>
      <c r="O1553" s="3"/>
      <c r="P1553" s="3"/>
      <c r="Q1553" s="3"/>
      <c r="R1553" s="3"/>
      <c r="S1553" s="3"/>
    </row>
    <row r="1554" spans="3:19" ht="15.75" customHeight="1" x14ac:dyDescent="0.2">
      <c r="C1554" s="208">
        <v>41080</v>
      </c>
      <c r="D1554" s="19">
        <v>0.41666666666666669</v>
      </c>
      <c r="E1554" s="3">
        <v>0.1</v>
      </c>
      <c r="F1554" s="3">
        <v>10.7</v>
      </c>
      <c r="G1554" s="3">
        <v>100.2</v>
      </c>
      <c r="H1554" s="7">
        <v>12.7</v>
      </c>
      <c r="I1554" s="3"/>
      <c r="L1554" s="3"/>
      <c r="M1554" s="3"/>
      <c r="N1554" s="3"/>
      <c r="O1554" s="3"/>
      <c r="P1554" s="3"/>
      <c r="Q1554" s="3"/>
      <c r="R1554" s="3"/>
      <c r="S1554" s="3"/>
    </row>
    <row r="1555" spans="3:19" ht="15.75" customHeight="1" x14ac:dyDescent="0.2">
      <c r="C1555" s="208">
        <v>41080</v>
      </c>
      <c r="D1555" s="19">
        <v>0.41666666666666669</v>
      </c>
      <c r="E1555" s="3">
        <v>1</v>
      </c>
      <c r="F1555" s="3">
        <v>10.9</v>
      </c>
      <c r="G1555" s="3">
        <v>102.3</v>
      </c>
      <c r="H1555" s="7">
        <v>12.3</v>
      </c>
      <c r="I1555" s="3"/>
      <c r="L1555" s="3"/>
      <c r="M1555" s="3"/>
      <c r="N1555" s="3"/>
      <c r="O1555" s="3"/>
      <c r="P1555" s="3"/>
      <c r="Q1555" s="3"/>
      <c r="R1555" s="3"/>
      <c r="S1555" s="3"/>
    </row>
    <row r="1556" spans="3:19" ht="15.75" customHeight="1" x14ac:dyDescent="0.2">
      <c r="C1556" s="208">
        <v>41080</v>
      </c>
      <c r="D1556" s="19">
        <v>0.41666666666666669</v>
      </c>
      <c r="E1556" s="3">
        <v>2</v>
      </c>
      <c r="F1556" s="3">
        <v>10.7</v>
      </c>
      <c r="G1556" s="3">
        <v>101</v>
      </c>
      <c r="H1556" s="7">
        <v>12.1</v>
      </c>
      <c r="I1556" s="3"/>
      <c r="L1556" s="3"/>
      <c r="M1556" s="3"/>
      <c r="N1556" s="3"/>
      <c r="O1556" s="3"/>
      <c r="P1556" s="3"/>
      <c r="Q1556" s="3"/>
      <c r="R1556" s="3"/>
      <c r="S1556" s="3"/>
    </row>
    <row r="1557" spans="3:19" ht="15.75" customHeight="1" x14ac:dyDescent="0.2">
      <c r="C1557" s="208">
        <v>41080</v>
      </c>
      <c r="D1557" s="19">
        <v>0.41666666666666669</v>
      </c>
      <c r="E1557" s="3">
        <v>3</v>
      </c>
      <c r="F1557" s="3">
        <v>10.8</v>
      </c>
      <c r="G1557" s="3">
        <v>101</v>
      </c>
      <c r="H1557" s="7">
        <v>12</v>
      </c>
      <c r="I1557" s="3"/>
      <c r="L1557" s="3"/>
      <c r="M1557" s="3"/>
      <c r="N1557" s="3"/>
      <c r="O1557" s="3"/>
      <c r="P1557" s="3"/>
      <c r="Q1557" s="3"/>
      <c r="R1557" s="3"/>
      <c r="S1557" s="3"/>
    </row>
    <row r="1558" spans="3:19" ht="15.75" customHeight="1" x14ac:dyDescent="0.2">
      <c r="C1558" s="208">
        <v>41080</v>
      </c>
      <c r="D1558" s="19">
        <v>0.41666666666666669</v>
      </c>
      <c r="E1558" s="3">
        <v>4</v>
      </c>
      <c r="F1558" s="3">
        <v>10.5</v>
      </c>
      <c r="G1558" s="3">
        <v>100</v>
      </c>
      <c r="H1558" s="7">
        <v>12</v>
      </c>
      <c r="I1558" s="3"/>
      <c r="L1558" s="3"/>
      <c r="M1558" s="3"/>
      <c r="N1558" s="3"/>
      <c r="O1558" s="3"/>
      <c r="P1558" s="3"/>
      <c r="Q1558" s="3"/>
      <c r="R1558" s="3"/>
      <c r="S1558" s="3"/>
    </row>
    <row r="1559" spans="3:19" ht="15.75" customHeight="1" x14ac:dyDescent="0.2">
      <c r="C1559" s="208">
        <v>41080</v>
      </c>
      <c r="D1559" s="19">
        <v>0.41666666666666669</v>
      </c>
      <c r="E1559" s="3">
        <v>5</v>
      </c>
      <c r="F1559" s="3">
        <v>10.7</v>
      </c>
      <c r="G1559" s="3">
        <v>99.7</v>
      </c>
      <c r="H1559" s="7">
        <v>11.9</v>
      </c>
      <c r="I1559" s="3"/>
      <c r="L1559" s="3"/>
      <c r="M1559" s="3"/>
      <c r="N1559" s="3"/>
      <c r="O1559" s="3"/>
      <c r="P1559" s="3"/>
      <c r="Q1559" s="3"/>
      <c r="R1559" s="3"/>
      <c r="S1559" s="3"/>
    </row>
    <row r="1560" spans="3:19" ht="15.75" customHeight="1" x14ac:dyDescent="0.2">
      <c r="C1560" s="208">
        <v>41080</v>
      </c>
      <c r="D1560" s="19">
        <v>0.41666666666666669</v>
      </c>
      <c r="E1560" s="3">
        <v>6</v>
      </c>
      <c r="F1560" s="3">
        <v>10.7</v>
      </c>
      <c r="G1560" s="3">
        <v>99.8</v>
      </c>
      <c r="H1560" s="7">
        <v>11.8</v>
      </c>
      <c r="I1560" s="3"/>
      <c r="L1560" s="3"/>
      <c r="M1560" s="3"/>
      <c r="N1560" s="3"/>
      <c r="O1560" s="3"/>
      <c r="P1560" s="3"/>
      <c r="Q1560" s="3"/>
      <c r="R1560" s="3"/>
      <c r="S1560" s="3"/>
    </row>
    <row r="1561" spans="3:19" ht="15.75" customHeight="1" x14ac:dyDescent="0.2">
      <c r="C1561" s="208">
        <v>41080</v>
      </c>
      <c r="D1561" s="19">
        <v>0.41666666666666669</v>
      </c>
      <c r="E1561" s="3">
        <v>7</v>
      </c>
      <c r="F1561" s="3">
        <v>10.5</v>
      </c>
      <c r="G1561" s="3">
        <v>99.2</v>
      </c>
      <c r="H1561" s="7">
        <v>11.8</v>
      </c>
      <c r="I1561" s="3"/>
      <c r="L1561" s="3"/>
      <c r="M1561" s="3"/>
      <c r="N1561" s="3"/>
      <c r="O1561" s="3"/>
      <c r="P1561" s="3"/>
      <c r="Q1561" s="3"/>
      <c r="R1561" s="3"/>
      <c r="S1561" s="3"/>
    </row>
    <row r="1562" spans="3:19" ht="15.75" customHeight="1" x14ac:dyDescent="0.2">
      <c r="C1562" s="208">
        <v>41080</v>
      </c>
      <c r="D1562" s="19">
        <v>0.41666666666666669</v>
      </c>
      <c r="E1562" s="3">
        <v>8</v>
      </c>
      <c r="F1562" s="3">
        <v>10.6</v>
      </c>
      <c r="G1562" s="3">
        <v>99.5</v>
      </c>
      <c r="H1562" s="7">
        <v>11.8</v>
      </c>
      <c r="I1562" s="3"/>
      <c r="L1562" s="3"/>
      <c r="M1562" s="3"/>
      <c r="N1562" s="3"/>
      <c r="O1562" s="3"/>
      <c r="P1562" s="3"/>
      <c r="Q1562" s="3"/>
      <c r="R1562" s="3"/>
      <c r="S1562" s="3"/>
    </row>
    <row r="1563" spans="3:19" ht="15.75" customHeight="1" x14ac:dyDescent="0.2">
      <c r="C1563" s="208">
        <v>41080</v>
      </c>
      <c r="D1563" s="19">
        <v>0.41666666666666669</v>
      </c>
      <c r="E1563" s="3">
        <v>9</v>
      </c>
      <c r="F1563" s="3">
        <v>10.7</v>
      </c>
      <c r="G1563" s="3">
        <v>99.8</v>
      </c>
      <c r="H1563" s="7">
        <v>11.7</v>
      </c>
      <c r="I1563" s="3"/>
      <c r="L1563" s="3"/>
      <c r="M1563" s="3"/>
      <c r="N1563" s="3"/>
      <c r="O1563" s="3"/>
      <c r="P1563" s="3"/>
      <c r="Q1563" s="3"/>
      <c r="R1563" s="3"/>
      <c r="S1563" s="3"/>
    </row>
    <row r="1564" spans="3:19" ht="15.75" customHeight="1" x14ac:dyDescent="0.2">
      <c r="C1564" s="208">
        <v>41080</v>
      </c>
      <c r="D1564" s="19">
        <v>0.41666666666666669</v>
      </c>
      <c r="E1564" s="3">
        <v>10</v>
      </c>
      <c r="F1564" s="3">
        <v>10.5</v>
      </c>
      <c r="G1564" s="3">
        <v>98.1</v>
      </c>
      <c r="H1564" s="7">
        <v>11.7</v>
      </c>
      <c r="I1564" s="3"/>
      <c r="L1564" s="3"/>
      <c r="M1564" s="3"/>
      <c r="N1564" s="3"/>
      <c r="O1564" s="3"/>
      <c r="P1564" s="3"/>
      <c r="Q1564" s="3"/>
      <c r="R1564" s="3"/>
      <c r="S1564" s="3"/>
    </row>
    <row r="1565" spans="3:19" ht="15.75" customHeight="1" x14ac:dyDescent="0.2">
      <c r="C1565" s="208">
        <v>41080</v>
      </c>
      <c r="D1565" s="19">
        <v>0.41666666666666669</v>
      </c>
      <c r="E1565" s="3">
        <v>11</v>
      </c>
      <c r="F1565" s="3">
        <v>10.6</v>
      </c>
      <c r="G1565" s="3">
        <v>99.5</v>
      </c>
      <c r="H1565" s="7">
        <v>11.7</v>
      </c>
      <c r="I1565" s="3"/>
      <c r="L1565" s="3"/>
      <c r="M1565" s="3"/>
      <c r="N1565" s="3"/>
      <c r="O1565" s="3"/>
      <c r="P1565" s="3"/>
      <c r="Q1565" s="3"/>
      <c r="R1565" s="3"/>
      <c r="S1565" s="3"/>
    </row>
    <row r="1566" spans="3:19" ht="15.75" customHeight="1" x14ac:dyDescent="0.2">
      <c r="C1566" s="208">
        <v>41080</v>
      </c>
      <c r="D1566" s="19">
        <v>0.41666666666666669</v>
      </c>
      <c r="E1566" s="3">
        <v>12</v>
      </c>
      <c r="F1566" s="3">
        <v>10.6</v>
      </c>
      <c r="G1566" s="3">
        <v>97.5</v>
      </c>
      <c r="H1566" s="7">
        <v>11.6</v>
      </c>
      <c r="I1566" s="3"/>
      <c r="L1566" s="3"/>
      <c r="M1566" s="3"/>
      <c r="N1566" s="3"/>
      <c r="O1566" s="3"/>
      <c r="P1566" s="3"/>
      <c r="Q1566" s="3"/>
      <c r="R1566" s="3"/>
      <c r="S1566" s="3"/>
    </row>
    <row r="1567" spans="3:19" ht="15.75" customHeight="1" x14ac:dyDescent="0.2">
      <c r="C1567" s="208">
        <v>41080</v>
      </c>
      <c r="D1567" s="19">
        <v>0.41666666666666669</v>
      </c>
      <c r="E1567" s="3">
        <v>13</v>
      </c>
      <c r="F1567" s="3">
        <v>10.6</v>
      </c>
      <c r="G1567" s="3">
        <v>97.5</v>
      </c>
      <c r="H1567" s="7">
        <v>11.6</v>
      </c>
      <c r="I1567" s="3"/>
      <c r="L1567" s="3"/>
      <c r="M1567" s="3"/>
      <c r="N1567" s="3"/>
      <c r="O1567" s="3"/>
      <c r="P1567" s="3"/>
      <c r="Q1567" s="3"/>
      <c r="R1567" s="3"/>
      <c r="S1567" s="3"/>
    </row>
    <row r="1568" spans="3:19" ht="15.75" customHeight="1" x14ac:dyDescent="0.2">
      <c r="C1568" s="208">
        <v>41080</v>
      </c>
      <c r="D1568" s="19">
        <v>0.41666666666666669</v>
      </c>
      <c r="E1568" s="3">
        <v>14</v>
      </c>
      <c r="F1568" s="3">
        <v>10.5</v>
      </c>
      <c r="G1568" s="3">
        <v>97</v>
      </c>
      <c r="H1568" s="7">
        <v>11.5</v>
      </c>
      <c r="I1568" s="3"/>
      <c r="L1568" s="3"/>
      <c r="M1568" s="3"/>
      <c r="N1568" s="3"/>
      <c r="O1568" s="3"/>
      <c r="P1568" s="3"/>
      <c r="Q1568" s="3"/>
      <c r="R1568" s="3"/>
      <c r="S1568" s="3"/>
    </row>
    <row r="1569" spans="3:19" ht="15.75" customHeight="1" x14ac:dyDescent="0.2">
      <c r="C1569" s="208">
        <v>41080</v>
      </c>
      <c r="D1569" s="19">
        <v>0.41666666666666669</v>
      </c>
      <c r="E1569" s="3">
        <v>15</v>
      </c>
      <c r="F1569" s="3">
        <v>10.7</v>
      </c>
      <c r="G1569" s="3">
        <v>98</v>
      </c>
      <c r="H1569" s="7">
        <v>11.4</v>
      </c>
      <c r="I1569" s="3"/>
      <c r="L1569" s="3"/>
      <c r="M1569" s="3"/>
      <c r="N1569" s="3"/>
      <c r="O1569" s="3"/>
      <c r="P1569" s="3"/>
      <c r="Q1569" s="3"/>
      <c r="R1569" s="3"/>
      <c r="S1569" s="3"/>
    </row>
    <row r="1570" spans="3:19" ht="15.75" customHeight="1" x14ac:dyDescent="0.2">
      <c r="C1570" s="208">
        <v>41080</v>
      </c>
      <c r="D1570" s="19">
        <v>0.41666666666666669</v>
      </c>
      <c r="E1570" s="3">
        <v>16</v>
      </c>
      <c r="F1570" s="3">
        <v>10.8</v>
      </c>
      <c r="G1570" s="3">
        <v>98</v>
      </c>
      <c r="H1570" s="7">
        <v>10.9</v>
      </c>
      <c r="I1570" s="3"/>
      <c r="L1570" s="3"/>
      <c r="M1570" s="3"/>
      <c r="N1570" s="3"/>
      <c r="O1570" s="3"/>
      <c r="P1570" s="3"/>
      <c r="Q1570" s="3"/>
      <c r="R1570" s="3"/>
      <c r="S1570" s="3"/>
    </row>
    <row r="1571" spans="3:19" ht="15.75" customHeight="1" x14ac:dyDescent="0.2">
      <c r="C1571" s="208">
        <v>41080</v>
      </c>
      <c r="D1571" s="19">
        <v>0.41666666666666669</v>
      </c>
      <c r="E1571" s="3">
        <v>17</v>
      </c>
      <c r="F1571" s="3">
        <v>11</v>
      </c>
      <c r="G1571" s="3">
        <v>97.5</v>
      </c>
      <c r="H1571" s="7">
        <v>10.199999999999999</v>
      </c>
      <c r="I1571" s="3"/>
      <c r="L1571" s="3"/>
      <c r="M1571" s="3"/>
      <c r="N1571" s="3"/>
      <c r="O1571" s="3"/>
      <c r="P1571" s="3"/>
      <c r="Q1571" s="3"/>
      <c r="R1571" s="3"/>
      <c r="S1571" s="3"/>
    </row>
    <row r="1572" spans="3:19" ht="15.75" customHeight="1" x14ac:dyDescent="0.2">
      <c r="C1572" s="208">
        <v>41080</v>
      </c>
      <c r="D1572" s="19">
        <v>0.41666666666666669</v>
      </c>
      <c r="E1572" s="3">
        <v>18</v>
      </c>
      <c r="F1572" s="3">
        <v>11.1</v>
      </c>
      <c r="G1572" s="3">
        <v>96</v>
      </c>
      <c r="H1572" s="7">
        <v>10</v>
      </c>
      <c r="I1572" s="3"/>
      <c r="L1572" s="3"/>
      <c r="M1572" s="3"/>
      <c r="N1572" s="3"/>
      <c r="O1572" s="3"/>
      <c r="P1572" s="3"/>
      <c r="Q1572" s="3"/>
      <c r="R1572" s="3"/>
      <c r="S1572" s="3"/>
    </row>
    <row r="1573" spans="3:19" ht="15.75" customHeight="1" x14ac:dyDescent="0.2">
      <c r="C1573" s="208">
        <v>41080</v>
      </c>
      <c r="D1573" s="19">
        <v>0.41666666666666669</v>
      </c>
      <c r="E1573" s="3">
        <v>19</v>
      </c>
      <c r="F1573" s="3">
        <v>11.2</v>
      </c>
      <c r="G1573" s="3">
        <v>95.5</v>
      </c>
      <c r="H1573" s="7">
        <v>9.1</v>
      </c>
      <c r="I1573" s="3"/>
      <c r="L1573" s="3"/>
      <c r="M1573" s="3"/>
      <c r="N1573" s="3"/>
      <c r="O1573" s="3"/>
      <c r="P1573" s="3"/>
      <c r="Q1573" s="3"/>
      <c r="R1573" s="3"/>
      <c r="S1573" s="3"/>
    </row>
    <row r="1574" spans="3:19" ht="15.75" customHeight="1" x14ac:dyDescent="0.2">
      <c r="C1574" s="208">
        <v>41080</v>
      </c>
      <c r="D1574" s="19">
        <v>0.41666666666666669</v>
      </c>
      <c r="E1574" s="3">
        <v>20</v>
      </c>
      <c r="F1574" s="3">
        <v>11.1</v>
      </c>
      <c r="G1574" s="3">
        <v>95</v>
      </c>
      <c r="H1574" s="7">
        <v>8.5</v>
      </c>
      <c r="I1574" s="3"/>
      <c r="L1574" s="3"/>
      <c r="M1574" s="3"/>
      <c r="N1574" s="3"/>
      <c r="O1574" s="3"/>
      <c r="P1574" s="3"/>
      <c r="Q1574" s="3"/>
      <c r="R1574" s="3"/>
      <c r="S1574" s="3"/>
    </row>
    <row r="1575" spans="3:19" ht="15.75" customHeight="1" x14ac:dyDescent="0.2">
      <c r="C1575" s="208">
        <v>41080</v>
      </c>
      <c r="D1575" s="19">
        <v>0.41666666666666669</v>
      </c>
      <c r="E1575" s="3">
        <v>21</v>
      </c>
      <c r="F1575" s="3">
        <v>11.3</v>
      </c>
      <c r="G1575" s="3">
        <v>94.5</v>
      </c>
      <c r="H1575" s="7">
        <v>8.1999999999999993</v>
      </c>
      <c r="I1575" s="3"/>
      <c r="L1575" s="3"/>
      <c r="M1575" s="3"/>
      <c r="N1575" s="3"/>
      <c r="O1575" s="3"/>
      <c r="P1575" s="3"/>
      <c r="Q1575" s="3"/>
      <c r="R1575" s="3"/>
      <c r="S1575" s="3"/>
    </row>
    <row r="1576" spans="3:19" ht="15.75" customHeight="1" x14ac:dyDescent="0.2">
      <c r="C1576" s="208">
        <v>41080</v>
      </c>
      <c r="D1576" s="19">
        <v>0.41666666666666669</v>
      </c>
      <c r="E1576" s="3">
        <v>22</v>
      </c>
      <c r="F1576" s="3">
        <v>11.3</v>
      </c>
      <c r="G1576" s="3">
        <v>94.5</v>
      </c>
      <c r="H1576" s="7">
        <v>7.9</v>
      </c>
      <c r="I1576" s="3"/>
      <c r="L1576" s="3"/>
      <c r="M1576" s="3"/>
      <c r="N1576" s="3"/>
      <c r="O1576" s="3"/>
      <c r="P1576" s="3"/>
      <c r="Q1576" s="3"/>
      <c r="R1576" s="3"/>
      <c r="S1576" s="3"/>
    </row>
    <row r="1577" spans="3:19" ht="15.75" customHeight="1" x14ac:dyDescent="0.2">
      <c r="C1577" s="208">
        <v>41080</v>
      </c>
      <c r="D1577" s="19">
        <v>0.41666666666666669</v>
      </c>
      <c r="E1577" s="3">
        <v>23</v>
      </c>
      <c r="F1577" s="3">
        <v>11.5</v>
      </c>
      <c r="G1577" s="3">
        <v>95.1</v>
      </c>
      <c r="H1577" s="7">
        <v>7.3</v>
      </c>
      <c r="I1577" s="3"/>
      <c r="L1577" s="3"/>
      <c r="M1577" s="3"/>
      <c r="N1577" s="3"/>
      <c r="O1577" s="3"/>
      <c r="P1577" s="3"/>
      <c r="Q1577" s="3"/>
      <c r="R1577" s="3"/>
      <c r="S1577" s="3"/>
    </row>
    <row r="1578" spans="3:19" ht="15.75" customHeight="1" x14ac:dyDescent="0.2">
      <c r="C1578" s="208">
        <v>41080</v>
      </c>
      <c r="D1578" s="19">
        <v>0.41666666666666669</v>
      </c>
      <c r="E1578" s="3">
        <v>24</v>
      </c>
      <c r="F1578" s="3">
        <v>11.6</v>
      </c>
      <c r="G1578" s="3">
        <v>94</v>
      </c>
      <c r="H1578" s="7">
        <v>6.9</v>
      </c>
      <c r="I1578" s="3"/>
      <c r="L1578" s="3"/>
      <c r="M1578" s="3"/>
      <c r="N1578" s="3"/>
      <c r="O1578" s="3"/>
      <c r="P1578" s="3"/>
      <c r="Q1578" s="3"/>
      <c r="R1578" s="3"/>
      <c r="S1578" s="3"/>
    </row>
    <row r="1579" spans="3:19" ht="15.75" customHeight="1" x14ac:dyDescent="0.2">
      <c r="C1579" s="208">
        <v>41080</v>
      </c>
      <c r="D1579" s="19">
        <v>0.41666666666666669</v>
      </c>
      <c r="E1579" s="3">
        <v>25</v>
      </c>
      <c r="F1579" s="3">
        <v>11.5</v>
      </c>
      <c r="G1579" s="3">
        <v>93.5</v>
      </c>
      <c r="H1579" s="7">
        <v>6.8</v>
      </c>
      <c r="I1579" s="3"/>
      <c r="L1579" s="3"/>
      <c r="M1579" s="3"/>
      <c r="N1579" s="3"/>
      <c r="O1579" s="3"/>
      <c r="P1579" s="3"/>
      <c r="Q1579" s="3"/>
      <c r="R1579" s="3"/>
      <c r="S1579" s="3"/>
    </row>
    <row r="1580" spans="3:19" ht="15.75" customHeight="1" x14ac:dyDescent="0.2">
      <c r="C1580" s="208"/>
      <c r="D1580" s="19"/>
      <c r="E1580" s="3"/>
      <c r="F1580" s="3"/>
      <c r="G1580" s="3"/>
      <c r="H1580" s="7"/>
      <c r="I1580" s="3"/>
      <c r="L1580" s="3"/>
      <c r="M1580" s="3"/>
      <c r="N1580" s="3"/>
      <c r="O1580" s="3"/>
      <c r="P1580" s="3"/>
      <c r="Q1580" s="3"/>
      <c r="R1580" s="3"/>
      <c r="S1580" s="3"/>
    </row>
    <row r="1581" spans="3:19" ht="15.75" customHeight="1" x14ac:dyDescent="0.2">
      <c r="C1581" s="208">
        <v>41115</v>
      </c>
      <c r="D1581" s="19">
        <v>0.41666666666666669</v>
      </c>
      <c r="E1581" s="3"/>
      <c r="F1581" s="3"/>
      <c r="G1581" s="3"/>
      <c r="H1581" s="7"/>
      <c r="I1581" s="3"/>
      <c r="J1581">
        <v>7</v>
      </c>
      <c r="K1581">
        <v>10.5</v>
      </c>
      <c r="L1581" s="3"/>
      <c r="M1581" s="3"/>
      <c r="N1581" s="3"/>
      <c r="O1581" s="3"/>
      <c r="P1581" s="3"/>
      <c r="Q1581" s="3"/>
      <c r="R1581" s="3"/>
      <c r="S1581" s="3"/>
    </row>
    <row r="1582" spans="3:19" ht="15.75" customHeight="1" x14ac:dyDescent="0.2">
      <c r="C1582" s="208">
        <v>41115</v>
      </c>
      <c r="D1582" s="19">
        <v>0.41666666666666669</v>
      </c>
      <c r="E1582" s="3">
        <v>0.1</v>
      </c>
      <c r="F1582" s="3">
        <v>8.4600000000000009</v>
      </c>
      <c r="G1582" s="3">
        <v>91.5</v>
      </c>
      <c r="H1582" s="7">
        <v>19.899999999999999</v>
      </c>
      <c r="I1582" s="3"/>
      <c r="L1582" s="3"/>
      <c r="M1582" s="3"/>
      <c r="N1582" s="3"/>
      <c r="O1582" s="3"/>
      <c r="P1582" s="3"/>
      <c r="Q1582" s="3"/>
      <c r="R1582" s="3"/>
      <c r="S1582" s="3"/>
    </row>
    <row r="1583" spans="3:19" ht="15.75" customHeight="1" x14ac:dyDescent="0.2">
      <c r="C1583" s="208">
        <v>41115</v>
      </c>
      <c r="D1583" s="19">
        <v>0.41666666666666669</v>
      </c>
      <c r="E1583" s="3">
        <v>1</v>
      </c>
      <c r="F1583" s="3">
        <v>8.5</v>
      </c>
      <c r="G1583" s="3">
        <v>93</v>
      </c>
      <c r="H1583" s="7">
        <v>19.7</v>
      </c>
      <c r="I1583" s="3"/>
      <c r="L1583" s="3"/>
      <c r="M1583" s="3"/>
      <c r="N1583" s="3"/>
      <c r="O1583" s="3"/>
      <c r="P1583" s="3"/>
      <c r="Q1583" s="3"/>
      <c r="R1583" s="3"/>
      <c r="S1583" s="3"/>
    </row>
    <row r="1584" spans="3:19" ht="15.75" customHeight="1" x14ac:dyDescent="0.2">
      <c r="C1584" s="208">
        <v>41115</v>
      </c>
      <c r="D1584" s="19">
        <v>0.41666666666666669</v>
      </c>
      <c r="E1584" s="3">
        <v>2</v>
      </c>
      <c r="F1584" s="3">
        <v>8.6</v>
      </c>
      <c r="G1584" s="3">
        <v>91.5</v>
      </c>
      <c r="H1584" s="7">
        <v>19.600000000000001</v>
      </c>
      <c r="I1584" s="3"/>
      <c r="L1584" s="3"/>
      <c r="M1584" s="3"/>
      <c r="N1584" s="3"/>
      <c r="O1584" s="3"/>
      <c r="P1584" s="3"/>
      <c r="Q1584" s="3"/>
      <c r="R1584" s="3"/>
      <c r="S1584" s="3"/>
    </row>
    <row r="1585" spans="3:19" ht="15.75" customHeight="1" x14ac:dyDescent="0.2">
      <c r="C1585" s="208">
        <v>41115</v>
      </c>
      <c r="D1585" s="19">
        <v>0.41666666666666669</v>
      </c>
      <c r="E1585" s="3">
        <v>3</v>
      </c>
      <c r="F1585" s="3">
        <v>8.4499999999999993</v>
      </c>
      <c r="G1585" s="3">
        <v>91</v>
      </c>
      <c r="H1585" s="7">
        <v>19.5</v>
      </c>
      <c r="I1585" s="3"/>
      <c r="L1585" s="3"/>
      <c r="M1585" s="3"/>
      <c r="N1585" s="3"/>
      <c r="O1585" s="3"/>
      <c r="P1585" s="3"/>
      <c r="Q1585" s="3"/>
      <c r="R1585" s="3"/>
      <c r="S1585" s="3"/>
    </row>
    <row r="1586" spans="3:19" ht="15.75" customHeight="1" x14ac:dyDescent="0.2">
      <c r="C1586" s="208">
        <v>41115</v>
      </c>
      <c r="D1586" s="19">
        <v>0.41666666666666669</v>
      </c>
      <c r="E1586" s="3">
        <v>4</v>
      </c>
      <c r="F1586" s="3">
        <v>8.6</v>
      </c>
      <c r="G1586" s="3">
        <v>92.5</v>
      </c>
      <c r="H1586" s="7">
        <v>19.3</v>
      </c>
      <c r="I1586" s="3"/>
      <c r="L1586" s="3"/>
      <c r="M1586" s="3"/>
      <c r="N1586" s="3"/>
      <c r="O1586" s="3"/>
      <c r="P1586" s="3"/>
      <c r="Q1586" s="3"/>
      <c r="R1586" s="3"/>
      <c r="S1586" s="3"/>
    </row>
    <row r="1587" spans="3:19" ht="15.75" customHeight="1" x14ac:dyDescent="0.2">
      <c r="C1587" s="208">
        <v>41115</v>
      </c>
      <c r="D1587" s="19">
        <v>0.41666666666666669</v>
      </c>
      <c r="E1587" s="3">
        <v>5</v>
      </c>
      <c r="F1587" s="3">
        <v>8.9</v>
      </c>
      <c r="G1587" s="3">
        <v>94.5</v>
      </c>
      <c r="H1587" s="7">
        <v>18.5</v>
      </c>
      <c r="I1587" s="3"/>
      <c r="L1587" s="3"/>
      <c r="M1587" s="3"/>
      <c r="N1587" s="3"/>
      <c r="O1587" s="3"/>
      <c r="P1587" s="3"/>
      <c r="Q1587" s="3"/>
      <c r="R1587" s="3"/>
      <c r="S1587" s="3"/>
    </row>
    <row r="1588" spans="3:19" ht="15.75" customHeight="1" x14ac:dyDescent="0.2">
      <c r="C1588" s="208">
        <v>41115</v>
      </c>
      <c r="D1588" s="19">
        <v>0.41666666666666669</v>
      </c>
      <c r="E1588" s="3">
        <v>6</v>
      </c>
      <c r="F1588" s="3">
        <v>9.1</v>
      </c>
      <c r="G1588" s="3">
        <v>94</v>
      </c>
      <c r="H1588" s="7">
        <v>18.100000000000001</v>
      </c>
      <c r="I1588" s="3"/>
      <c r="L1588" s="3"/>
      <c r="M1588" s="3"/>
      <c r="N1588" s="3"/>
      <c r="O1588" s="3"/>
      <c r="P1588" s="3"/>
      <c r="Q1588" s="3"/>
      <c r="R1588" s="3"/>
      <c r="S1588" s="3"/>
    </row>
    <row r="1589" spans="3:19" ht="15.75" customHeight="1" x14ac:dyDescent="0.2">
      <c r="C1589" s="208">
        <v>41115</v>
      </c>
      <c r="D1589" s="19">
        <v>0.41666666666666669</v>
      </c>
      <c r="E1589" s="3">
        <v>7</v>
      </c>
      <c r="F1589" s="3">
        <v>9.3000000000000007</v>
      </c>
      <c r="G1589" s="3">
        <v>96.5</v>
      </c>
      <c r="H1589" s="7">
        <v>17.399999999999999</v>
      </c>
      <c r="I1589" s="3"/>
      <c r="L1589" s="3"/>
      <c r="M1589" s="3"/>
      <c r="N1589" s="3"/>
      <c r="O1589" s="3"/>
      <c r="P1589" s="3"/>
      <c r="Q1589" s="3"/>
      <c r="R1589" s="3"/>
      <c r="S1589" s="3"/>
    </row>
    <row r="1590" spans="3:19" ht="15.75" customHeight="1" x14ac:dyDescent="0.2">
      <c r="C1590" s="208">
        <v>41115</v>
      </c>
      <c r="D1590" s="19">
        <v>0.41666666666666669</v>
      </c>
      <c r="E1590" s="3">
        <v>8</v>
      </c>
      <c r="F1590" s="3">
        <v>9.5</v>
      </c>
      <c r="G1590" s="3">
        <v>96.6</v>
      </c>
      <c r="H1590" s="7">
        <v>16.8</v>
      </c>
      <c r="I1590" s="3"/>
      <c r="L1590" s="3"/>
      <c r="M1590" s="3"/>
      <c r="N1590" s="3"/>
      <c r="O1590" s="3"/>
      <c r="P1590" s="3"/>
      <c r="Q1590" s="3"/>
      <c r="R1590" s="3"/>
      <c r="S1590" s="3"/>
    </row>
    <row r="1591" spans="3:19" ht="15.75" customHeight="1" x14ac:dyDescent="0.2">
      <c r="C1591" s="208">
        <v>41115</v>
      </c>
      <c r="D1591" s="19">
        <v>0.41666666666666669</v>
      </c>
      <c r="E1591" s="3">
        <v>9</v>
      </c>
      <c r="F1591" s="3">
        <v>10</v>
      </c>
      <c r="G1591" s="3">
        <v>97.5</v>
      </c>
      <c r="H1591" s="7">
        <v>13.8</v>
      </c>
      <c r="I1591" s="3"/>
      <c r="L1591" s="3"/>
      <c r="M1591" s="3"/>
      <c r="N1591" s="3"/>
      <c r="O1591" s="3"/>
      <c r="P1591" s="3"/>
      <c r="Q1591" s="3"/>
      <c r="R1591" s="3"/>
      <c r="S1591" s="3"/>
    </row>
    <row r="1592" spans="3:19" ht="15.75" customHeight="1" x14ac:dyDescent="0.2">
      <c r="C1592" s="208">
        <v>41115</v>
      </c>
      <c r="D1592" s="19">
        <v>0.41666666666666669</v>
      </c>
      <c r="E1592" s="3">
        <v>10</v>
      </c>
      <c r="F1592" s="3">
        <v>10.3</v>
      </c>
      <c r="G1592" s="3">
        <v>95.4</v>
      </c>
      <c r="H1592" s="7">
        <v>12.8</v>
      </c>
      <c r="I1592" s="3"/>
      <c r="L1592" s="3"/>
      <c r="M1592" s="3"/>
      <c r="N1592" s="3"/>
      <c r="O1592" s="3"/>
      <c r="P1592" s="3"/>
      <c r="Q1592" s="3"/>
      <c r="R1592" s="3"/>
      <c r="S1592" s="3"/>
    </row>
    <row r="1593" spans="3:19" ht="15.75" customHeight="1" x14ac:dyDescent="0.2">
      <c r="C1593" s="208">
        <v>41115</v>
      </c>
      <c r="D1593" s="19">
        <v>0.41666666666666669</v>
      </c>
      <c r="E1593" s="3">
        <v>11</v>
      </c>
      <c r="F1593" s="3">
        <v>10.199999999999999</v>
      </c>
      <c r="G1593" s="3">
        <v>94</v>
      </c>
      <c r="H1593" s="7">
        <v>11.9</v>
      </c>
      <c r="I1593" s="3"/>
      <c r="L1593" s="3"/>
      <c r="M1593" s="3"/>
      <c r="N1593" s="3"/>
      <c r="O1593" s="3"/>
      <c r="P1593" s="3"/>
      <c r="Q1593" s="3"/>
      <c r="R1593" s="3"/>
      <c r="S1593" s="3"/>
    </row>
    <row r="1594" spans="3:19" ht="15.75" customHeight="1" x14ac:dyDescent="0.2">
      <c r="C1594" s="208">
        <v>41115</v>
      </c>
      <c r="D1594" s="19">
        <v>0.41666666666666669</v>
      </c>
      <c r="E1594" s="3">
        <v>12</v>
      </c>
      <c r="F1594" s="3">
        <v>10.3</v>
      </c>
      <c r="G1594" s="3">
        <v>89.5</v>
      </c>
      <c r="H1594" s="7">
        <v>10.1</v>
      </c>
      <c r="I1594" s="3"/>
      <c r="L1594" s="3"/>
      <c r="M1594" s="3"/>
      <c r="N1594" s="3"/>
      <c r="O1594" s="3"/>
      <c r="P1594" s="3"/>
      <c r="Q1594" s="3"/>
      <c r="R1594" s="3"/>
      <c r="S1594" s="3"/>
    </row>
    <row r="1595" spans="3:19" ht="15.75" customHeight="1" x14ac:dyDescent="0.2">
      <c r="C1595" s="208">
        <v>41115</v>
      </c>
      <c r="D1595" s="19">
        <v>0.41666666666666669</v>
      </c>
      <c r="E1595" s="3">
        <v>13</v>
      </c>
      <c r="F1595" s="3">
        <v>10.1</v>
      </c>
      <c r="G1595" s="3">
        <v>88.5</v>
      </c>
      <c r="H1595" s="7">
        <v>8.6999999999999993</v>
      </c>
      <c r="I1595" s="3"/>
      <c r="L1595" s="3"/>
      <c r="M1595" s="3"/>
      <c r="N1595" s="3"/>
      <c r="O1595" s="3"/>
      <c r="P1595" s="3"/>
      <c r="Q1595" s="3"/>
      <c r="R1595" s="3"/>
      <c r="S1595" s="3"/>
    </row>
    <row r="1596" spans="3:19" ht="15.75" customHeight="1" x14ac:dyDescent="0.2">
      <c r="C1596" s="208">
        <v>41115</v>
      </c>
      <c r="D1596" s="19">
        <v>0.41666666666666669</v>
      </c>
      <c r="E1596" s="3">
        <v>14</v>
      </c>
      <c r="F1596" s="3">
        <v>10.6</v>
      </c>
      <c r="G1596" s="3">
        <v>89.2</v>
      </c>
      <c r="H1596" s="7">
        <v>8.1</v>
      </c>
      <c r="I1596" s="3"/>
      <c r="L1596" s="3"/>
      <c r="M1596" s="3"/>
      <c r="N1596" s="3"/>
      <c r="O1596" s="3"/>
      <c r="P1596" s="3"/>
      <c r="Q1596" s="3"/>
      <c r="R1596" s="3"/>
      <c r="S1596" s="3"/>
    </row>
    <row r="1597" spans="3:19" ht="15.75" customHeight="1" x14ac:dyDescent="0.2">
      <c r="C1597" s="208">
        <v>41115</v>
      </c>
      <c r="D1597" s="19">
        <v>0.41666666666666669</v>
      </c>
      <c r="E1597" s="3">
        <v>15</v>
      </c>
      <c r="F1597" s="3">
        <v>10.5</v>
      </c>
      <c r="G1597" s="3">
        <v>88.1</v>
      </c>
      <c r="H1597" s="7">
        <v>7.8</v>
      </c>
      <c r="I1597" s="3"/>
      <c r="L1597" s="3"/>
      <c r="M1597" s="3"/>
      <c r="N1597" s="3"/>
      <c r="O1597" s="3"/>
      <c r="P1597" s="3"/>
      <c r="Q1597" s="3"/>
      <c r="R1597" s="3"/>
      <c r="S1597" s="3"/>
    </row>
    <row r="1598" spans="3:19" ht="15.75" customHeight="1" x14ac:dyDescent="0.2">
      <c r="C1598" s="208">
        <v>41115</v>
      </c>
      <c r="D1598" s="19">
        <v>0.41666666666666669</v>
      </c>
      <c r="E1598" s="3">
        <v>16</v>
      </c>
      <c r="F1598" s="3">
        <v>10.5</v>
      </c>
      <c r="G1598" s="3">
        <v>88.3</v>
      </c>
      <c r="H1598" s="7">
        <v>7.5</v>
      </c>
      <c r="I1598" s="3"/>
      <c r="L1598" s="3"/>
      <c r="M1598" s="3"/>
      <c r="N1598" s="3"/>
      <c r="O1598" s="3"/>
      <c r="P1598" s="3"/>
      <c r="Q1598" s="3"/>
      <c r="R1598" s="3"/>
      <c r="S1598" s="3"/>
    </row>
    <row r="1599" spans="3:19" ht="15.75" customHeight="1" x14ac:dyDescent="0.2">
      <c r="C1599" s="208">
        <v>41115</v>
      </c>
      <c r="D1599" s="19">
        <v>0.41666666666666669</v>
      </c>
      <c r="E1599" s="3">
        <v>17</v>
      </c>
      <c r="F1599" s="3">
        <v>10.6</v>
      </c>
      <c r="G1599" s="3">
        <v>88.5</v>
      </c>
      <c r="H1599" s="7">
        <v>7.3</v>
      </c>
      <c r="I1599" s="3"/>
      <c r="L1599" s="3"/>
      <c r="M1599" s="3"/>
      <c r="N1599" s="3"/>
      <c r="O1599" s="3"/>
      <c r="P1599" s="3"/>
      <c r="Q1599" s="3"/>
      <c r="R1599" s="3"/>
      <c r="S1599" s="3"/>
    </row>
    <row r="1600" spans="3:19" ht="15.75" customHeight="1" x14ac:dyDescent="0.2">
      <c r="C1600" s="208">
        <v>41115</v>
      </c>
      <c r="D1600" s="19">
        <v>0.41666666666666669</v>
      </c>
      <c r="E1600" s="3">
        <v>18</v>
      </c>
      <c r="F1600" s="3">
        <v>10.7</v>
      </c>
      <c r="G1600" s="3">
        <v>88.2</v>
      </c>
      <c r="H1600" s="7">
        <v>7</v>
      </c>
      <c r="I1600" s="3"/>
      <c r="L1600" s="3"/>
      <c r="M1600" s="3"/>
      <c r="N1600" s="3"/>
      <c r="O1600" s="3"/>
      <c r="P1600" s="3"/>
      <c r="Q1600" s="3"/>
      <c r="R1600" s="3"/>
      <c r="S1600" s="3"/>
    </row>
    <row r="1601" spans="3:19" ht="15.75" customHeight="1" x14ac:dyDescent="0.2">
      <c r="C1601" s="208">
        <v>41115</v>
      </c>
      <c r="D1601" s="19">
        <v>0.41666666666666669</v>
      </c>
      <c r="E1601" s="3">
        <v>19</v>
      </c>
      <c r="F1601" s="3">
        <v>10.7</v>
      </c>
      <c r="G1601" s="3">
        <v>87.8</v>
      </c>
      <c r="H1601" s="7">
        <v>6.9</v>
      </c>
      <c r="I1601" s="3"/>
      <c r="L1601" s="3"/>
      <c r="M1601" s="3"/>
      <c r="N1601" s="3"/>
      <c r="O1601" s="3"/>
      <c r="P1601" s="3"/>
      <c r="Q1601" s="3"/>
      <c r="R1601" s="3"/>
      <c r="S1601" s="3"/>
    </row>
    <row r="1602" spans="3:19" ht="15.75" customHeight="1" x14ac:dyDescent="0.2">
      <c r="C1602" s="208">
        <v>41115</v>
      </c>
      <c r="D1602" s="19">
        <v>0.41666666666666669</v>
      </c>
      <c r="E1602" s="3">
        <v>20</v>
      </c>
      <c r="F1602" s="3">
        <v>10.7</v>
      </c>
      <c r="G1602" s="3">
        <v>87.2</v>
      </c>
      <c r="H1602" s="7">
        <v>6.8</v>
      </c>
      <c r="I1602" s="3"/>
      <c r="L1602" s="3"/>
      <c r="M1602" s="3"/>
      <c r="N1602" s="3"/>
      <c r="O1602" s="3"/>
      <c r="P1602" s="3"/>
      <c r="Q1602" s="3"/>
      <c r="R1602" s="3"/>
      <c r="S1602" s="3"/>
    </row>
    <row r="1603" spans="3:19" ht="15.75" customHeight="1" x14ac:dyDescent="0.2">
      <c r="C1603" s="208">
        <v>41115</v>
      </c>
      <c r="D1603" s="19">
        <v>0.41666666666666669</v>
      </c>
      <c r="E1603" s="3">
        <v>21</v>
      </c>
      <c r="F1603" s="3">
        <v>10.7</v>
      </c>
      <c r="G1603" s="3">
        <v>87.4</v>
      </c>
      <c r="H1603" s="7">
        <v>6.8</v>
      </c>
      <c r="I1603" s="3"/>
      <c r="L1603" s="3"/>
      <c r="M1603" s="3"/>
      <c r="N1603" s="3"/>
      <c r="O1603" s="3"/>
      <c r="P1603" s="3"/>
      <c r="Q1603" s="3"/>
      <c r="R1603" s="3"/>
      <c r="S1603" s="3"/>
    </row>
    <row r="1604" spans="3:19" ht="15.75" customHeight="1" x14ac:dyDescent="0.2">
      <c r="C1604" s="208">
        <v>41115</v>
      </c>
      <c r="D1604" s="19">
        <v>0.41666666666666669</v>
      </c>
      <c r="E1604" s="3">
        <v>22</v>
      </c>
      <c r="F1604" s="3">
        <v>10.7</v>
      </c>
      <c r="G1604" s="3">
        <v>87.5</v>
      </c>
      <c r="H1604" s="7">
        <v>6.6</v>
      </c>
      <c r="I1604" s="3"/>
      <c r="L1604" s="3"/>
      <c r="M1604" s="3"/>
      <c r="N1604" s="3"/>
      <c r="O1604" s="3"/>
      <c r="P1604" s="3"/>
      <c r="Q1604" s="3"/>
      <c r="R1604" s="3"/>
      <c r="S1604" s="3"/>
    </row>
    <row r="1605" spans="3:19" ht="15.75" customHeight="1" x14ac:dyDescent="0.2">
      <c r="C1605" s="208">
        <v>41115</v>
      </c>
      <c r="D1605" s="19">
        <v>0.41666666666666669</v>
      </c>
      <c r="E1605" s="3">
        <v>23</v>
      </c>
      <c r="F1605" s="3">
        <v>10.7</v>
      </c>
      <c r="G1605" s="3">
        <v>87.6</v>
      </c>
      <c r="H1605" s="7">
        <v>6.6</v>
      </c>
      <c r="I1605" s="3"/>
      <c r="L1605" s="3"/>
      <c r="M1605" s="3"/>
      <c r="N1605" s="3"/>
      <c r="O1605" s="3"/>
      <c r="P1605" s="3"/>
      <c r="Q1605" s="3"/>
      <c r="R1605" s="3"/>
      <c r="S1605" s="3"/>
    </row>
    <row r="1606" spans="3:19" ht="15.75" customHeight="1" x14ac:dyDescent="0.2">
      <c r="C1606" s="208">
        <v>41115</v>
      </c>
      <c r="D1606" s="19">
        <v>0.41666666666666669</v>
      </c>
      <c r="E1606" s="3">
        <v>24</v>
      </c>
      <c r="F1606" s="3">
        <v>10.8</v>
      </c>
      <c r="G1606" s="3">
        <v>87.5</v>
      </c>
      <c r="H1606" s="7">
        <v>6.5</v>
      </c>
      <c r="I1606" s="3"/>
      <c r="L1606" s="3"/>
      <c r="M1606" s="3"/>
      <c r="N1606" s="3"/>
      <c r="O1606" s="3"/>
      <c r="P1606" s="3"/>
      <c r="Q1606" s="3"/>
      <c r="R1606" s="3"/>
      <c r="S1606" s="3"/>
    </row>
    <row r="1607" spans="3:19" ht="15.75" customHeight="1" x14ac:dyDescent="0.2">
      <c r="C1607" s="208">
        <v>41115</v>
      </c>
      <c r="D1607" s="19">
        <v>0.41666666666666669</v>
      </c>
      <c r="E1607" s="3">
        <v>25</v>
      </c>
      <c r="F1607" s="3">
        <v>10.7</v>
      </c>
      <c r="G1607" s="3">
        <v>87.6</v>
      </c>
      <c r="H1607" s="7">
        <v>6.4</v>
      </c>
      <c r="I1607" s="3"/>
      <c r="L1607" s="3"/>
      <c r="M1607" s="3"/>
      <c r="N1607" s="3"/>
      <c r="O1607" s="3"/>
      <c r="P1607" s="3"/>
      <c r="Q1607" s="3"/>
      <c r="R1607" s="3"/>
      <c r="S1607" s="3"/>
    </row>
    <row r="1608" spans="3:19" ht="15.75" customHeight="1" x14ac:dyDescent="0.2">
      <c r="C1608" s="208"/>
      <c r="D1608" s="19"/>
      <c r="E1608" s="3"/>
      <c r="F1608" s="3"/>
      <c r="G1608" s="3"/>
      <c r="H1608" s="7"/>
      <c r="I1608" s="3"/>
      <c r="L1608" s="3"/>
      <c r="M1608" s="3"/>
      <c r="N1608" s="3"/>
      <c r="O1608" s="3"/>
      <c r="P1608" s="3"/>
      <c r="Q1608" s="3"/>
      <c r="R1608" s="3"/>
      <c r="S1608" s="3"/>
    </row>
    <row r="1609" spans="3:19" ht="15.75" customHeight="1" x14ac:dyDescent="0.2">
      <c r="C1609" s="208">
        <v>41147</v>
      </c>
      <c r="D1609" s="19">
        <v>0.39930555555555558</v>
      </c>
      <c r="E1609" s="3"/>
      <c r="F1609" s="3"/>
      <c r="G1609" s="3"/>
      <c r="H1609" s="7"/>
      <c r="I1609" s="3"/>
      <c r="J1609">
        <v>10</v>
      </c>
      <c r="K1609">
        <v>11.5</v>
      </c>
      <c r="L1609" s="3"/>
      <c r="M1609" s="3"/>
      <c r="N1609" s="3"/>
      <c r="O1609" s="3"/>
      <c r="P1609" s="3"/>
      <c r="Q1609" s="3"/>
      <c r="R1609" s="3"/>
      <c r="S1609" s="3"/>
    </row>
    <row r="1610" spans="3:19" ht="15.75" customHeight="1" x14ac:dyDescent="0.2">
      <c r="C1610" s="208">
        <v>41147</v>
      </c>
      <c r="D1610" s="19">
        <v>0.39930555555555558</v>
      </c>
      <c r="E1610" s="3">
        <v>0.1</v>
      </c>
      <c r="F1610" s="3">
        <v>7.8</v>
      </c>
      <c r="G1610" s="3">
        <v>86.2</v>
      </c>
      <c r="H1610" s="7">
        <v>20.7</v>
      </c>
      <c r="I1610" s="7">
        <v>20.7</v>
      </c>
      <c r="J1610" s="7"/>
      <c r="L1610" s="3"/>
      <c r="M1610" s="3"/>
      <c r="N1610" s="3"/>
      <c r="O1610" s="3"/>
      <c r="P1610" s="3"/>
      <c r="Q1610" s="3"/>
      <c r="R1610" s="3"/>
      <c r="S1610" s="3"/>
    </row>
    <row r="1611" spans="3:19" ht="15.75" customHeight="1" x14ac:dyDescent="0.2">
      <c r="C1611" s="208">
        <v>41147</v>
      </c>
      <c r="D1611" s="19">
        <v>0.39930555555555558</v>
      </c>
      <c r="E1611" s="3">
        <v>1</v>
      </c>
      <c r="F1611" s="3">
        <v>7.9</v>
      </c>
      <c r="G1611" s="3">
        <v>86</v>
      </c>
      <c r="H1611" s="7">
        <v>20.7</v>
      </c>
      <c r="I1611" s="7">
        <v>20.7</v>
      </c>
      <c r="J1611" s="7"/>
      <c r="L1611" s="3"/>
      <c r="M1611" s="3"/>
      <c r="N1611" s="3"/>
      <c r="O1611" s="3"/>
      <c r="P1611" s="3"/>
      <c r="Q1611" s="3"/>
      <c r="R1611" s="3"/>
      <c r="S1611" s="3"/>
    </row>
    <row r="1612" spans="3:19" ht="15.75" customHeight="1" x14ac:dyDescent="0.2">
      <c r="C1612" s="208">
        <v>41147</v>
      </c>
      <c r="D1612" s="19">
        <v>0.39930555555555558</v>
      </c>
      <c r="E1612" s="3">
        <v>2</v>
      </c>
      <c r="F1612" s="3">
        <v>7.89</v>
      </c>
      <c r="G1612" s="3">
        <v>85.8</v>
      </c>
      <c r="H1612" s="7">
        <v>20.7</v>
      </c>
      <c r="I1612" s="7">
        <v>20.7</v>
      </c>
      <c r="J1612" s="7"/>
      <c r="L1612" s="3"/>
      <c r="M1612" s="3"/>
      <c r="N1612" s="3"/>
      <c r="O1612" s="3"/>
      <c r="P1612" s="3"/>
      <c r="Q1612" s="3"/>
      <c r="R1612" s="3"/>
      <c r="S1612" s="3"/>
    </row>
    <row r="1613" spans="3:19" ht="15.75" customHeight="1" x14ac:dyDescent="0.2">
      <c r="C1613" s="208">
        <v>41147</v>
      </c>
      <c r="D1613" s="19">
        <v>0.39930555555555558</v>
      </c>
      <c r="E1613" s="3">
        <v>3</v>
      </c>
      <c r="F1613" s="3">
        <v>7.9</v>
      </c>
      <c r="G1613" s="3">
        <v>85</v>
      </c>
      <c r="H1613" s="7">
        <v>20.6</v>
      </c>
      <c r="I1613" s="7">
        <v>20.6</v>
      </c>
      <c r="J1613" s="7"/>
      <c r="L1613" s="3"/>
      <c r="M1613" s="3"/>
      <c r="N1613" s="3"/>
      <c r="O1613" s="3"/>
      <c r="P1613" s="3"/>
      <c r="Q1613" s="3"/>
      <c r="R1613" s="3"/>
      <c r="S1613" s="3"/>
    </row>
    <row r="1614" spans="3:19" ht="15.75" customHeight="1" x14ac:dyDescent="0.2">
      <c r="C1614" s="208">
        <v>41147</v>
      </c>
      <c r="D1614" s="19">
        <v>0.39930555555555558</v>
      </c>
      <c r="E1614" s="3">
        <v>4</v>
      </c>
      <c r="F1614" s="3">
        <v>7.8</v>
      </c>
      <c r="G1614" s="3">
        <v>86.2</v>
      </c>
      <c r="H1614" s="7">
        <v>20.6</v>
      </c>
      <c r="I1614" s="7">
        <v>20.6</v>
      </c>
      <c r="J1614" s="7"/>
      <c r="L1614" s="3"/>
      <c r="M1614" s="3"/>
      <c r="N1614" s="3"/>
      <c r="O1614" s="3"/>
      <c r="P1614" s="3"/>
      <c r="Q1614" s="3"/>
      <c r="R1614" s="3"/>
      <c r="S1614" s="3"/>
    </row>
    <row r="1615" spans="3:19" ht="15.75" customHeight="1" x14ac:dyDescent="0.2">
      <c r="C1615" s="208">
        <v>41147</v>
      </c>
      <c r="D1615" s="19">
        <v>0.39930555555555558</v>
      </c>
      <c r="E1615" s="3">
        <v>5</v>
      </c>
      <c r="F1615" s="3">
        <v>7.9</v>
      </c>
      <c r="G1615" s="3">
        <v>88.2</v>
      </c>
      <c r="H1615" s="7">
        <v>20.6</v>
      </c>
      <c r="I1615" s="7">
        <v>20.6</v>
      </c>
      <c r="J1615" s="7"/>
      <c r="L1615" s="3"/>
      <c r="M1615" s="3"/>
      <c r="N1615" s="3"/>
      <c r="O1615" s="3"/>
      <c r="P1615" s="3"/>
      <c r="Q1615" s="3"/>
      <c r="R1615" s="3"/>
      <c r="S1615" s="3"/>
    </row>
    <row r="1616" spans="3:19" ht="15.75" customHeight="1" x14ac:dyDescent="0.2">
      <c r="C1616" s="208">
        <v>41147</v>
      </c>
      <c r="D1616" s="19">
        <v>0.39930555555555558</v>
      </c>
      <c r="E1616" s="3">
        <v>6</v>
      </c>
      <c r="F1616" s="3">
        <v>8</v>
      </c>
      <c r="G1616" s="3">
        <v>88.5</v>
      </c>
      <c r="H1616" s="7">
        <v>20.6</v>
      </c>
      <c r="I1616" s="7">
        <v>20.6</v>
      </c>
      <c r="J1616" s="7"/>
      <c r="L1616" s="3"/>
      <c r="M1616" s="3"/>
      <c r="N1616" s="3"/>
      <c r="O1616" s="3"/>
      <c r="P1616" s="3"/>
      <c r="Q1616" s="3"/>
      <c r="R1616" s="3"/>
      <c r="S1616" s="3"/>
    </row>
    <row r="1617" spans="3:19" ht="15.75" customHeight="1" x14ac:dyDescent="0.2">
      <c r="C1617" s="208">
        <v>41147</v>
      </c>
      <c r="D1617" s="19">
        <v>0.39930555555555558</v>
      </c>
      <c r="E1617" s="3">
        <v>7</v>
      </c>
      <c r="F1617" s="3">
        <v>7.99</v>
      </c>
      <c r="G1617" s="3">
        <v>86.5</v>
      </c>
      <c r="H1617" s="7">
        <v>20.6</v>
      </c>
      <c r="I1617" s="7">
        <v>20.6</v>
      </c>
      <c r="J1617" s="7"/>
      <c r="L1617" s="3"/>
      <c r="M1617" s="3"/>
      <c r="N1617" s="3"/>
      <c r="O1617" s="3"/>
      <c r="P1617" s="3"/>
      <c r="Q1617" s="3"/>
      <c r="R1617" s="3"/>
      <c r="S1617" s="3"/>
    </row>
    <row r="1618" spans="3:19" ht="15.75" customHeight="1" x14ac:dyDescent="0.2">
      <c r="C1618" s="208">
        <v>41147</v>
      </c>
      <c r="D1618" s="19">
        <v>0.39930555555555558</v>
      </c>
      <c r="E1618" s="3">
        <v>8</v>
      </c>
      <c r="F1618" s="3">
        <v>7.9</v>
      </c>
      <c r="G1618" s="3">
        <v>86</v>
      </c>
      <c r="H1618" s="7">
        <v>20.6</v>
      </c>
      <c r="I1618" s="7">
        <v>20.6</v>
      </c>
      <c r="J1618" s="7"/>
      <c r="L1618" s="3"/>
      <c r="M1618" s="3"/>
      <c r="N1618" s="3"/>
      <c r="O1618" s="3"/>
      <c r="P1618" s="3"/>
      <c r="Q1618" s="3"/>
      <c r="R1618" s="3"/>
      <c r="S1618" s="3"/>
    </row>
    <row r="1619" spans="3:19" ht="15.75" customHeight="1" x14ac:dyDescent="0.2">
      <c r="C1619" s="208">
        <v>41147</v>
      </c>
      <c r="D1619" s="19">
        <v>0.39930555555555558</v>
      </c>
      <c r="E1619" s="3">
        <v>9</v>
      </c>
      <c r="F1619" s="3">
        <v>7.85</v>
      </c>
      <c r="G1619" s="3">
        <v>87</v>
      </c>
      <c r="H1619" s="7">
        <v>19.899999999999999</v>
      </c>
      <c r="I1619" s="7">
        <v>19.899999999999999</v>
      </c>
      <c r="J1619" s="7"/>
      <c r="L1619" s="3"/>
      <c r="M1619" s="3"/>
      <c r="N1619" s="3"/>
      <c r="O1619" s="3"/>
      <c r="P1619" s="3"/>
      <c r="Q1619" s="3"/>
      <c r="R1619" s="3"/>
      <c r="S1619" s="3"/>
    </row>
    <row r="1620" spans="3:19" ht="15.75" customHeight="1" x14ac:dyDescent="0.2">
      <c r="C1620" s="208">
        <v>41147</v>
      </c>
      <c r="D1620" s="19">
        <v>0.39930555555555558</v>
      </c>
      <c r="E1620" s="3">
        <v>10</v>
      </c>
      <c r="F1620" s="3">
        <v>10.15</v>
      </c>
      <c r="G1620" s="3">
        <v>97.5</v>
      </c>
      <c r="H1620" s="7">
        <v>14.1</v>
      </c>
      <c r="I1620" s="7">
        <f>AVERAGE(I1610:I1619)</f>
        <v>20.559999999999995</v>
      </c>
      <c r="J1620" s="7"/>
      <c r="L1620" s="3"/>
      <c r="M1620" s="3"/>
      <c r="N1620" s="3"/>
      <c r="O1620" s="3"/>
      <c r="P1620" s="3"/>
      <c r="Q1620" s="3"/>
      <c r="R1620" s="3"/>
      <c r="S1620" s="3"/>
    </row>
    <row r="1621" spans="3:19" ht="15.75" customHeight="1" x14ac:dyDescent="0.2">
      <c r="C1621" s="208">
        <v>41147</v>
      </c>
      <c r="D1621" s="19">
        <v>0.39930555555555558</v>
      </c>
      <c r="E1621" s="3">
        <v>11</v>
      </c>
      <c r="F1621" s="3">
        <v>10.199999999999999</v>
      </c>
      <c r="G1621" s="3">
        <v>94</v>
      </c>
      <c r="H1621" s="7">
        <v>12.2</v>
      </c>
      <c r="I1621" s="3"/>
      <c r="L1621" s="3"/>
      <c r="M1621" s="3"/>
      <c r="N1621" s="3"/>
      <c r="O1621" s="3"/>
      <c r="P1621" s="3"/>
      <c r="Q1621" s="3"/>
      <c r="R1621" s="3"/>
      <c r="S1621" s="3"/>
    </row>
    <row r="1622" spans="3:19" ht="15.75" customHeight="1" x14ac:dyDescent="0.2">
      <c r="C1622" s="208">
        <v>41147</v>
      </c>
      <c r="D1622" s="19">
        <v>0.39930555555555558</v>
      </c>
      <c r="E1622" s="3">
        <v>12</v>
      </c>
      <c r="F1622" s="3">
        <v>10.4</v>
      </c>
      <c r="G1622" s="3">
        <v>92</v>
      </c>
      <c r="H1622" s="7">
        <v>11</v>
      </c>
      <c r="I1622" s="3"/>
      <c r="L1622" s="3"/>
      <c r="M1622" s="3"/>
      <c r="N1622" s="3"/>
      <c r="O1622" s="3"/>
      <c r="P1622" s="3"/>
      <c r="Q1622" s="3"/>
      <c r="R1622" s="3"/>
      <c r="S1622" s="3"/>
    </row>
    <row r="1623" spans="3:19" ht="15.75" customHeight="1" x14ac:dyDescent="0.2">
      <c r="C1623" s="208">
        <v>41147</v>
      </c>
      <c r="D1623" s="19">
        <v>0.39930555555555558</v>
      </c>
      <c r="E1623" s="3">
        <v>13</v>
      </c>
      <c r="F1623" s="3">
        <v>10.199999999999999</v>
      </c>
      <c r="G1623" s="3">
        <v>90.6</v>
      </c>
      <c r="H1623" s="7">
        <v>10.4</v>
      </c>
      <c r="I1623" s="3"/>
      <c r="L1623" s="3"/>
      <c r="M1623" s="3"/>
      <c r="N1623" s="3"/>
      <c r="O1623" s="3"/>
      <c r="P1623" s="3"/>
      <c r="Q1623" s="3"/>
      <c r="R1623" s="3"/>
      <c r="S1623" s="3"/>
    </row>
    <row r="1624" spans="3:19" ht="15.75" customHeight="1" x14ac:dyDescent="0.2">
      <c r="C1624" s="208">
        <v>41147</v>
      </c>
      <c r="D1624" s="19">
        <v>0.39930555555555558</v>
      </c>
      <c r="E1624" s="3">
        <v>14</v>
      </c>
      <c r="F1624" s="3">
        <v>10.4</v>
      </c>
      <c r="G1624" s="3">
        <v>91</v>
      </c>
      <c r="H1624" s="7">
        <v>9.1999999999999993</v>
      </c>
      <c r="I1624" s="3"/>
      <c r="L1624" s="3"/>
      <c r="M1624" s="3"/>
      <c r="N1624" s="3"/>
      <c r="O1624" s="3"/>
      <c r="P1624" s="3"/>
      <c r="Q1624" s="3"/>
      <c r="R1624" s="3"/>
      <c r="S1624" s="3"/>
    </row>
    <row r="1625" spans="3:19" ht="15.75" customHeight="1" x14ac:dyDescent="0.2">
      <c r="C1625" s="208">
        <v>41147</v>
      </c>
      <c r="D1625" s="19">
        <v>0.39930555555555558</v>
      </c>
      <c r="E1625" s="3">
        <v>15</v>
      </c>
      <c r="F1625" s="3">
        <v>10.5</v>
      </c>
      <c r="G1625" s="3">
        <v>88.5</v>
      </c>
      <c r="H1625" s="7">
        <v>8.4</v>
      </c>
      <c r="I1625" s="3"/>
      <c r="L1625" s="3"/>
      <c r="M1625" s="3"/>
      <c r="N1625" s="3"/>
      <c r="O1625" s="3"/>
      <c r="P1625" s="3"/>
      <c r="Q1625" s="3"/>
      <c r="R1625" s="3"/>
      <c r="S1625" s="3"/>
    </row>
    <row r="1626" spans="3:19" ht="15.75" customHeight="1" x14ac:dyDescent="0.2">
      <c r="C1626" s="208">
        <v>41147</v>
      </c>
      <c r="D1626" s="19">
        <v>0.39930555555555558</v>
      </c>
      <c r="E1626" s="3">
        <v>16</v>
      </c>
      <c r="F1626" s="3">
        <v>10.3</v>
      </c>
      <c r="G1626" s="3">
        <v>87.3</v>
      </c>
      <c r="H1626" s="7">
        <v>8.1</v>
      </c>
      <c r="I1626" s="3"/>
      <c r="L1626" s="3"/>
      <c r="M1626" s="3"/>
      <c r="N1626" s="3"/>
      <c r="O1626" s="3"/>
      <c r="P1626" s="3"/>
      <c r="Q1626" s="3"/>
      <c r="R1626" s="3"/>
      <c r="S1626" s="3"/>
    </row>
    <row r="1627" spans="3:19" ht="15.75" customHeight="1" x14ac:dyDescent="0.2">
      <c r="C1627" s="208">
        <v>41147</v>
      </c>
      <c r="D1627" s="19">
        <v>0.39930555555555558</v>
      </c>
      <c r="E1627" s="3">
        <v>17</v>
      </c>
      <c r="F1627" s="3">
        <v>10.3</v>
      </c>
      <c r="G1627" s="3">
        <v>86</v>
      </c>
      <c r="H1627" s="7">
        <v>7.6</v>
      </c>
      <c r="I1627" s="3"/>
      <c r="L1627" s="3"/>
      <c r="M1627" s="3"/>
      <c r="N1627" s="3"/>
      <c r="O1627" s="3"/>
      <c r="P1627" s="3"/>
      <c r="Q1627" s="3"/>
      <c r="R1627" s="3"/>
      <c r="S1627" s="3"/>
    </row>
    <row r="1628" spans="3:19" ht="15.75" customHeight="1" x14ac:dyDescent="0.2">
      <c r="C1628" s="208">
        <v>41147</v>
      </c>
      <c r="D1628" s="19">
        <v>0.39930555555555558</v>
      </c>
      <c r="E1628" s="3">
        <v>18</v>
      </c>
      <c r="F1628" s="3">
        <v>10.36</v>
      </c>
      <c r="G1628" s="3">
        <v>85.3</v>
      </c>
      <c r="H1628" s="7">
        <v>7.4</v>
      </c>
      <c r="I1628" s="3"/>
      <c r="L1628" s="3"/>
      <c r="M1628" s="3"/>
      <c r="N1628" s="3"/>
      <c r="O1628" s="3"/>
      <c r="P1628" s="3"/>
      <c r="Q1628" s="3"/>
      <c r="R1628" s="3"/>
      <c r="S1628" s="3"/>
    </row>
    <row r="1629" spans="3:19" ht="15.75" customHeight="1" x14ac:dyDescent="0.2">
      <c r="C1629" s="208">
        <v>41147</v>
      </c>
      <c r="D1629" s="19">
        <v>0.39930555555555558</v>
      </c>
      <c r="E1629" s="3">
        <v>19</v>
      </c>
      <c r="F1629" s="3">
        <v>10.199999999999999</v>
      </c>
      <c r="G1629" s="3">
        <v>85.4</v>
      </c>
      <c r="H1629" s="7">
        <v>7.2</v>
      </c>
      <c r="I1629" s="3"/>
      <c r="L1629" s="3"/>
      <c r="M1629" s="3"/>
      <c r="N1629" s="3"/>
      <c r="O1629" s="3"/>
      <c r="P1629" s="3"/>
      <c r="Q1629" s="3"/>
      <c r="R1629" s="3"/>
      <c r="S1629" s="3"/>
    </row>
    <row r="1630" spans="3:19" ht="15.75" customHeight="1" x14ac:dyDescent="0.2">
      <c r="C1630" s="208">
        <v>41147</v>
      </c>
      <c r="D1630" s="19">
        <v>0.39930555555555558</v>
      </c>
      <c r="E1630" s="3">
        <v>20</v>
      </c>
      <c r="F1630" s="3">
        <v>10.199999999999999</v>
      </c>
      <c r="G1630" s="3">
        <v>84.4</v>
      </c>
      <c r="H1630" s="7">
        <v>7</v>
      </c>
      <c r="I1630" s="3"/>
      <c r="L1630" s="3"/>
      <c r="M1630" s="3"/>
      <c r="N1630" s="3"/>
      <c r="O1630" s="3"/>
      <c r="P1630" s="3"/>
      <c r="Q1630" s="3"/>
      <c r="R1630" s="3"/>
      <c r="S1630" s="3"/>
    </row>
    <row r="1631" spans="3:19" ht="15.75" customHeight="1" x14ac:dyDescent="0.2">
      <c r="C1631" s="208">
        <v>41147</v>
      </c>
      <c r="D1631" s="19">
        <v>0.39930555555555558</v>
      </c>
      <c r="E1631" s="3">
        <v>21</v>
      </c>
      <c r="F1631" s="3">
        <v>10.199999999999999</v>
      </c>
      <c r="G1631" s="3">
        <v>84.6</v>
      </c>
      <c r="H1631" s="7">
        <v>6.9</v>
      </c>
      <c r="I1631" s="3"/>
      <c r="L1631" s="3"/>
      <c r="M1631" s="3"/>
      <c r="N1631" s="3"/>
      <c r="O1631" s="3"/>
      <c r="P1631" s="3"/>
      <c r="Q1631" s="3"/>
      <c r="R1631" s="3"/>
      <c r="S1631" s="3"/>
    </row>
    <row r="1632" spans="3:19" ht="15.75" customHeight="1" x14ac:dyDescent="0.2">
      <c r="C1632" s="208">
        <v>41147</v>
      </c>
      <c r="D1632" s="19">
        <v>0.39930555555555558</v>
      </c>
      <c r="E1632" s="3">
        <v>22</v>
      </c>
      <c r="F1632" s="3">
        <v>10.199999999999999</v>
      </c>
      <c r="G1632" s="3">
        <v>84.5</v>
      </c>
      <c r="H1632" s="7">
        <v>6.8</v>
      </c>
      <c r="I1632" s="3"/>
      <c r="L1632" s="3"/>
      <c r="M1632" s="3"/>
      <c r="N1632" s="3"/>
      <c r="O1632" s="3"/>
      <c r="P1632" s="3"/>
      <c r="Q1632" s="3"/>
      <c r="R1632" s="3"/>
      <c r="S1632" s="3"/>
    </row>
    <row r="1633" spans="3:19" ht="15.75" customHeight="1" x14ac:dyDescent="0.2">
      <c r="C1633" s="208">
        <v>41147</v>
      </c>
      <c r="D1633" s="19">
        <v>0.39930555555555558</v>
      </c>
      <c r="E1633" s="3">
        <v>23</v>
      </c>
      <c r="F1633" s="3">
        <v>10.3</v>
      </c>
      <c r="G1633" s="3">
        <v>84.4</v>
      </c>
      <c r="H1633" s="7">
        <v>6.6</v>
      </c>
      <c r="I1633" s="3"/>
      <c r="L1633" s="3"/>
      <c r="M1633" s="3"/>
      <c r="N1633" s="3"/>
      <c r="O1633" s="3"/>
      <c r="P1633" s="3"/>
      <c r="Q1633" s="3"/>
      <c r="R1633" s="3"/>
      <c r="S1633" s="3"/>
    </row>
    <row r="1634" spans="3:19" ht="15.75" customHeight="1" x14ac:dyDescent="0.2">
      <c r="C1634" s="208">
        <v>41147</v>
      </c>
      <c r="D1634" s="19">
        <v>0.39930555555555558</v>
      </c>
      <c r="E1634" s="3">
        <v>24</v>
      </c>
      <c r="F1634" s="3">
        <v>10.3</v>
      </c>
      <c r="G1634" s="3">
        <v>82.7</v>
      </c>
      <c r="H1634" s="7">
        <v>6.6</v>
      </c>
      <c r="I1634" s="3"/>
      <c r="L1634" s="3"/>
      <c r="M1634" s="3"/>
      <c r="N1634" s="3"/>
      <c r="O1634" s="3"/>
      <c r="P1634" s="3"/>
      <c r="Q1634" s="3"/>
      <c r="R1634" s="3"/>
      <c r="S1634" s="3"/>
    </row>
    <row r="1635" spans="3:19" ht="15.75" customHeight="1" x14ac:dyDescent="0.2">
      <c r="C1635" s="208">
        <v>41147</v>
      </c>
      <c r="D1635" s="19">
        <v>0.39930555555555558</v>
      </c>
      <c r="E1635" s="3">
        <v>25</v>
      </c>
      <c r="F1635" s="3">
        <v>10.1</v>
      </c>
      <c r="G1635" s="3">
        <v>82.6</v>
      </c>
      <c r="H1635" s="7">
        <v>6.5</v>
      </c>
      <c r="I1635" s="3"/>
      <c r="L1635" s="3"/>
      <c r="M1635" s="3"/>
      <c r="N1635" s="3"/>
      <c r="O1635" s="3"/>
      <c r="P1635" s="3"/>
      <c r="Q1635" s="3"/>
      <c r="R1635" s="3"/>
      <c r="S1635" s="3"/>
    </row>
    <row r="1636" spans="3:19" ht="15.75" customHeight="1" x14ac:dyDescent="0.2">
      <c r="C1636" s="208"/>
      <c r="D1636" s="19"/>
      <c r="E1636" s="3"/>
      <c r="F1636" s="3"/>
      <c r="G1636" s="3"/>
      <c r="H1636" s="7"/>
      <c r="I1636" s="3"/>
      <c r="L1636" s="3"/>
      <c r="M1636" s="3"/>
      <c r="N1636" s="3"/>
      <c r="O1636" s="3"/>
      <c r="P1636" s="3"/>
      <c r="Q1636" s="3"/>
      <c r="R1636" s="3"/>
      <c r="S1636" s="3"/>
    </row>
    <row r="1637" spans="3:19" ht="15.75" customHeight="1" x14ac:dyDescent="0.2">
      <c r="C1637" s="208">
        <v>40680</v>
      </c>
      <c r="D1637" s="19">
        <v>0.41319444444444442</v>
      </c>
      <c r="E1637" s="3"/>
      <c r="F1637" s="3"/>
      <c r="G1637" s="3"/>
      <c r="H1637" s="7"/>
      <c r="I1637" s="3"/>
      <c r="J1637">
        <v>5</v>
      </c>
      <c r="K1637">
        <v>9</v>
      </c>
      <c r="L1637" s="3"/>
      <c r="M1637" s="3"/>
      <c r="N1637" s="3"/>
      <c r="O1637" s="3"/>
      <c r="P1637" s="3"/>
      <c r="Q1637" s="3"/>
      <c r="R1637" s="3"/>
      <c r="S1637" s="3"/>
    </row>
    <row r="1638" spans="3:19" ht="15.75" customHeight="1" x14ac:dyDescent="0.2">
      <c r="C1638" s="208">
        <v>40680</v>
      </c>
      <c r="D1638" s="19">
        <v>0.41319444444444442</v>
      </c>
      <c r="E1638" s="3">
        <v>0.1</v>
      </c>
      <c r="F1638" s="3"/>
      <c r="G1638" s="3"/>
      <c r="H1638" s="7">
        <v>7.3</v>
      </c>
      <c r="I1638" s="3"/>
      <c r="L1638" s="3"/>
      <c r="M1638" s="3"/>
      <c r="N1638" s="3"/>
      <c r="O1638" s="3"/>
      <c r="P1638" s="3"/>
      <c r="Q1638" s="3"/>
      <c r="R1638" s="3"/>
      <c r="S1638" s="3"/>
    </row>
    <row r="1639" spans="3:19" ht="15.75" customHeight="1" x14ac:dyDescent="0.2">
      <c r="C1639" s="208">
        <v>40680</v>
      </c>
      <c r="D1639" s="19">
        <v>0.41319444444444442</v>
      </c>
      <c r="E1639" s="3">
        <v>1</v>
      </c>
      <c r="F1639" s="3"/>
      <c r="G1639" s="3"/>
      <c r="H1639" s="7">
        <v>7.3</v>
      </c>
      <c r="I1639" s="3"/>
      <c r="L1639" s="3"/>
      <c r="M1639" s="3"/>
      <c r="N1639" s="3"/>
      <c r="O1639" s="3"/>
      <c r="P1639" s="3"/>
      <c r="Q1639" s="3"/>
      <c r="R1639" s="3"/>
      <c r="S1639" s="3"/>
    </row>
    <row r="1640" spans="3:19" ht="15.75" customHeight="1" x14ac:dyDescent="0.2">
      <c r="C1640" s="208">
        <v>40680</v>
      </c>
      <c r="D1640" s="19">
        <v>0.41319444444444442</v>
      </c>
      <c r="E1640" s="3">
        <v>2</v>
      </c>
      <c r="F1640" s="3"/>
      <c r="G1640" s="3"/>
      <c r="H1640" s="7">
        <v>7.2</v>
      </c>
      <c r="I1640" s="3"/>
      <c r="L1640" s="3"/>
      <c r="M1640" s="3"/>
      <c r="N1640" s="3"/>
      <c r="O1640" s="3"/>
      <c r="P1640" s="3"/>
      <c r="Q1640" s="3"/>
      <c r="R1640" s="3"/>
      <c r="S1640" s="3"/>
    </row>
    <row r="1641" spans="3:19" ht="15.75" customHeight="1" x14ac:dyDescent="0.2">
      <c r="C1641" s="208">
        <v>40680</v>
      </c>
      <c r="D1641" s="19">
        <v>0.41319444444444442</v>
      </c>
      <c r="E1641" s="3">
        <v>3</v>
      </c>
      <c r="F1641" s="3"/>
      <c r="G1641" s="3"/>
      <c r="H1641" s="7">
        <v>7.2</v>
      </c>
      <c r="I1641" s="3"/>
      <c r="L1641" s="3"/>
      <c r="M1641" s="3"/>
      <c r="N1641" s="3"/>
      <c r="O1641" s="3"/>
      <c r="P1641" s="3"/>
      <c r="Q1641" s="3"/>
      <c r="R1641" s="3"/>
      <c r="S1641" s="3"/>
    </row>
    <row r="1642" spans="3:19" ht="15.75" customHeight="1" x14ac:dyDescent="0.2">
      <c r="C1642" s="208">
        <v>40680</v>
      </c>
      <c r="D1642" s="19">
        <v>0.41319444444444442</v>
      </c>
      <c r="E1642" s="3">
        <v>4</v>
      </c>
      <c r="F1642" s="3"/>
      <c r="G1642" s="3"/>
      <c r="H1642" s="7">
        <v>7.1</v>
      </c>
      <c r="I1642" s="3"/>
      <c r="L1642" s="3"/>
      <c r="M1642" s="3"/>
      <c r="N1642" s="3"/>
      <c r="O1642" s="3"/>
      <c r="P1642" s="3"/>
      <c r="Q1642" s="3"/>
      <c r="R1642" s="3"/>
      <c r="S1642" s="3"/>
    </row>
    <row r="1643" spans="3:19" ht="15.75" customHeight="1" x14ac:dyDescent="0.2">
      <c r="C1643" s="208">
        <v>40680</v>
      </c>
      <c r="D1643" s="19">
        <v>0.41319444444444442</v>
      </c>
      <c r="E1643" s="3">
        <v>5</v>
      </c>
      <c r="F1643" s="3"/>
      <c r="G1643" s="3"/>
      <c r="H1643" s="7">
        <v>7.1</v>
      </c>
      <c r="I1643" s="3"/>
      <c r="L1643" s="3"/>
      <c r="M1643" s="3"/>
      <c r="N1643" s="3"/>
      <c r="O1643" s="3"/>
      <c r="P1643" s="3"/>
      <c r="Q1643" s="3"/>
      <c r="R1643" s="3"/>
      <c r="S1643" s="3"/>
    </row>
    <row r="1644" spans="3:19" ht="15.75" customHeight="1" x14ac:dyDescent="0.2">
      <c r="C1644" s="208">
        <v>40680</v>
      </c>
      <c r="D1644" s="19">
        <v>0.41319444444444442</v>
      </c>
      <c r="E1644" s="3">
        <v>6</v>
      </c>
      <c r="F1644" s="3"/>
      <c r="G1644" s="3"/>
      <c r="H1644" s="7">
        <v>7</v>
      </c>
      <c r="I1644" s="3"/>
      <c r="L1644" s="3"/>
      <c r="M1644" s="3"/>
      <c r="N1644" s="3"/>
      <c r="O1644" s="3"/>
      <c r="P1644" s="3"/>
      <c r="Q1644" s="3"/>
      <c r="R1644" s="3"/>
      <c r="S1644" s="3"/>
    </row>
    <row r="1645" spans="3:19" ht="15.75" customHeight="1" x14ac:dyDescent="0.2">
      <c r="C1645" s="208">
        <v>40680</v>
      </c>
      <c r="D1645" s="19">
        <v>0.41319444444444442</v>
      </c>
      <c r="E1645" s="3">
        <v>7</v>
      </c>
      <c r="F1645" s="3"/>
      <c r="G1645" s="3"/>
      <c r="H1645" s="7">
        <v>6.9</v>
      </c>
      <c r="I1645" s="3"/>
      <c r="L1645" s="3"/>
      <c r="M1645" s="3"/>
      <c r="N1645" s="3"/>
      <c r="O1645" s="3"/>
      <c r="P1645" s="3"/>
      <c r="Q1645" s="3"/>
      <c r="R1645" s="3"/>
      <c r="S1645" s="3"/>
    </row>
    <row r="1646" spans="3:19" ht="15.75" customHeight="1" x14ac:dyDescent="0.2">
      <c r="C1646" s="208">
        <v>40680</v>
      </c>
      <c r="D1646" s="19">
        <v>0.41319444444444442</v>
      </c>
      <c r="E1646" s="3">
        <v>8</v>
      </c>
      <c r="F1646" s="3"/>
      <c r="G1646" s="3"/>
      <c r="H1646" s="7">
        <v>6.9</v>
      </c>
      <c r="I1646" s="3"/>
      <c r="L1646" s="3"/>
      <c r="M1646" s="3"/>
      <c r="N1646" s="3"/>
      <c r="O1646" s="3"/>
      <c r="P1646" s="3"/>
      <c r="Q1646" s="3"/>
      <c r="R1646" s="3"/>
      <c r="S1646" s="3"/>
    </row>
    <row r="1647" spans="3:19" ht="15.75" customHeight="1" x14ac:dyDescent="0.2">
      <c r="C1647" s="208">
        <v>40680</v>
      </c>
      <c r="D1647" s="19">
        <v>0.41319444444444442</v>
      </c>
      <c r="E1647" s="3">
        <v>9</v>
      </c>
      <c r="F1647" s="3"/>
      <c r="G1647" s="3"/>
      <c r="H1647" s="7">
        <v>6.8</v>
      </c>
      <c r="I1647" s="3"/>
      <c r="L1647" s="3"/>
      <c r="M1647" s="3"/>
      <c r="N1647" s="3"/>
      <c r="O1647" s="3"/>
      <c r="P1647" s="3"/>
      <c r="Q1647" s="3"/>
      <c r="R1647" s="3"/>
      <c r="S1647" s="3"/>
    </row>
    <row r="1648" spans="3:19" ht="15.75" customHeight="1" x14ac:dyDescent="0.2">
      <c r="C1648" s="208">
        <v>40680</v>
      </c>
      <c r="D1648" s="19">
        <v>0.41319444444444442</v>
      </c>
      <c r="E1648" s="3">
        <v>10</v>
      </c>
      <c r="F1648" s="3"/>
      <c r="G1648" s="3"/>
      <c r="H1648" s="7">
        <v>6.8</v>
      </c>
      <c r="I1648" s="3"/>
      <c r="L1648" s="3"/>
      <c r="M1648" s="3"/>
      <c r="N1648" s="3"/>
      <c r="O1648" s="3"/>
      <c r="P1648" s="3"/>
      <c r="Q1648" s="3"/>
      <c r="R1648" s="3"/>
      <c r="S1648" s="3"/>
    </row>
    <row r="1649" spans="3:19" ht="15.75" customHeight="1" x14ac:dyDescent="0.2">
      <c r="C1649" s="208">
        <v>40680</v>
      </c>
      <c r="D1649" s="19">
        <v>0.41319444444444442</v>
      </c>
      <c r="E1649" s="3">
        <v>11</v>
      </c>
      <c r="F1649" s="3"/>
      <c r="G1649" s="3"/>
      <c r="H1649" s="7">
        <v>6.7</v>
      </c>
      <c r="I1649" s="3"/>
      <c r="L1649" s="3"/>
      <c r="M1649" s="3"/>
      <c r="N1649" s="3"/>
      <c r="O1649" s="3"/>
      <c r="P1649" s="3"/>
      <c r="Q1649" s="3"/>
      <c r="R1649" s="3"/>
      <c r="S1649" s="3"/>
    </row>
    <row r="1650" spans="3:19" ht="15.75" customHeight="1" x14ac:dyDescent="0.2">
      <c r="C1650" s="208">
        <v>40680</v>
      </c>
      <c r="D1650" s="19">
        <v>0.41319444444444442</v>
      </c>
      <c r="E1650" s="3">
        <v>12</v>
      </c>
      <c r="F1650" s="3"/>
      <c r="G1650" s="3"/>
      <c r="H1650" s="7">
        <v>6.7</v>
      </c>
      <c r="I1650" s="3"/>
      <c r="L1650" s="3"/>
      <c r="M1650" s="3"/>
      <c r="N1650" s="3"/>
      <c r="O1650" s="3"/>
      <c r="P1650" s="3"/>
      <c r="Q1650" s="3"/>
      <c r="R1650" s="3"/>
      <c r="S1650" s="3"/>
    </row>
    <row r="1651" spans="3:19" ht="15.75" customHeight="1" x14ac:dyDescent="0.2">
      <c r="C1651" s="208">
        <v>40680</v>
      </c>
      <c r="D1651" s="19">
        <v>0.41319444444444442</v>
      </c>
      <c r="E1651" s="3">
        <v>13</v>
      </c>
      <c r="F1651" s="3"/>
      <c r="G1651" s="3"/>
      <c r="H1651" s="7">
        <v>6.7</v>
      </c>
      <c r="I1651" s="3"/>
      <c r="L1651" s="3"/>
      <c r="M1651" s="3"/>
      <c r="N1651" s="3"/>
      <c r="O1651" s="3"/>
      <c r="P1651" s="3"/>
      <c r="Q1651" s="3"/>
      <c r="R1651" s="3"/>
      <c r="S1651" s="3"/>
    </row>
    <row r="1652" spans="3:19" ht="15.75" customHeight="1" x14ac:dyDescent="0.2">
      <c r="C1652" s="208">
        <v>40680</v>
      </c>
      <c r="D1652" s="19">
        <v>0.41319444444444442</v>
      </c>
      <c r="E1652" s="3">
        <v>14</v>
      </c>
      <c r="F1652" s="3"/>
      <c r="G1652" s="3"/>
      <c r="H1652" s="7">
        <v>6.7</v>
      </c>
      <c r="I1652" s="3"/>
      <c r="L1652" s="3"/>
      <c r="M1652" s="3"/>
      <c r="N1652" s="3"/>
      <c r="O1652" s="3"/>
      <c r="P1652" s="3"/>
      <c r="Q1652" s="3"/>
      <c r="R1652" s="3"/>
      <c r="S1652" s="3"/>
    </row>
    <row r="1653" spans="3:19" ht="15.75" customHeight="1" x14ac:dyDescent="0.2">
      <c r="C1653" s="208">
        <v>40680</v>
      </c>
      <c r="D1653" s="19">
        <v>0.41319444444444442</v>
      </c>
      <c r="E1653" s="3">
        <v>15</v>
      </c>
      <c r="F1653" s="3"/>
      <c r="G1653" s="3"/>
      <c r="H1653" s="7">
        <v>6.7</v>
      </c>
      <c r="I1653" s="3"/>
      <c r="L1653" s="3"/>
      <c r="M1653" s="3"/>
      <c r="N1653" s="3"/>
      <c r="O1653" s="3"/>
      <c r="P1653" s="3"/>
      <c r="Q1653" s="3"/>
      <c r="R1653" s="3"/>
      <c r="S1653" s="3"/>
    </row>
    <row r="1654" spans="3:19" ht="15.75" customHeight="1" x14ac:dyDescent="0.2">
      <c r="C1654" s="208">
        <v>40680</v>
      </c>
      <c r="D1654" s="19">
        <v>0.41319444444444442</v>
      </c>
      <c r="E1654" s="3">
        <v>16</v>
      </c>
      <c r="F1654" s="3"/>
      <c r="G1654" s="3"/>
      <c r="H1654" s="7">
        <v>6.7</v>
      </c>
      <c r="I1654" s="3"/>
      <c r="L1654" s="3"/>
      <c r="M1654" s="3"/>
      <c r="N1654" s="3"/>
      <c r="O1654" s="3"/>
      <c r="P1654" s="3"/>
      <c r="Q1654" s="3"/>
      <c r="R1654" s="3"/>
      <c r="S1654" s="3"/>
    </row>
    <row r="1655" spans="3:19" ht="15.75" customHeight="1" x14ac:dyDescent="0.2">
      <c r="C1655" s="208">
        <v>40680</v>
      </c>
      <c r="D1655" s="19">
        <v>0.41319444444444442</v>
      </c>
      <c r="E1655" s="3">
        <v>17</v>
      </c>
      <c r="F1655" s="3"/>
      <c r="G1655" s="3"/>
      <c r="H1655" s="7">
        <v>6.7</v>
      </c>
      <c r="I1655" s="3"/>
      <c r="L1655" s="3"/>
      <c r="M1655" s="3"/>
      <c r="N1655" s="3"/>
      <c r="O1655" s="3"/>
      <c r="P1655" s="3"/>
      <c r="Q1655" s="3"/>
      <c r="R1655" s="3"/>
      <c r="S1655" s="3"/>
    </row>
    <row r="1656" spans="3:19" ht="15.75" customHeight="1" x14ac:dyDescent="0.2">
      <c r="C1656" s="208">
        <v>40680</v>
      </c>
      <c r="D1656" s="19">
        <v>0.41319444444444442</v>
      </c>
      <c r="E1656" s="3">
        <v>18</v>
      </c>
      <c r="F1656" s="3"/>
      <c r="G1656" s="3"/>
      <c r="H1656" s="7">
        <v>6.7</v>
      </c>
      <c r="I1656" s="3"/>
      <c r="L1656" s="3"/>
      <c r="M1656" s="3"/>
      <c r="N1656" s="3"/>
      <c r="O1656" s="3"/>
      <c r="P1656" s="3"/>
      <c r="Q1656" s="3"/>
      <c r="R1656" s="3"/>
      <c r="S1656" s="3"/>
    </row>
    <row r="1657" spans="3:19" ht="15.75" customHeight="1" x14ac:dyDescent="0.2">
      <c r="C1657" s="208">
        <v>40680</v>
      </c>
      <c r="D1657" s="19">
        <v>0.41319444444444442</v>
      </c>
      <c r="E1657" s="3">
        <v>19</v>
      </c>
      <c r="F1657" s="3"/>
      <c r="G1657" s="3"/>
      <c r="H1657" s="7">
        <v>6.7</v>
      </c>
      <c r="I1657" s="3"/>
      <c r="L1657" s="3"/>
      <c r="M1657" s="3"/>
      <c r="N1657" s="3"/>
      <c r="O1657" s="3"/>
      <c r="P1657" s="3"/>
      <c r="Q1657" s="3"/>
      <c r="R1657" s="3"/>
      <c r="S1657" s="3"/>
    </row>
    <row r="1658" spans="3:19" ht="15.75" customHeight="1" x14ac:dyDescent="0.2">
      <c r="C1658" s="208">
        <v>40680</v>
      </c>
      <c r="D1658" s="19">
        <v>0.41319444444444442</v>
      </c>
      <c r="E1658" s="3">
        <v>20</v>
      </c>
      <c r="F1658" s="3"/>
      <c r="G1658" s="3"/>
      <c r="H1658" s="7">
        <v>6.7</v>
      </c>
      <c r="I1658" s="3"/>
      <c r="L1658" s="3"/>
      <c r="M1658" s="3"/>
      <c r="N1658" s="3"/>
      <c r="O1658" s="3"/>
      <c r="P1658" s="3"/>
      <c r="Q1658" s="3"/>
      <c r="R1658" s="3"/>
      <c r="S1658" s="3"/>
    </row>
    <row r="1659" spans="3:19" ht="15.75" customHeight="1" x14ac:dyDescent="0.2">
      <c r="C1659" s="208">
        <v>40680</v>
      </c>
      <c r="D1659" s="19">
        <v>0.41319444444444442</v>
      </c>
      <c r="E1659" s="3">
        <v>21</v>
      </c>
      <c r="F1659" s="3"/>
      <c r="G1659" s="3"/>
      <c r="H1659" s="7">
        <v>6.6</v>
      </c>
      <c r="I1659" s="3"/>
      <c r="L1659" s="3"/>
      <c r="M1659" s="3"/>
      <c r="N1659" s="3"/>
      <c r="O1659" s="3"/>
      <c r="P1659" s="3"/>
      <c r="Q1659" s="3"/>
      <c r="R1659" s="3"/>
      <c r="S1659" s="3"/>
    </row>
    <row r="1660" spans="3:19" ht="15.75" customHeight="1" x14ac:dyDescent="0.2">
      <c r="C1660" s="208">
        <v>40680</v>
      </c>
      <c r="D1660" s="19">
        <v>0.41319444444444442</v>
      </c>
      <c r="E1660" s="3">
        <v>22</v>
      </c>
      <c r="F1660" s="3"/>
      <c r="G1660" s="3"/>
      <c r="H1660" s="7">
        <v>6.6</v>
      </c>
      <c r="I1660" s="3"/>
      <c r="L1660" s="3"/>
      <c r="M1660" s="3"/>
      <c r="N1660" s="3"/>
      <c r="O1660" s="3"/>
      <c r="P1660" s="3"/>
      <c r="Q1660" s="3"/>
      <c r="R1660" s="3"/>
      <c r="S1660" s="3"/>
    </row>
    <row r="1661" spans="3:19" ht="15.75" customHeight="1" x14ac:dyDescent="0.2">
      <c r="C1661" s="208">
        <v>40680</v>
      </c>
      <c r="D1661" s="19">
        <v>0.41319444444444442</v>
      </c>
      <c r="E1661" s="3">
        <v>23</v>
      </c>
      <c r="F1661" s="3"/>
      <c r="G1661" s="3"/>
      <c r="H1661" s="7">
        <v>6.6</v>
      </c>
      <c r="I1661" s="3"/>
      <c r="L1661" s="3"/>
      <c r="M1661" s="3"/>
      <c r="N1661" s="3"/>
      <c r="O1661" s="3"/>
      <c r="P1661" s="3"/>
      <c r="Q1661" s="3"/>
      <c r="R1661" s="3"/>
      <c r="S1661" s="3"/>
    </row>
    <row r="1662" spans="3:19" ht="15.75" customHeight="1" x14ac:dyDescent="0.2">
      <c r="C1662" s="208">
        <v>40680</v>
      </c>
      <c r="D1662" s="19">
        <v>0.41319444444444442</v>
      </c>
      <c r="E1662" s="3">
        <v>24</v>
      </c>
      <c r="F1662" s="3"/>
      <c r="G1662" s="3"/>
      <c r="H1662" s="7">
        <v>6.6</v>
      </c>
      <c r="I1662" s="3"/>
      <c r="L1662" s="3"/>
      <c r="M1662" s="3"/>
      <c r="N1662" s="3"/>
      <c r="O1662" s="3"/>
      <c r="P1662" s="3"/>
      <c r="Q1662" s="3"/>
      <c r="R1662" s="3"/>
      <c r="S1662" s="3"/>
    </row>
    <row r="1663" spans="3:19" ht="15.75" customHeight="1" x14ac:dyDescent="0.2">
      <c r="C1663" s="208">
        <v>40680</v>
      </c>
      <c r="D1663" s="19">
        <v>0.41319444444444442</v>
      </c>
      <c r="E1663" s="3">
        <v>25</v>
      </c>
      <c r="F1663" s="3"/>
      <c r="G1663" s="3"/>
      <c r="H1663" s="7">
        <v>6.5</v>
      </c>
      <c r="I1663" s="3"/>
      <c r="L1663" s="3"/>
      <c r="M1663" s="3"/>
      <c r="N1663" s="3"/>
      <c r="O1663" s="3"/>
      <c r="P1663" s="3"/>
      <c r="Q1663" s="3"/>
      <c r="R1663" s="3"/>
      <c r="S1663" s="3"/>
    </row>
    <row r="1664" spans="3:19" ht="15.75" customHeight="1" x14ac:dyDescent="0.2">
      <c r="C1664" s="208"/>
      <c r="D1664" s="19"/>
      <c r="E1664" s="3"/>
      <c r="F1664" s="3"/>
      <c r="G1664" s="3"/>
      <c r="H1664" s="7"/>
      <c r="I1664" s="3"/>
      <c r="L1664" s="3"/>
      <c r="M1664" s="3"/>
      <c r="N1664" s="3"/>
      <c r="O1664" s="3"/>
      <c r="P1664" s="3"/>
      <c r="Q1664" s="3"/>
      <c r="R1664" s="3"/>
      <c r="S1664" s="3"/>
    </row>
    <row r="1665" spans="3:19" ht="15.75" customHeight="1" x14ac:dyDescent="0.2">
      <c r="C1665" s="208"/>
      <c r="D1665" s="19"/>
      <c r="E1665" s="3"/>
      <c r="F1665" s="3"/>
      <c r="G1665" s="3"/>
      <c r="H1665" s="7"/>
      <c r="I1665" s="3"/>
      <c r="L1665" s="3"/>
      <c r="M1665" s="3"/>
      <c r="N1665" s="3"/>
      <c r="O1665" s="3"/>
      <c r="P1665" s="3"/>
      <c r="Q1665" s="3"/>
      <c r="R1665" s="3"/>
      <c r="S1665" s="3"/>
    </row>
    <row r="1666" spans="3:19" ht="15.75" customHeight="1" x14ac:dyDescent="0.2">
      <c r="C1666" s="208"/>
      <c r="D1666" s="19"/>
      <c r="E1666" s="3"/>
      <c r="F1666" s="3"/>
      <c r="G1666" s="3"/>
      <c r="H1666" s="7"/>
      <c r="I1666" s="3"/>
      <c r="L1666" s="3"/>
      <c r="M1666" s="3"/>
      <c r="N1666" s="3"/>
      <c r="O1666" s="3"/>
      <c r="P1666" s="3"/>
      <c r="Q1666" s="3"/>
      <c r="R1666" s="3"/>
      <c r="S1666" s="3"/>
    </row>
    <row r="1667" spans="3:19" ht="15.75" customHeight="1" x14ac:dyDescent="0.2">
      <c r="C1667" s="208"/>
      <c r="D1667" s="19"/>
      <c r="E1667" s="3"/>
      <c r="F1667" s="3"/>
      <c r="G1667" s="3"/>
      <c r="H1667" s="7"/>
      <c r="I1667" s="3"/>
      <c r="L1667" s="3"/>
      <c r="M1667" s="3"/>
      <c r="N1667" s="3"/>
      <c r="O1667" s="3"/>
      <c r="P1667" s="3"/>
      <c r="Q1667" s="3"/>
      <c r="R1667" s="3"/>
      <c r="S1667" s="3"/>
    </row>
    <row r="1668" spans="3:19" ht="15.75" customHeight="1" x14ac:dyDescent="0.2">
      <c r="C1668" s="208">
        <v>40708</v>
      </c>
      <c r="D1668" s="19">
        <v>0.46180555555555558</v>
      </c>
      <c r="E1668" s="3"/>
      <c r="F1668" s="3"/>
      <c r="G1668" s="3"/>
      <c r="H1668" s="7"/>
      <c r="I1668" s="3"/>
      <c r="J1668">
        <v>6</v>
      </c>
      <c r="K1668">
        <v>8</v>
      </c>
      <c r="L1668" s="3"/>
      <c r="M1668" s="3"/>
      <c r="N1668" s="3"/>
      <c r="O1668" s="3"/>
      <c r="P1668" s="3"/>
      <c r="Q1668" s="3"/>
      <c r="R1668" s="3"/>
      <c r="S1668" s="3"/>
    </row>
    <row r="1669" spans="3:19" ht="15.75" customHeight="1" x14ac:dyDescent="0.2">
      <c r="C1669" s="208">
        <v>40708</v>
      </c>
      <c r="D1669" s="19">
        <v>0.46180555555555558</v>
      </c>
      <c r="E1669" s="3">
        <v>0.1</v>
      </c>
      <c r="F1669" s="3">
        <v>11.46</v>
      </c>
      <c r="G1669" s="3">
        <v>110</v>
      </c>
      <c r="H1669" s="7">
        <v>12.7</v>
      </c>
      <c r="I1669" s="3"/>
      <c r="L1669" s="3"/>
      <c r="M1669" s="3"/>
      <c r="N1669" s="3"/>
      <c r="O1669" s="3"/>
      <c r="P1669" s="3"/>
      <c r="Q1669" s="3"/>
      <c r="R1669" s="3"/>
      <c r="S1669" s="3"/>
    </row>
    <row r="1670" spans="3:19" ht="15.75" customHeight="1" x14ac:dyDescent="0.2">
      <c r="C1670" s="208">
        <v>40708</v>
      </c>
      <c r="D1670" s="19">
        <v>0.46180555555555558</v>
      </c>
      <c r="E1670" s="3">
        <v>1</v>
      </c>
      <c r="F1670" s="3">
        <v>11.46</v>
      </c>
      <c r="G1670" s="3">
        <v>108.4</v>
      </c>
      <c r="H1670" s="7">
        <v>12.5</v>
      </c>
      <c r="I1670" s="3"/>
      <c r="L1670" s="3"/>
      <c r="M1670" s="3"/>
      <c r="N1670" s="3"/>
      <c r="O1670" s="3"/>
      <c r="P1670" s="3"/>
      <c r="Q1670" s="3"/>
      <c r="R1670" s="3"/>
      <c r="S1670" s="3"/>
    </row>
    <row r="1671" spans="3:19" ht="15.75" customHeight="1" x14ac:dyDescent="0.2">
      <c r="C1671" s="208">
        <v>40708</v>
      </c>
      <c r="D1671" s="19">
        <v>0.46180555555555558</v>
      </c>
      <c r="E1671" s="3">
        <v>2</v>
      </c>
      <c r="F1671" s="3">
        <v>11.56</v>
      </c>
      <c r="G1671" s="3">
        <v>108.7</v>
      </c>
      <c r="H1671" s="7">
        <v>12.2</v>
      </c>
      <c r="I1671" s="3"/>
      <c r="L1671" s="3"/>
      <c r="M1671" s="3"/>
      <c r="N1671" s="3"/>
      <c r="O1671" s="3"/>
      <c r="P1671" s="3"/>
      <c r="Q1671" s="3"/>
      <c r="R1671" s="3"/>
      <c r="S1671" s="3"/>
    </row>
    <row r="1672" spans="3:19" ht="15.75" customHeight="1" x14ac:dyDescent="0.2">
      <c r="C1672" s="208">
        <v>40708</v>
      </c>
      <c r="D1672" s="19">
        <v>0.46180555555555558</v>
      </c>
      <c r="E1672" s="3">
        <v>3</v>
      </c>
      <c r="F1672" s="3">
        <v>11.56</v>
      </c>
      <c r="G1672" s="3">
        <v>108.5</v>
      </c>
      <c r="H1672" s="7">
        <v>12.1</v>
      </c>
      <c r="I1672" s="3"/>
      <c r="L1672" s="3"/>
      <c r="M1672" s="3"/>
      <c r="N1672" s="3"/>
      <c r="O1672" s="3"/>
      <c r="P1672" s="3"/>
      <c r="Q1672" s="3"/>
      <c r="R1672" s="3"/>
      <c r="S1672" s="3"/>
    </row>
    <row r="1673" spans="3:19" ht="15.75" customHeight="1" x14ac:dyDescent="0.2">
      <c r="C1673" s="208">
        <v>40708</v>
      </c>
      <c r="D1673" s="19">
        <v>0.46180555555555558</v>
      </c>
      <c r="E1673" s="3">
        <v>4</v>
      </c>
      <c r="F1673" s="3">
        <v>11.55</v>
      </c>
      <c r="G1673" s="3">
        <v>108.5</v>
      </c>
      <c r="H1673" s="7">
        <v>12</v>
      </c>
      <c r="I1673" s="3"/>
      <c r="L1673" s="3"/>
      <c r="M1673" s="3"/>
      <c r="N1673" s="3"/>
      <c r="O1673" s="3"/>
      <c r="P1673" s="3"/>
      <c r="Q1673" s="3"/>
      <c r="R1673" s="3"/>
      <c r="S1673" s="3"/>
    </row>
    <row r="1674" spans="3:19" ht="15.75" customHeight="1" x14ac:dyDescent="0.2">
      <c r="C1674" s="208">
        <v>40708</v>
      </c>
      <c r="D1674" s="19">
        <v>0.46180555555555558</v>
      </c>
      <c r="E1674" s="3">
        <v>5</v>
      </c>
      <c r="F1674" s="3">
        <v>11.73</v>
      </c>
      <c r="G1674" s="3">
        <v>108.7</v>
      </c>
      <c r="H1674" s="7">
        <v>12</v>
      </c>
      <c r="I1674" s="3"/>
      <c r="L1674" s="3"/>
      <c r="M1674" s="3"/>
      <c r="N1674" s="3"/>
      <c r="O1674" s="3"/>
      <c r="P1674" s="3"/>
      <c r="Q1674" s="3"/>
      <c r="R1674" s="3"/>
      <c r="S1674" s="3"/>
    </row>
    <row r="1675" spans="3:19" ht="15.75" customHeight="1" x14ac:dyDescent="0.2">
      <c r="C1675" s="208">
        <v>40708</v>
      </c>
      <c r="D1675" s="19">
        <v>0.46180555555555558</v>
      </c>
      <c r="E1675" s="3">
        <v>6</v>
      </c>
      <c r="F1675" s="3">
        <v>11.82</v>
      </c>
      <c r="G1675" s="3">
        <v>109.4</v>
      </c>
      <c r="H1675" s="7">
        <v>11.4</v>
      </c>
      <c r="I1675" s="3"/>
      <c r="L1675" s="3"/>
      <c r="M1675" s="3"/>
      <c r="N1675" s="3"/>
      <c r="O1675" s="3"/>
      <c r="P1675" s="3"/>
      <c r="Q1675" s="3"/>
      <c r="R1675" s="3"/>
      <c r="S1675" s="3"/>
    </row>
    <row r="1676" spans="3:19" ht="15.75" customHeight="1" x14ac:dyDescent="0.2">
      <c r="C1676" s="208">
        <v>40708</v>
      </c>
      <c r="D1676" s="19">
        <v>0.46180555555555558</v>
      </c>
      <c r="E1676" s="3">
        <v>7</v>
      </c>
      <c r="F1676" s="3">
        <v>12.03</v>
      </c>
      <c r="G1676" s="3">
        <v>109.1</v>
      </c>
      <c r="H1676" s="7">
        <v>10.6</v>
      </c>
      <c r="I1676" s="3"/>
      <c r="L1676" s="3"/>
      <c r="M1676" s="3"/>
      <c r="N1676" s="3"/>
      <c r="O1676" s="3"/>
      <c r="P1676" s="3"/>
      <c r="Q1676" s="3"/>
      <c r="R1676" s="3"/>
      <c r="S1676" s="3"/>
    </row>
    <row r="1677" spans="3:19" ht="15.75" customHeight="1" x14ac:dyDescent="0.2">
      <c r="C1677" s="208">
        <v>40708</v>
      </c>
      <c r="D1677" s="19">
        <v>0.46180555555555558</v>
      </c>
      <c r="E1677" s="3">
        <v>8</v>
      </c>
      <c r="F1677" s="3">
        <v>12.2</v>
      </c>
      <c r="G1677" s="3">
        <v>109.2</v>
      </c>
      <c r="H1677" s="7">
        <v>10</v>
      </c>
      <c r="I1677" s="3"/>
      <c r="L1677" s="3"/>
      <c r="M1677" s="3"/>
      <c r="N1677" s="3"/>
      <c r="O1677" s="3"/>
      <c r="P1677" s="3"/>
      <c r="Q1677" s="3"/>
      <c r="R1677" s="3"/>
      <c r="S1677" s="3"/>
    </row>
    <row r="1678" spans="3:19" ht="15.75" customHeight="1" x14ac:dyDescent="0.2">
      <c r="C1678" s="208">
        <v>40708</v>
      </c>
      <c r="D1678" s="19">
        <v>0.46180555555555558</v>
      </c>
      <c r="E1678" s="3">
        <v>9</v>
      </c>
      <c r="F1678" s="3">
        <v>12.3</v>
      </c>
      <c r="G1678" s="3">
        <v>108.6</v>
      </c>
      <c r="H1678" s="7">
        <v>9.4</v>
      </c>
      <c r="I1678" s="3"/>
      <c r="L1678" s="3"/>
      <c r="M1678" s="3"/>
      <c r="N1678" s="3"/>
      <c r="O1678" s="3"/>
      <c r="P1678" s="3"/>
      <c r="Q1678" s="3"/>
      <c r="R1678" s="3"/>
      <c r="S1678" s="3"/>
    </row>
    <row r="1679" spans="3:19" ht="15.75" customHeight="1" x14ac:dyDescent="0.2">
      <c r="C1679" s="208">
        <v>40708</v>
      </c>
      <c r="D1679" s="19">
        <v>0.46180555555555558</v>
      </c>
      <c r="E1679" s="3">
        <v>10</v>
      </c>
      <c r="F1679" s="3">
        <v>12.34</v>
      </c>
      <c r="G1679" s="3">
        <v>107.5</v>
      </c>
      <c r="H1679" s="7">
        <v>9</v>
      </c>
      <c r="I1679" s="3"/>
      <c r="L1679" s="3"/>
      <c r="M1679" s="3"/>
      <c r="N1679" s="3"/>
      <c r="O1679" s="3"/>
      <c r="P1679" s="3"/>
      <c r="Q1679" s="3"/>
      <c r="R1679" s="3"/>
      <c r="S1679" s="3"/>
    </row>
    <row r="1680" spans="3:19" ht="15.75" customHeight="1" x14ac:dyDescent="0.2">
      <c r="C1680" s="208">
        <v>40708</v>
      </c>
      <c r="D1680" s="19">
        <v>0.46180555555555558</v>
      </c>
      <c r="E1680" s="3">
        <v>11</v>
      </c>
      <c r="F1680" s="3">
        <v>12.31</v>
      </c>
      <c r="G1680" s="3">
        <v>106.7</v>
      </c>
      <c r="H1680" s="7">
        <v>8.6999999999999993</v>
      </c>
      <c r="I1680" s="3"/>
      <c r="L1680" s="3"/>
      <c r="M1680" s="3"/>
      <c r="N1680" s="3"/>
      <c r="O1680" s="3"/>
      <c r="P1680" s="3"/>
      <c r="Q1680" s="3"/>
      <c r="R1680" s="3"/>
      <c r="S1680" s="3"/>
    </row>
    <row r="1681" spans="3:19" ht="15.75" customHeight="1" x14ac:dyDescent="0.2">
      <c r="C1681" s="208">
        <v>40708</v>
      </c>
      <c r="D1681" s="19">
        <v>0.46180555555555558</v>
      </c>
      <c r="E1681" s="3">
        <v>12</v>
      </c>
      <c r="F1681" s="3">
        <v>12.31</v>
      </c>
      <c r="G1681" s="3">
        <v>106</v>
      </c>
      <c r="H1681" s="7">
        <v>8.6</v>
      </c>
      <c r="I1681" s="3"/>
      <c r="L1681" s="3"/>
      <c r="M1681" s="3"/>
      <c r="N1681" s="3"/>
      <c r="O1681" s="3"/>
      <c r="P1681" s="3"/>
      <c r="Q1681" s="3"/>
      <c r="R1681" s="3"/>
      <c r="S1681" s="3"/>
    </row>
    <row r="1682" spans="3:19" ht="15.75" customHeight="1" x14ac:dyDescent="0.2">
      <c r="C1682" s="208">
        <v>40708</v>
      </c>
      <c r="D1682" s="19">
        <v>0.46180555555555558</v>
      </c>
      <c r="E1682" s="3">
        <v>13</v>
      </c>
      <c r="F1682" s="3">
        <v>12.28</v>
      </c>
      <c r="G1682" s="3">
        <v>105.3</v>
      </c>
      <c r="H1682" s="7">
        <v>8.3000000000000007</v>
      </c>
      <c r="I1682" s="3"/>
      <c r="L1682" s="3"/>
      <c r="M1682" s="3"/>
      <c r="N1682" s="3"/>
      <c r="O1682" s="3"/>
      <c r="P1682" s="3"/>
      <c r="Q1682" s="3"/>
      <c r="R1682" s="3"/>
      <c r="S1682" s="3"/>
    </row>
    <row r="1683" spans="3:19" ht="15.75" customHeight="1" x14ac:dyDescent="0.2">
      <c r="C1683" s="208">
        <v>40708</v>
      </c>
      <c r="D1683" s="19">
        <v>0.46180555555555558</v>
      </c>
      <c r="E1683" s="3">
        <v>14</v>
      </c>
      <c r="F1683" s="3">
        <v>12.27</v>
      </c>
      <c r="G1683" s="3">
        <v>105.1</v>
      </c>
      <c r="H1683" s="7">
        <v>8</v>
      </c>
      <c r="I1683" s="3"/>
      <c r="L1683" s="3"/>
      <c r="M1683" s="3"/>
      <c r="N1683" s="3"/>
      <c r="O1683" s="3"/>
      <c r="P1683" s="3"/>
      <c r="Q1683" s="3"/>
      <c r="R1683" s="3"/>
      <c r="S1683" s="3"/>
    </row>
    <row r="1684" spans="3:19" ht="15.75" customHeight="1" x14ac:dyDescent="0.2">
      <c r="C1684" s="208">
        <v>40708</v>
      </c>
      <c r="D1684" s="19">
        <v>0.46180555555555558</v>
      </c>
      <c r="E1684" s="3">
        <v>15</v>
      </c>
      <c r="F1684" s="3">
        <v>12.3</v>
      </c>
      <c r="G1684" s="3">
        <v>105.2</v>
      </c>
      <c r="H1684" s="7">
        <v>7.9</v>
      </c>
      <c r="I1684" s="3"/>
      <c r="L1684" s="3"/>
      <c r="M1684" s="3"/>
      <c r="N1684" s="3"/>
      <c r="O1684" s="3"/>
      <c r="P1684" s="3"/>
      <c r="Q1684" s="3"/>
      <c r="R1684" s="3"/>
      <c r="S1684" s="3"/>
    </row>
    <row r="1685" spans="3:19" ht="15.75" customHeight="1" x14ac:dyDescent="0.2">
      <c r="C1685" s="208">
        <v>40708</v>
      </c>
      <c r="D1685" s="19">
        <v>0.46180555555555558</v>
      </c>
      <c r="E1685" s="3">
        <v>16</v>
      </c>
      <c r="F1685" s="3">
        <v>12.3</v>
      </c>
      <c r="G1685" s="3">
        <v>104.5</v>
      </c>
      <c r="H1685" s="7">
        <v>7.7</v>
      </c>
      <c r="I1685" s="3"/>
      <c r="L1685" s="3"/>
      <c r="M1685" s="3"/>
      <c r="N1685" s="3"/>
      <c r="O1685" s="3"/>
      <c r="P1685" s="3"/>
      <c r="Q1685" s="3"/>
      <c r="R1685" s="3"/>
      <c r="S1685" s="3"/>
    </row>
    <row r="1686" spans="3:19" ht="15.75" customHeight="1" x14ac:dyDescent="0.2">
      <c r="C1686" s="208">
        <v>40708</v>
      </c>
      <c r="D1686" s="19">
        <v>0.46180555555555558</v>
      </c>
      <c r="E1686" s="3">
        <v>17</v>
      </c>
      <c r="F1686" s="3">
        <v>12.43</v>
      </c>
      <c r="G1686" s="3">
        <v>104.4</v>
      </c>
      <c r="H1686" s="7">
        <v>7.2</v>
      </c>
      <c r="I1686" s="3"/>
      <c r="L1686" s="3"/>
      <c r="M1686" s="3"/>
      <c r="N1686" s="3"/>
      <c r="O1686" s="3"/>
      <c r="P1686" s="3"/>
      <c r="Q1686" s="3"/>
      <c r="R1686" s="3"/>
      <c r="S1686" s="3"/>
    </row>
    <row r="1687" spans="3:19" ht="15.75" customHeight="1" x14ac:dyDescent="0.2">
      <c r="C1687" s="208">
        <v>40708</v>
      </c>
      <c r="D1687" s="19">
        <v>0.46180555555555558</v>
      </c>
      <c r="E1687" s="3">
        <v>18</v>
      </c>
      <c r="F1687" s="3">
        <v>12.5</v>
      </c>
      <c r="G1687" s="3">
        <v>103.8</v>
      </c>
      <c r="H1687" s="7">
        <v>7</v>
      </c>
      <c r="I1687" s="3"/>
      <c r="L1687" s="3"/>
      <c r="M1687" s="3"/>
      <c r="N1687" s="3"/>
      <c r="O1687" s="3"/>
      <c r="P1687" s="3"/>
      <c r="Q1687" s="3"/>
      <c r="R1687" s="3"/>
      <c r="S1687" s="3"/>
    </row>
    <row r="1688" spans="3:19" ht="15.75" customHeight="1" x14ac:dyDescent="0.2">
      <c r="C1688" s="208">
        <v>40708</v>
      </c>
      <c r="D1688" s="19">
        <v>0.46180555555555558</v>
      </c>
      <c r="E1688" s="3">
        <v>19</v>
      </c>
      <c r="F1688" s="3">
        <v>12.4</v>
      </c>
      <c r="G1688" s="3">
        <v>103.6</v>
      </c>
      <c r="H1688" s="7">
        <v>6.9</v>
      </c>
      <c r="I1688" s="3"/>
      <c r="L1688" s="3"/>
      <c r="M1688" s="3"/>
      <c r="N1688" s="3"/>
      <c r="O1688" s="3"/>
      <c r="P1688" s="3"/>
      <c r="Q1688" s="3"/>
      <c r="R1688" s="3"/>
      <c r="S1688" s="3"/>
    </row>
    <row r="1689" spans="3:19" ht="15.75" customHeight="1" x14ac:dyDescent="0.2">
      <c r="C1689" s="208">
        <v>40708</v>
      </c>
      <c r="D1689" s="19">
        <v>0.46180555555555558</v>
      </c>
      <c r="E1689" s="3">
        <v>20</v>
      </c>
      <c r="F1689" s="3">
        <v>12.5</v>
      </c>
      <c r="G1689" s="3">
        <v>103.8</v>
      </c>
      <c r="H1689" s="7">
        <v>6.7</v>
      </c>
      <c r="I1689" s="3"/>
      <c r="L1689" s="3"/>
      <c r="M1689" s="3"/>
      <c r="N1689" s="3"/>
      <c r="O1689" s="3"/>
      <c r="P1689" s="3"/>
      <c r="Q1689" s="3"/>
      <c r="R1689" s="3"/>
      <c r="S1689" s="3"/>
    </row>
    <row r="1690" spans="3:19" ht="15.75" customHeight="1" x14ac:dyDescent="0.2">
      <c r="C1690" s="208">
        <v>40708</v>
      </c>
      <c r="D1690" s="19">
        <v>0.46180555555555558</v>
      </c>
      <c r="E1690" s="3">
        <v>21</v>
      </c>
      <c r="F1690" s="3">
        <v>12.6</v>
      </c>
      <c r="G1690" s="3">
        <v>104.4</v>
      </c>
      <c r="H1690" s="7">
        <v>6.6</v>
      </c>
      <c r="I1690" s="3"/>
      <c r="L1690" s="3"/>
      <c r="M1690" s="3"/>
      <c r="N1690" s="3"/>
      <c r="O1690" s="3"/>
      <c r="P1690" s="3"/>
      <c r="Q1690" s="3"/>
      <c r="R1690" s="3"/>
      <c r="S1690" s="3"/>
    </row>
    <row r="1691" spans="3:19" ht="15.75" customHeight="1" x14ac:dyDescent="0.2">
      <c r="C1691" s="208">
        <v>40708</v>
      </c>
      <c r="D1691" s="19">
        <v>0.46180555555555558</v>
      </c>
      <c r="E1691" s="3">
        <v>22</v>
      </c>
      <c r="F1691" s="3">
        <v>12.6</v>
      </c>
      <c r="G1691" s="3">
        <v>103.7</v>
      </c>
      <c r="H1691" s="7">
        <v>6.3</v>
      </c>
      <c r="I1691" s="3"/>
      <c r="L1691" s="3"/>
      <c r="M1691" s="3"/>
      <c r="N1691" s="3"/>
      <c r="O1691" s="3"/>
      <c r="P1691" s="3"/>
      <c r="Q1691" s="3"/>
      <c r="R1691" s="3"/>
      <c r="S1691" s="3"/>
    </row>
    <row r="1692" spans="3:19" ht="15.75" customHeight="1" x14ac:dyDescent="0.2">
      <c r="C1692" s="208">
        <v>40708</v>
      </c>
      <c r="D1692" s="19">
        <v>0.46180555555555558</v>
      </c>
      <c r="E1692" s="3">
        <v>23</v>
      </c>
      <c r="F1692" s="3">
        <v>12.6</v>
      </c>
      <c r="G1692" s="3">
        <v>103.4</v>
      </c>
      <c r="H1692" s="7">
        <v>6.2</v>
      </c>
      <c r="I1692" s="3"/>
      <c r="L1692" s="3"/>
      <c r="M1692" s="3"/>
      <c r="N1692" s="3"/>
      <c r="O1692" s="3"/>
      <c r="P1692" s="3"/>
      <c r="Q1692" s="3"/>
      <c r="R1692" s="3"/>
      <c r="S1692" s="3"/>
    </row>
    <row r="1693" spans="3:19" ht="15.75" customHeight="1" x14ac:dyDescent="0.2">
      <c r="C1693" s="208">
        <v>40708</v>
      </c>
      <c r="D1693" s="19">
        <v>0.46180555555555558</v>
      </c>
      <c r="E1693" s="3">
        <v>24</v>
      </c>
      <c r="F1693" s="3">
        <v>12.6</v>
      </c>
      <c r="G1693" s="3">
        <v>102.8</v>
      </c>
      <c r="H1693" s="7">
        <v>6.2</v>
      </c>
      <c r="I1693" s="3"/>
      <c r="L1693" s="3"/>
      <c r="M1693" s="3"/>
      <c r="N1693" s="3"/>
      <c r="O1693" s="3"/>
      <c r="P1693" s="3"/>
      <c r="Q1693" s="3"/>
      <c r="R1693" s="3"/>
      <c r="S1693" s="3"/>
    </row>
    <row r="1694" spans="3:19" ht="15.75" customHeight="1" x14ac:dyDescent="0.2">
      <c r="C1694" s="208">
        <v>40708</v>
      </c>
      <c r="D1694" s="19">
        <v>0.46180555555555558</v>
      </c>
      <c r="E1694" s="3">
        <v>25</v>
      </c>
      <c r="F1694" s="3">
        <v>12.6</v>
      </c>
      <c r="G1694" s="3">
        <v>102.9</v>
      </c>
      <c r="H1694" s="7">
        <v>6.1</v>
      </c>
      <c r="I1694" s="3"/>
      <c r="L1694" s="3"/>
      <c r="M1694" s="3"/>
      <c r="N1694" s="3"/>
      <c r="O1694" s="3"/>
      <c r="P1694" s="3"/>
      <c r="Q1694" s="3"/>
      <c r="R1694" s="3"/>
      <c r="S1694" s="3"/>
    </row>
    <row r="1695" spans="3:19" ht="15.75" customHeight="1" x14ac:dyDescent="0.2">
      <c r="C1695" s="208"/>
      <c r="D1695" s="19"/>
      <c r="E1695" s="3"/>
      <c r="F1695" s="3"/>
      <c r="G1695" s="3"/>
      <c r="H1695" s="7"/>
      <c r="I1695" s="3"/>
      <c r="L1695" s="3"/>
      <c r="M1695" s="3"/>
      <c r="N1695" s="3"/>
      <c r="O1695" s="3"/>
      <c r="P1695" s="3"/>
      <c r="Q1695" s="3"/>
      <c r="R1695" s="3"/>
      <c r="S1695" s="3"/>
    </row>
    <row r="1696" spans="3:19" ht="15.75" customHeight="1" x14ac:dyDescent="0.2">
      <c r="C1696" s="208">
        <v>40750</v>
      </c>
      <c r="D1696" s="19">
        <v>0.41666666666666669</v>
      </c>
      <c r="E1696" s="3"/>
      <c r="F1696" s="3"/>
      <c r="G1696" s="3"/>
      <c r="H1696" s="7"/>
      <c r="I1696" s="3"/>
      <c r="J1696">
        <v>6.5</v>
      </c>
      <c r="K1696">
        <v>11</v>
      </c>
      <c r="L1696" s="3"/>
      <c r="M1696" s="3"/>
      <c r="N1696" s="3"/>
      <c r="O1696" s="3"/>
      <c r="P1696" s="3"/>
      <c r="Q1696" s="3"/>
      <c r="R1696" s="3"/>
      <c r="S1696" s="3"/>
    </row>
    <row r="1697" spans="3:19" ht="15.75" customHeight="1" x14ac:dyDescent="0.2">
      <c r="C1697" s="208">
        <v>40750</v>
      </c>
      <c r="D1697" s="19">
        <v>0.41666666666666669</v>
      </c>
      <c r="E1697" s="3">
        <v>0.1</v>
      </c>
      <c r="F1697" s="3">
        <v>10.029999999999999</v>
      </c>
      <c r="G1697" s="3">
        <v>108.5</v>
      </c>
      <c r="H1697" s="7">
        <v>18.399999999999999</v>
      </c>
      <c r="I1697" s="7">
        <v>18.399999999999999</v>
      </c>
      <c r="J1697" s="7"/>
      <c r="L1697" s="3"/>
      <c r="M1697" s="3"/>
      <c r="N1697" s="3"/>
      <c r="O1697" s="3"/>
      <c r="P1697" s="3"/>
      <c r="Q1697" s="3"/>
      <c r="R1697" s="3"/>
      <c r="S1697" s="3"/>
    </row>
    <row r="1698" spans="3:19" ht="15.75" customHeight="1" x14ac:dyDescent="0.2">
      <c r="C1698" s="208">
        <v>40750</v>
      </c>
      <c r="D1698" s="19">
        <v>0.41666666666666669</v>
      </c>
      <c r="E1698" s="3">
        <v>1</v>
      </c>
      <c r="F1698" s="3">
        <v>9.98</v>
      </c>
      <c r="G1698" s="3">
        <v>107.6</v>
      </c>
      <c r="H1698" s="7">
        <v>18.399999999999999</v>
      </c>
      <c r="I1698" s="7">
        <v>18.399999999999999</v>
      </c>
      <c r="J1698" s="7"/>
      <c r="L1698" s="3"/>
      <c r="M1698" s="3"/>
      <c r="N1698" s="3"/>
      <c r="O1698" s="3"/>
      <c r="P1698" s="3"/>
      <c r="Q1698" s="3"/>
      <c r="R1698" s="3"/>
      <c r="S1698" s="3"/>
    </row>
    <row r="1699" spans="3:19" ht="15.75" customHeight="1" x14ac:dyDescent="0.2">
      <c r="C1699" s="208">
        <v>40750</v>
      </c>
      <c r="D1699" s="19">
        <v>0.41666666666666669</v>
      </c>
      <c r="E1699" s="3">
        <v>2</v>
      </c>
      <c r="F1699" s="3">
        <v>10.02</v>
      </c>
      <c r="G1699" s="3">
        <v>108.7</v>
      </c>
      <c r="H1699" s="7">
        <v>18.399999999999999</v>
      </c>
      <c r="I1699" s="7">
        <v>18.399999999999999</v>
      </c>
      <c r="J1699" s="7"/>
      <c r="L1699" s="3"/>
      <c r="M1699" s="3"/>
      <c r="N1699" s="3"/>
      <c r="O1699" s="3"/>
      <c r="P1699" s="3"/>
      <c r="Q1699" s="3"/>
      <c r="R1699" s="3"/>
      <c r="S1699" s="3"/>
    </row>
    <row r="1700" spans="3:19" ht="15.75" customHeight="1" x14ac:dyDescent="0.2">
      <c r="C1700" s="208">
        <v>40750</v>
      </c>
      <c r="D1700" s="19">
        <v>0.41666666666666669</v>
      </c>
      <c r="E1700" s="3">
        <v>3</v>
      </c>
      <c r="F1700" s="3">
        <v>10.039999999999999</v>
      </c>
      <c r="G1700" s="3">
        <v>108.9</v>
      </c>
      <c r="H1700" s="7">
        <v>18.399999999999999</v>
      </c>
      <c r="I1700" s="7">
        <v>18.399999999999999</v>
      </c>
      <c r="J1700" s="7"/>
      <c r="L1700" s="3"/>
      <c r="M1700" s="3"/>
      <c r="N1700" s="3"/>
      <c r="O1700" s="3"/>
      <c r="P1700" s="3"/>
      <c r="Q1700" s="3"/>
      <c r="R1700" s="3"/>
      <c r="S1700" s="3"/>
    </row>
    <row r="1701" spans="3:19" ht="15.75" customHeight="1" x14ac:dyDescent="0.2">
      <c r="C1701" s="208">
        <v>40750</v>
      </c>
      <c r="D1701" s="19">
        <v>0.41666666666666669</v>
      </c>
      <c r="E1701" s="3">
        <v>4</v>
      </c>
      <c r="F1701" s="3">
        <v>10.1</v>
      </c>
      <c r="G1701" s="3">
        <v>109.3</v>
      </c>
      <c r="H1701" s="7">
        <v>18.399999999999999</v>
      </c>
      <c r="I1701" s="7">
        <v>18.399999999999999</v>
      </c>
      <c r="J1701" s="7"/>
      <c r="L1701" s="3"/>
      <c r="M1701" s="3"/>
      <c r="N1701" s="3"/>
      <c r="O1701" s="3"/>
      <c r="P1701" s="3"/>
      <c r="Q1701" s="3"/>
      <c r="R1701" s="3"/>
      <c r="S1701" s="3"/>
    </row>
    <row r="1702" spans="3:19" ht="15.75" customHeight="1" x14ac:dyDescent="0.2">
      <c r="C1702" s="208">
        <v>40750</v>
      </c>
      <c r="D1702" s="19">
        <v>0.41666666666666669</v>
      </c>
      <c r="E1702" s="3">
        <v>5</v>
      </c>
      <c r="F1702" s="3">
        <v>10.1</v>
      </c>
      <c r="G1702" s="3">
        <v>109.2</v>
      </c>
      <c r="H1702" s="3">
        <v>18.399999999999999</v>
      </c>
      <c r="I1702" s="3">
        <v>18.399999999999999</v>
      </c>
      <c r="J1702" s="3"/>
      <c r="L1702" s="3"/>
      <c r="M1702" s="3"/>
      <c r="N1702" s="3"/>
      <c r="O1702" s="3"/>
      <c r="P1702" s="3"/>
      <c r="Q1702" s="3"/>
      <c r="R1702" s="3"/>
      <c r="S1702" s="3"/>
    </row>
    <row r="1703" spans="3:19" ht="15.75" customHeight="1" x14ac:dyDescent="0.2">
      <c r="C1703" s="208">
        <v>40750</v>
      </c>
      <c r="D1703" s="19">
        <v>0.41666666666666669</v>
      </c>
      <c r="E1703" s="3">
        <v>6</v>
      </c>
      <c r="F1703" s="3">
        <v>10.050000000000001</v>
      </c>
      <c r="G1703" s="3">
        <v>109.2</v>
      </c>
      <c r="H1703" s="7">
        <v>18.3</v>
      </c>
      <c r="I1703" s="7">
        <v>18.3</v>
      </c>
      <c r="J1703" s="7"/>
      <c r="L1703" s="3"/>
      <c r="M1703" s="3"/>
      <c r="N1703" s="3"/>
      <c r="O1703" s="3"/>
      <c r="P1703" s="3"/>
      <c r="Q1703" s="3"/>
      <c r="R1703" s="3"/>
      <c r="S1703" s="3"/>
    </row>
    <row r="1704" spans="3:19" ht="15.75" customHeight="1" x14ac:dyDescent="0.2">
      <c r="C1704" s="208">
        <v>40750</v>
      </c>
      <c r="D1704" s="19">
        <v>0.41666666666666669</v>
      </c>
      <c r="E1704" s="3">
        <v>7</v>
      </c>
      <c r="F1704" s="3">
        <v>10.45</v>
      </c>
      <c r="G1704" s="3">
        <v>111.1</v>
      </c>
      <c r="H1704" s="7">
        <v>17.7</v>
      </c>
      <c r="I1704" s="7">
        <v>17.7</v>
      </c>
      <c r="J1704" s="7"/>
      <c r="L1704" s="3"/>
      <c r="M1704" s="3"/>
      <c r="N1704" s="3"/>
      <c r="O1704" s="3"/>
      <c r="P1704" s="3"/>
      <c r="Q1704" s="3"/>
      <c r="R1704" s="3"/>
      <c r="S1704" s="3"/>
    </row>
    <row r="1705" spans="3:19" ht="15.75" customHeight="1" x14ac:dyDescent="0.2">
      <c r="C1705" s="208">
        <v>40750</v>
      </c>
      <c r="D1705" s="19">
        <v>0.41666666666666669</v>
      </c>
      <c r="E1705" s="3">
        <v>8</v>
      </c>
      <c r="F1705" s="3">
        <v>10.71</v>
      </c>
      <c r="G1705" s="3">
        <v>111.9</v>
      </c>
      <c r="H1705" s="7">
        <v>16.899999999999999</v>
      </c>
      <c r="I1705" s="7">
        <v>16.899999999999999</v>
      </c>
      <c r="J1705" s="7"/>
      <c r="L1705" s="3"/>
      <c r="M1705" s="3"/>
      <c r="N1705" s="3"/>
      <c r="O1705" s="3"/>
      <c r="P1705" s="3"/>
      <c r="Q1705" s="3"/>
      <c r="R1705" s="3"/>
      <c r="S1705" s="3"/>
    </row>
    <row r="1706" spans="3:19" ht="15.75" customHeight="1" x14ac:dyDescent="0.2">
      <c r="C1706" s="208">
        <v>40750</v>
      </c>
      <c r="D1706" s="19">
        <v>0.41666666666666669</v>
      </c>
      <c r="E1706" s="3">
        <v>9</v>
      </c>
      <c r="F1706" s="3">
        <v>11.89</v>
      </c>
      <c r="G1706" s="3">
        <v>116.5</v>
      </c>
      <c r="H1706" s="7">
        <v>14.2</v>
      </c>
      <c r="I1706" s="17">
        <f>AVERAGE(I1697:I1705)</f>
        <v>18.144444444444446</v>
      </c>
      <c r="J1706" s="17"/>
      <c r="L1706" s="3"/>
      <c r="M1706" s="3"/>
      <c r="N1706" s="3"/>
      <c r="O1706" s="3"/>
      <c r="P1706" s="3"/>
      <c r="Q1706" s="3"/>
      <c r="R1706" s="3"/>
      <c r="S1706" s="3"/>
    </row>
    <row r="1707" spans="3:19" ht="15.75" customHeight="1" x14ac:dyDescent="0.2">
      <c r="C1707" s="208">
        <v>40750</v>
      </c>
      <c r="D1707" s="19">
        <v>0.41666666666666669</v>
      </c>
      <c r="E1707" s="3">
        <v>10</v>
      </c>
      <c r="F1707" s="3">
        <v>12.27</v>
      </c>
      <c r="G1707" s="3">
        <v>118</v>
      </c>
      <c r="H1707" s="7">
        <v>12.7</v>
      </c>
      <c r="I1707" s="3"/>
      <c r="L1707" s="3"/>
      <c r="M1707" s="3"/>
      <c r="N1707" s="3"/>
      <c r="O1707" s="3"/>
      <c r="P1707" s="3"/>
      <c r="Q1707" s="3"/>
      <c r="R1707" s="3"/>
      <c r="S1707" s="3"/>
    </row>
    <row r="1708" spans="3:19" ht="15.75" customHeight="1" x14ac:dyDescent="0.2">
      <c r="C1708" s="208">
        <v>40750</v>
      </c>
      <c r="D1708" s="19">
        <v>0.41666666666666669</v>
      </c>
      <c r="E1708" s="3">
        <v>11</v>
      </c>
      <c r="F1708" s="3">
        <v>12.56</v>
      </c>
      <c r="G1708" s="3">
        <v>117.8</v>
      </c>
      <c r="H1708" s="7">
        <v>12</v>
      </c>
      <c r="I1708" s="3"/>
      <c r="L1708" s="3"/>
      <c r="M1708" s="3"/>
      <c r="N1708" s="3"/>
      <c r="O1708" s="3"/>
      <c r="P1708" s="3"/>
      <c r="Q1708" s="3"/>
      <c r="R1708" s="3"/>
      <c r="S1708" s="3"/>
    </row>
    <row r="1709" spans="3:19" ht="15.75" customHeight="1" x14ac:dyDescent="0.2">
      <c r="C1709" s="208">
        <v>40750</v>
      </c>
      <c r="D1709" s="19">
        <v>0.41666666666666669</v>
      </c>
      <c r="E1709" s="3">
        <v>12</v>
      </c>
      <c r="F1709" s="3">
        <v>12.8</v>
      </c>
      <c r="G1709" s="3">
        <v>118.5</v>
      </c>
      <c r="H1709" s="7">
        <v>11.4</v>
      </c>
      <c r="I1709" s="3"/>
      <c r="L1709" s="3"/>
      <c r="M1709" s="3"/>
      <c r="N1709" s="3"/>
      <c r="O1709" s="3"/>
      <c r="P1709" s="3"/>
      <c r="Q1709" s="3"/>
      <c r="R1709" s="3"/>
      <c r="S1709" s="3"/>
    </row>
    <row r="1710" spans="3:19" ht="15.75" customHeight="1" x14ac:dyDescent="0.2">
      <c r="C1710" s="208">
        <v>40750</v>
      </c>
      <c r="D1710" s="19">
        <v>0.41666666666666669</v>
      </c>
      <c r="E1710" s="3">
        <v>13</v>
      </c>
      <c r="F1710" s="3">
        <v>12.72</v>
      </c>
      <c r="G1710" s="3">
        <v>117.2</v>
      </c>
      <c r="H1710" s="7">
        <v>10.9</v>
      </c>
      <c r="I1710" s="3"/>
      <c r="L1710" s="3"/>
      <c r="M1710" s="3"/>
      <c r="N1710" s="3"/>
      <c r="O1710" s="3"/>
      <c r="P1710" s="3"/>
      <c r="Q1710" s="3"/>
      <c r="R1710" s="3"/>
      <c r="S1710" s="3"/>
    </row>
    <row r="1711" spans="3:19" ht="15.75" customHeight="1" x14ac:dyDescent="0.2">
      <c r="C1711" s="208">
        <v>40750</v>
      </c>
      <c r="D1711" s="19">
        <v>0.41666666666666669</v>
      </c>
      <c r="E1711" s="3">
        <v>14</v>
      </c>
      <c r="F1711" s="3">
        <v>12.7</v>
      </c>
      <c r="G1711" s="3">
        <v>115.5</v>
      </c>
      <c r="H1711" s="7">
        <v>10.1</v>
      </c>
      <c r="I1711" s="3"/>
      <c r="L1711" s="3"/>
      <c r="M1711" s="3"/>
      <c r="N1711" s="3"/>
      <c r="O1711" s="3"/>
      <c r="P1711" s="3"/>
      <c r="Q1711" s="3"/>
      <c r="R1711" s="3"/>
      <c r="S1711" s="3"/>
    </row>
    <row r="1712" spans="3:19" ht="15.75" customHeight="1" x14ac:dyDescent="0.2">
      <c r="C1712" s="208">
        <v>40750</v>
      </c>
      <c r="D1712" s="19">
        <v>0.41666666666666669</v>
      </c>
      <c r="E1712" s="3">
        <v>15</v>
      </c>
      <c r="F1712" s="3">
        <v>12.76</v>
      </c>
      <c r="G1712" s="3">
        <v>114</v>
      </c>
      <c r="H1712" s="7">
        <v>9.4</v>
      </c>
      <c r="I1712" s="3"/>
      <c r="L1712" s="3"/>
      <c r="M1712" s="3"/>
      <c r="N1712" s="3"/>
      <c r="O1712" s="3"/>
      <c r="P1712" s="3"/>
      <c r="Q1712" s="3"/>
      <c r="R1712" s="3"/>
      <c r="S1712" s="3"/>
    </row>
    <row r="1713" spans="3:19" ht="15.75" customHeight="1" x14ac:dyDescent="0.2">
      <c r="C1713" s="208">
        <v>40750</v>
      </c>
      <c r="D1713" s="19">
        <v>0.41666666666666669</v>
      </c>
      <c r="E1713" s="3">
        <v>16</v>
      </c>
      <c r="F1713" s="3">
        <v>12.4</v>
      </c>
      <c r="G1713" s="3">
        <v>112.5</v>
      </c>
      <c r="H1713" s="7">
        <v>9.1</v>
      </c>
      <c r="I1713" s="3"/>
      <c r="L1713" s="3"/>
      <c r="M1713" s="3"/>
      <c r="N1713" s="3"/>
      <c r="O1713" s="3"/>
      <c r="P1713" s="3"/>
      <c r="Q1713" s="3"/>
      <c r="R1713" s="3"/>
      <c r="S1713" s="3"/>
    </row>
    <row r="1714" spans="3:19" ht="15.75" customHeight="1" x14ac:dyDescent="0.2">
      <c r="C1714" s="208">
        <v>40750</v>
      </c>
      <c r="D1714" s="19">
        <v>0.41666666666666669</v>
      </c>
      <c r="E1714" s="3">
        <v>17</v>
      </c>
      <c r="F1714" s="3">
        <v>13.04</v>
      </c>
      <c r="G1714" s="3">
        <v>111.9</v>
      </c>
      <c r="H1714" s="7">
        <v>8</v>
      </c>
      <c r="I1714" s="3"/>
      <c r="L1714" s="3"/>
      <c r="M1714" s="3"/>
      <c r="N1714" s="3"/>
      <c r="O1714" s="3"/>
      <c r="P1714" s="3"/>
      <c r="Q1714" s="3"/>
      <c r="R1714" s="3"/>
      <c r="S1714" s="3"/>
    </row>
    <row r="1715" spans="3:19" ht="15.75" customHeight="1" x14ac:dyDescent="0.2">
      <c r="C1715" s="208">
        <v>40750</v>
      </c>
      <c r="D1715" s="19">
        <v>0.41666666666666669</v>
      </c>
      <c r="E1715" s="3">
        <v>18</v>
      </c>
      <c r="F1715" s="3">
        <v>13.01</v>
      </c>
      <c r="G1715" s="3">
        <v>110.4</v>
      </c>
      <c r="H1715" s="7">
        <v>7.7</v>
      </c>
      <c r="I1715" s="3"/>
      <c r="L1715" s="3"/>
      <c r="M1715" s="3"/>
      <c r="N1715" s="3"/>
      <c r="O1715" s="3"/>
      <c r="P1715" s="3"/>
      <c r="Q1715" s="3"/>
      <c r="R1715" s="3"/>
      <c r="S1715" s="3"/>
    </row>
    <row r="1716" spans="3:19" ht="15.75" customHeight="1" x14ac:dyDescent="0.2">
      <c r="C1716" s="208">
        <v>40750</v>
      </c>
      <c r="D1716" s="19">
        <v>0.41666666666666669</v>
      </c>
      <c r="E1716" s="3">
        <v>19</v>
      </c>
      <c r="F1716" s="3">
        <v>12.83</v>
      </c>
      <c r="G1716" s="3">
        <v>108.9</v>
      </c>
      <c r="H1716" s="7">
        <v>7.3</v>
      </c>
      <c r="I1716" s="3"/>
      <c r="L1716" s="3"/>
      <c r="M1716" s="3"/>
      <c r="N1716" s="3"/>
      <c r="O1716" s="3"/>
      <c r="P1716" s="3"/>
      <c r="Q1716" s="3"/>
      <c r="R1716" s="3"/>
      <c r="S1716" s="3"/>
    </row>
    <row r="1717" spans="3:19" ht="15.75" customHeight="1" x14ac:dyDescent="0.2">
      <c r="C1717" s="208">
        <v>40750</v>
      </c>
      <c r="D1717" s="19">
        <v>0.41666666666666669</v>
      </c>
      <c r="E1717" s="3">
        <v>20</v>
      </c>
      <c r="F1717" s="3">
        <v>12.76</v>
      </c>
      <c r="G1717" s="3">
        <v>106.8</v>
      </c>
      <c r="H1717" s="7">
        <v>7.2</v>
      </c>
      <c r="I1717" s="3"/>
      <c r="L1717" s="3"/>
      <c r="M1717" s="3"/>
      <c r="N1717" s="3"/>
      <c r="O1717" s="3"/>
      <c r="P1717" s="3"/>
      <c r="Q1717" s="3"/>
      <c r="R1717" s="3"/>
      <c r="S1717" s="3"/>
    </row>
    <row r="1718" spans="3:19" ht="15.75" customHeight="1" x14ac:dyDescent="0.2">
      <c r="C1718" s="208">
        <v>40750</v>
      </c>
      <c r="D1718" s="19">
        <v>0.41666666666666669</v>
      </c>
      <c r="E1718" s="3">
        <v>21</v>
      </c>
      <c r="F1718" s="3">
        <v>12.71</v>
      </c>
      <c r="G1718" s="3">
        <v>106.9</v>
      </c>
      <c r="H1718" s="7">
        <v>7.1</v>
      </c>
      <c r="I1718" s="3"/>
      <c r="L1718" s="3"/>
      <c r="M1718" s="3"/>
      <c r="N1718" s="3"/>
      <c r="O1718" s="3"/>
      <c r="P1718" s="3"/>
      <c r="Q1718" s="3"/>
      <c r="R1718" s="3"/>
      <c r="S1718" s="3"/>
    </row>
    <row r="1719" spans="3:19" ht="15.75" customHeight="1" x14ac:dyDescent="0.2">
      <c r="C1719" s="208">
        <v>40750</v>
      </c>
      <c r="D1719" s="19">
        <v>0.41666666666666669</v>
      </c>
      <c r="E1719" s="3">
        <v>22</v>
      </c>
      <c r="F1719" s="3">
        <v>12.73</v>
      </c>
      <c r="G1719" s="3">
        <v>106.1</v>
      </c>
      <c r="H1719" s="7">
        <v>6.9</v>
      </c>
      <c r="I1719" s="3"/>
      <c r="L1719" s="3"/>
      <c r="M1719" s="3"/>
      <c r="N1719" s="3"/>
      <c r="O1719" s="3"/>
      <c r="P1719" s="3"/>
      <c r="Q1719" s="3"/>
      <c r="R1719" s="3"/>
      <c r="S1719" s="3"/>
    </row>
    <row r="1720" spans="3:19" ht="15.75" customHeight="1" x14ac:dyDescent="0.2">
      <c r="C1720" s="208">
        <v>40750</v>
      </c>
      <c r="D1720" s="19">
        <v>0.41666666666666669</v>
      </c>
      <c r="E1720" s="3">
        <v>23</v>
      </c>
      <c r="F1720" s="3">
        <v>12.66</v>
      </c>
      <c r="G1720" s="3">
        <v>104.9</v>
      </c>
      <c r="H1720" s="7">
        <v>6.7</v>
      </c>
      <c r="I1720" s="3"/>
      <c r="L1720" s="3"/>
      <c r="M1720" s="3"/>
      <c r="N1720" s="3"/>
      <c r="O1720" s="3"/>
      <c r="P1720" s="3"/>
      <c r="Q1720" s="3"/>
      <c r="R1720" s="3"/>
      <c r="S1720" s="3"/>
    </row>
    <row r="1721" spans="3:19" ht="15.75" customHeight="1" x14ac:dyDescent="0.2">
      <c r="C1721" s="208">
        <v>40750</v>
      </c>
      <c r="D1721" s="19">
        <v>0.41666666666666669</v>
      </c>
      <c r="E1721" s="3">
        <v>24</v>
      </c>
      <c r="F1721" s="3">
        <v>12.7</v>
      </c>
      <c r="G1721" s="3">
        <v>104.6</v>
      </c>
      <c r="H1721" s="7">
        <v>6.6</v>
      </c>
      <c r="I1721" s="3"/>
      <c r="L1721" s="3"/>
      <c r="M1721" s="3"/>
      <c r="N1721" s="3"/>
      <c r="O1721" s="3"/>
      <c r="P1721" s="3"/>
      <c r="Q1721" s="3"/>
      <c r="R1721" s="3"/>
      <c r="S1721" s="3"/>
    </row>
    <row r="1722" spans="3:19" ht="15.75" customHeight="1" x14ac:dyDescent="0.2">
      <c r="C1722" s="208">
        <v>40750</v>
      </c>
      <c r="D1722" s="19">
        <v>0.41666666666666669</v>
      </c>
      <c r="E1722" s="3">
        <v>25</v>
      </c>
      <c r="F1722" s="3">
        <v>12.72</v>
      </c>
      <c r="G1722" s="3">
        <v>104.5</v>
      </c>
      <c r="H1722" s="7">
        <v>6.5</v>
      </c>
      <c r="I1722" s="3"/>
      <c r="L1722" s="3"/>
      <c r="M1722" s="3"/>
      <c r="N1722" s="3"/>
      <c r="O1722" s="3"/>
      <c r="P1722" s="3"/>
      <c r="Q1722" s="3"/>
      <c r="R1722" s="3"/>
      <c r="S1722" s="3"/>
    </row>
    <row r="1723" spans="3:19" ht="15.75" customHeight="1" x14ac:dyDescent="0.2">
      <c r="C1723" s="208"/>
      <c r="D1723" s="19"/>
      <c r="E1723" s="3"/>
      <c r="G1723" s="3"/>
      <c r="I1723" s="3"/>
      <c r="L1723" s="3"/>
      <c r="M1723" s="3"/>
      <c r="N1723" s="3"/>
      <c r="O1723" s="3"/>
      <c r="P1723" s="3"/>
      <c r="Q1723" s="3"/>
      <c r="R1723" s="3"/>
      <c r="S1723" s="3"/>
    </row>
    <row r="1724" spans="3:19" ht="15.75" customHeight="1" x14ac:dyDescent="0.2">
      <c r="C1724" s="208">
        <v>40778</v>
      </c>
      <c r="D1724" s="19">
        <v>0.4826388888888889</v>
      </c>
      <c r="E1724" s="3"/>
      <c r="G1724" s="3"/>
      <c r="I1724" s="3"/>
      <c r="J1724">
        <v>9</v>
      </c>
      <c r="K1724">
        <v>14</v>
      </c>
      <c r="L1724" s="3"/>
      <c r="M1724" s="3"/>
      <c r="N1724" s="3"/>
      <c r="O1724" s="3"/>
      <c r="P1724" s="3"/>
      <c r="Q1724" s="3"/>
      <c r="R1724" s="3"/>
      <c r="S1724" s="3"/>
    </row>
    <row r="1725" spans="3:19" ht="15.75" customHeight="1" x14ac:dyDescent="0.2">
      <c r="C1725" s="208">
        <v>40778</v>
      </c>
      <c r="D1725" s="19">
        <v>0.4826388888888889</v>
      </c>
      <c r="E1725" s="3">
        <v>0.1</v>
      </c>
      <c r="F1725" s="3">
        <v>9.8000000000000007</v>
      </c>
      <c r="G1725" s="3">
        <v>110.6</v>
      </c>
      <c r="H1725" s="7">
        <v>21.2</v>
      </c>
      <c r="I1725" s="7">
        <v>21.2</v>
      </c>
      <c r="J1725" s="7"/>
      <c r="L1725" s="3"/>
      <c r="M1725" s="3"/>
      <c r="N1725" s="3"/>
      <c r="O1725" s="3"/>
      <c r="P1725" s="3"/>
      <c r="Q1725" s="3"/>
      <c r="R1725" s="3"/>
      <c r="S1725" s="3"/>
    </row>
    <row r="1726" spans="3:19" ht="15.75" customHeight="1" x14ac:dyDescent="0.2">
      <c r="C1726" s="208">
        <v>40778</v>
      </c>
      <c r="D1726" s="19">
        <v>0.4826388888888889</v>
      </c>
      <c r="E1726" s="3">
        <v>1</v>
      </c>
      <c r="F1726" s="3">
        <v>9.6999999999999993</v>
      </c>
      <c r="G1726" s="3">
        <v>110.4</v>
      </c>
      <c r="H1726" s="7">
        <v>21.2</v>
      </c>
      <c r="I1726" s="7">
        <v>21.2</v>
      </c>
      <c r="J1726" s="7"/>
      <c r="L1726" s="3"/>
      <c r="M1726" s="3"/>
      <c r="N1726" s="3"/>
      <c r="O1726" s="3"/>
      <c r="P1726" s="3"/>
      <c r="Q1726" s="3"/>
      <c r="R1726" s="3"/>
      <c r="S1726" s="3"/>
    </row>
    <row r="1727" spans="3:19" ht="15.75" customHeight="1" x14ac:dyDescent="0.2">
      <c r="C1727" s="208">
        <v>40778</v>
      </c>
      <c r="D1727" s="19">
        <v>0.4826388888888889</v>
      </c>
      <c r="E1727" s="3">
        <v>2</v>
      </c>
      <c r="F1727" s="3">
        <v>9.69</v>
      </c>
      <c r="G1727" s="3">
        <v>110</v>
      </c>
      <c r="H1727" s="7">
        <v>21.1</v>
      </c>
      <c r="I1727" s="7">
        <v>21.1</v>
      </c>
      <c r="J1727" s="7"/>
      <c r="L1727" s="3"/>
      <c r="M1727" s="3"/>
      <c r="N1727" s="3"/>
      <c r="O1727" s="3"/>
      <c r="P1727" s="3"/>
      <c r="Q1727" s="3"/>
      <c r="R1727" s="3"/>
      <c r="S1727" s="3"/>
    </row>
    <row r="1728" spans="3:19" ht="15.75" customHeight="1" x14ac:dyDescent="0.2">
      <c r="C1728" s="208">
        <v>40778</v>
      </c>
      <c r="D1728" s="19">
        <v>0.4826388888888889</v>
      </c>
      <c r="E1728" s="3">
        <v>3</v>
      </c>
      <c r="F1728" s="3">
        <v>9.69</v>
      </c>
      <c r="G1728" s="3">
        <v>110.1</v>
      </c>
      <c r="H1728" s="7">
        <v>21.1</v>
      </c>
      <c r="I1728" s="7">
        <v>21.1</v>
      </c>
      <c r="J1728" s="7"/>
      <c r="L1728" s="3"/>
      <c r="M1728" s="3"/>
      <c r="N1728" s="3"/>
      <c r="O1728" s="3"/>
      <c r="P1728" s="3"/>
      <c r="Q1728" s="3"/>
      <c r="R1728" s="3"/>
      <c r="S1728" s="3"/>
    </row>
    <row r="1729" spans="3:19" ht="15.75" customHeight="1" x14ac:dyDescent="0.2">
      <c r="C1729" s="208">
        <v>40778</v>
      </c>
      <c r="D1729" s="19">
        <v>0.4826388888888889</v>
      </c>
      <c r="E1729" s="3">
        <v>4</v>
      </c>
      <c r="F1729" s="3">
        <v>9.65</v>
      </c>
      <c r="G1729" s="3">
        <v>109.7</v>
      </c>
      <c r="H1729" s="7">
        <v>21.1</v>
      </c>
      <c r="I1729" s="7">
        <v>21.1</v>
      </c>
      <c r="J1729" s="7"/>
      <c r="L1729" s="3"/>
      <c r="M1729" s="3"/>
      <c r="N1729" s="3"/>
      <c r="O1729" s="3"/>
      <c r="P1729" s="3"/>
      <c r="Q1729" s="3"/>
      <c r="R1729" s="3"/>
      <c r="S1729" s="3"/>
    </row>
    <row r="1730" spans="3:19" ht="15.75" customHeight="1" x14ac:dyDescent="0.2">
      <c r="C1730" s="208">
        <v>40778</v>
      </c>
      <c r="D1730" s="19">
        <v>0.4826388888888889</v>
      </c>
      <c r="E1730" s="3">
        <v>5</v>
      </c>
      <c r="F1730" s="3">
        <v>9.6300000000000008</v>
      </c>
      <c r="G1730" s="3">
        <v>109</v>
      </c>
      <c r="H1730" s="7">
        <v>21.1</v>
      </c>
      <c r="I1730" s="7">
        <v>21.1</v>
      </c>
      <c r="J1730" s="7"/>
      <c r="L1730" s="3"/>
      <c r="M1730" s="3"/>
      <c r="N1730" s="3"/>
      <c r="O1730" s="3"/>
      <c r="P1730" s="3"/>
      <c r="Q1730" s="3"/>
      <c r="R1730" s="3"/>
      <c r="S1730" s="3"/>
    </row>
    <row r="1731" spans="3:19" ht="15.75" customHeight="1" x14ac:dyDescent="0.2">
      <c r="C1731" s="208">
        <v>40778</v>
      </c>
      <c r="D1731" s="19">
        <v>0.4826388888888889</v>
      </c>
      <c r="E1731" s="3">
        <v>6</v>
      </c>
      <c r="F1731" s="3">
        <v>9.66</v>
      </c>
      <c r="G1731" s="3">
        <v>109.1</v>
      </c>
      <c r="H1731" s="7">
        <v>21.1</v>
      </c>
      <c r="I1731" s="7">
        <v>21.1</v>
      </c>
      <c r="J1731" s="7"/>
      <c r="L1731" s="3"/>
      <c r="M1731" s="3"/>
      <c r="N1731" s="3"/>
      <c r="O1731" s="3"/>
      <c r="P1731" s="3"/>
      <c r="Q1731" s="3"/>
      <c r="R1731" s="3"/>
      <c r="S1731" s="3"/>
    </row>
    <row r="1732" spans="3:19" ht="15.75" customHeight="1" x14ac:dyDescent="0.2">
      <c r="C1732" s="208">
        <v>40778</v>
      </c>
      <c r="D1732" s="19">
        <v>0.4826388888888889</v>
      </c>
      <c r="E1732" s="3">
        <v>7</v>
      </c>
      <c r="F1732" s="3">
        <v>9.64</v>
      </c>
      <c r="G1732" s="3">
        <v>109.3</v>
      </c>
      <c r="H1732" s="7">
        <v>21.1</v>
      </c>
      <c r="I1732" s="7">
        <v>21.1</v>
      </c>
      <c r="J1732" s="7"/>
      <c r="L1732" s="3"/>
      <c r="M1732" s="3"/>
      <c r="N1732" s="3"/>
      <c r="O1732" s="3"/>
      <c r="P1732" s="3"/>
      <c r="Q1732" s="3"/>
      <c r="R1732" s="3"/>
      <c r="S1732" s="3"/>
    </row>
    <row r="1733" spans="3:19" ht="15.75" customHeight="1" x14ac:dyDescent="0.2">
      <c r="C1733" s="208">
        <v>40778</v>
      </c>
      <c r="D1733" s="19">
        <v>0.4826388888888889</v>
      </c>
      <c r="E1733" s="3">
        <v>8</v>
      </c>
      <c r="F1733" s="3">
        <v>9.6</v>
      </c>
      <c r="G1733" s="3">
        <v>108.6</v>
      </c>
      <c r="H1733" s="7">
        <v>21</v>
      </c>
      <c r="I1733" s="7">
        <v>21</v>
      </c>
      <c r="J1733" s="7"/>
      <c r="L1733" s="3"/>
      <c r="M1733" s="3"/>
      <c r="N1733" s="3"/>
      <c r="O1733" s="3"/>
      <c r="P1733" s="3"/>
      <c r="Q1733" s="3"/>
      <c r="R1733" s="3"/>
      <c r="S1733" s="3"/>
    </row>
    <row r="1734" spans="3:19" ht="15.75" customHeight="1" x14ac:dyDescent="0.2">
      <c r="C1734" s="208">
        <v>40778</v>
      </c>
      <c r="D1734" s="19">
        <v>0.4826388888888889</v>
      </c>
      <c r="E1734" s="3">
        <v>9</v>
      </c>
      <c r="F1734" s="3">
        <v>9.6300000000000008</v>
      </c>
      <c r="G1734" s="3">
        <v>109.1</v>
      </c>
      <c r="H1734" s="7">
        <v>21</v>
      </c>
      <c r="I1734" s="7">
        <v>21</v>
      </c>
      <c r="J1734" s="7"/>
      <c r="L1734" s="3"/>
      <c r="M1734" s="3"/>
      <c r="N1734" s="3"/>
      <c r="O1734" s="3"/>
      <c r="P1734" s="3"/>
      <c r="Q1734" s="3"/>
      <c r="R1734" s="3"/>
      <c r="S1734" s="3"/>
    </row>
    <row r="1735" spans="3:19" ht="15.75" customHeight="1" x14ac:dyDescent="0.2">
      <c r="C1735" s="208">
        <v>40778</v>
      </c>
      <c r="D1735" s="19">
        <v>0.4826388888888889</v>
      </c>
      <c r="E1735" s="3">
        <v>10</v>
      </c>
      <c r="F1735" s="3">
        <v>9.65</v>
      </c>
      <c r="G1735" s="3">
        <v>108.9</v>
      </c>
      <c r="H1735" s="7">
        <v>20.9</v>
      </c>
      <c r="I1735" s="7">
        <v>20.9</v>
      </c>
      <c r="J1735" s="7"/>
      <c r="L1735" s="3"/>
      <c r="M1735" s="3"/>
      <c r="N1735" s="3"/>
      <c r="O1735" s="3"/>
      <c r="P1735" s="3"/>
      <c r="Q1735" s="3"/>
      <c r="R1735" s="3"/>
      <c r="S1735" s="3"/>
    </row>
    <row r="1736" spans="3:19" ht="15.75" customHeight="1" x14ac:dyDescent="0.2">
      <c r="C1736" s="208">
        <v>40778</v>
      </c>
      <c r="D1736" s="19">
        <v>0.4826388888888889</v>
      </c>
      <c r="E1736" s="3">
        <v>11</v>
      </c>
      <c r="F1736" s="3">
        <v>9.64</v>
      </c>
      <c r="G1736" s="3">
        <v>109.5</v>
      </c>
      <c r="H1736" s="7">
        <v>20.9</v>
      </c>
      <c r="I1736" s="7">
        <v>20.9</v>
      </c>
      <c r="J1736" s="7"/>
      <c r="L1736" s="3"/>
      <c r="M1736" s="3"/>
      <c r="N1736" s="3"/>
      <c r="O1736" s="3"/>
      <c r="P1736" s="3"/>
      <c r="Q1736" s="3"/>
      <c r="R1736" s="3"/>
      <c r="S1736" s="3"/>
    </row>
    <row r="1737" spans="3:19" ht="15.75" customHeight="1" x14ac:dyDescent="0.2">
      <c r="C1737" s="208">
        <v>40778</v>
      </c>
      <c r="D1737" s="19">
        <v>0.4826388888888889</v>
      </c>
      <c r="E1737" s="3">
        <v>12</v>
      </c>
      <c r="F1737" s="3">
        <v>9.69</v>
      </c>
      <c r="G1737" s="3">
        <v>109.8</v>
      </c>
      <c r="H1737" s="7">
        <v>20.8</v>
      </c>
      <c r="I1737" s="7">
        <v>20.8</v>
      </c>
      <c r="J1737" s="7"/>
      <c r="L1737" s="3"/>
      <c r="M1737" s="3"/>
      <c r="N1737" s="3"/>
      <c r="O1737" s="3"/>
      <c r="P1737" s="3"/>
      <c r="Q1737" s="3"/>
      <c r="R1737" s="3"/>
      <c r="S1737" s="3"/>
    </row>
    <row r="1738" spans="3:19" ht="15.75" customHeight="1" x14ac:dyDescent="0.2">
      <c r="C1738" s="208">
        <v>40778</v>
      </c>
      <c r="D1738" s="19">
        <v>0.4826388888888889</v>
      </c>
      <c r="E1738" s="3">
        <v>13</v>
      </c>
      <c r="F1738" s="3">
        <v>9.75</v>
      </c>
      <c r="G1738" s="3">
        <v>109.3</v>
      </c>
      <c r="H1738" s="7">
        <v>20.7</v>
      </c>
      <c r="I1738" s="7">
        <v>20.7</v>
      </c>
      <c r="J1738" s="7"/>
      <c r="L1738" s="3"/>
      <c r="M1738" s="3"/>
      <c r="N1738" s="3"/>
      <c r="O1738" s="3"/>
      <c r="P1738" s="3"/>
      <c r="Q1738" s="3"/>
      <c r="R1738" s="3"/>
      <c r="S1738" s="3"/>
    </row>
    <row r="1739" spans="3:19" ht="15.75" customHeight="1" x14ac:dyDescent="0.2">
      <c r="C1739" s="208">
        <v>40778</v>
      </c>
      <c r="D1739" s="19">
        <v>0.4826388888888889</v>
      </c>
      <c r="E1739" s="3">
        <v>14</v>
      </c>
      <c r="F1739" s="3">
        <v>9.7799999999999994</v>
      </c>
      <c r="G1739" s="3">
        <v>110.2</v>
      </c>
      <c r="H1739" s="7">
        <v>20.6</v>
      </c>
      <c r="I1739" s="7">
        <v>20.6</v>
      </c>
      <c r="J1739" s="7"/>
      <c r="L1739" s="3"/>
      <c r="M1739" s="3"/>
      <c r="N1739" s="3"/>
      <c r="O1739" s="3"/>
      <c r="P1739" s="3"/>
      <c r="Q1739" s="3"/>
      <c r="R1739" s="3"/>
      <c r="S1739" s="3"/>
    </row>
    <row r="1740" spans="3:19" ht="15.75" customHeight="1" x14ac:dyDescent="0.2">
      <c r="C1740" s="208">
        <v>40778</v>
      </c>
      <c r="D1740" s="19">
        <v>0.4826388888888889</v>
      </c>
      <c r="E1740" s="3">
        <v>15</v>
      </c>
      <c r="F1740" s="3">
        <v>10.4</v>
      </c>
      <c r="G1740" s="3">
        <v>112</v>
      </c>
      <c r="H1740" s="7">
        <v>19.2</v>
      </c>
      <c r="I1740" s="17">
        <f>AVERAGE(I1725:I1739)</f>
        <v>20.993333333333332</v>
      </c>
      <c r="J1740" s="17"/>
      <c r="L1740" s="3"/>
      <c r="M1740" s="3"/>
      <c r="N1740" s="3"/>
      <c r="O1740" s="3"/>
      <c r="P1740" s="3"/>
      <c r="Q1740" s="3"/>
      <c r="R1740" s="3"/>
      <c r="S1740" s="3"/>
    </row>
    <row r="1741" spans="3:19" ht="15.75" customHeight="1" x14ac:dyDescent="0.2">
      <c r="C1741" s="208">
        <v>40778</v>
      </c>
      <c r="D1741" s="19">
        <v>0.4826388888888889</v>
      </c>
      <c r="E1741" s="3">
        <v>16</v>
      </c>
      <c r="F1741" s="3">
        <v>11.3</v>
      </c>
      <c r="G1741" s="3">
        <v>122.4</v>
      </c>
      <c r="H1741" s="7">
        <v>17.600000000000001</v>
      </c>
      <c r="I1741" s="3"/>
      <c r="L1741" s="3"/>
      <c r="M1741" s="3"/>
      <c r="N1741" s="3"/>
      <c r="O1741" s="3"/>
      <c r="P1741" s="3"/>
      <c r="Q1741" s="3"/>
      <c r="R1741" s="3"/>
      <c r="S1741" s="3"/>
    </row>
    <row r="1742" spans="3:19" ht="15.75" customHeight="1" x14ac:dyDescent="0.2">
      <c r="C1742" s="208">
        <v>40778</v>
      </c>
      <c r="D1742" s="19">
        <v>0.4826388888888889</v>
      </c>
      <c r="E1742" s="3">
        <v>17</v>
      </c>
      <c r="F1742" s="3">
        <v>12.34</v>
      </c>
      <c r="G1742" s="3">
        <v>125</v>
      </c>
      <c r="H1742" s="7">
        <v>15.7</v>
      </c>
      <c r="I1742" s="3"/>
      <c r="L1742" s="3"/>
      <c r="M1742" s="3"/>
      <c r="N1742" s="3"/>
      <c r="O1742" s="3"/>
      <c r="P1742" s="3"/>
      <c r="Q1742" s="3"/>
      <c r="R1742" s="3"/>
      <c r="S1742" s="3"/>
    </row>
    <row r="1743" spans="3:19" ht="15.75" customHeight="1" x14ac:dyDescent="0.2">
      <c r="C1743" s="208">
        <v>40778</v>
      </c>
      <c r="D1743" s="19">
        <v>0.4826388888888889</v>
      </c>
      <c r="E1743" s="3">
        <v>18</v>
      </c>
      <c r="F1743" s="3">
        <v>12.3</v>
      </c>
      <c r="G1743" s="3">
        <v>125</v>
      </c>
      <c r="H1743" s="7">
        <v>15.6</v>
      </c>
      <c r="I1743" s="3"/>
      <c r="L1743" s="3"/>
      <c r="M1743" s="3"/>
      <c r="N1743" s="3"/>
      <c r="O1743" s="3"/>
      <c r="P1743" s="3"/>
      <c r="Q1743" s="3"/>
      <c r="R1743" s="3"/>
      <c r="S1743" s="3"/>
    </row>
    <row r="1744" spans="3:19" ht="15.75" customHeight="1" x14ac:dyDescent="0.2">
      <c r="C1744" s="208">
        <v>40778</v>
      </c>
      <c r="D1744" s="19">
        <v>0.4826388888888889</v>
      </c>
      <c r="E1744" s="3">
        <v>19</v>
      </c>
      <c r="F1744" s="3">
        <v>12.5</v>
      </c>
      <c r="G1744" s="3">
        <v>123</v>
      </c>
      <c r="H1744" s="7">
        <v>14.5</v>
      </c>
      <c r="I1744" s="3"/>
      <c r="L1744" s="3"/>
      <c r="M1744" s="3"/>
      <c r="N1744" s="3"/>
      <c r="O1744" s="3"/>
      <c r="P1744" s="3"/>
      <c r="Q1744" s="3"/>
      <c r="R1744" s="3"/>
      <c r="S1744" s="3"/>
    </row>
    <row r="1745" spans="3:19" ht="15.75" customHeight="1" x14ac:dyDescent="0.2">
      <c r="C1745" s="208">
        <v>40778</v>
      </c>
      <c r="D1745" s="19">
        <v>0.4826388888888889</v>
      </c>
      <c r="E1745" s="3">
        <v>20</v>
      </c>
      <c r="F1745" s="3">
        <v>12.7</v>
      </c>
      <c r="G1745" s="3">
        <v>121.6</v>
      </c>
      <c r="H1745" s="7">
        <v>13.2</v>
      </c>
      <c r="I1745" s="3"/>
      <c r="L1745" s="3"/>
      <c r="M1745" s="3"/>
      <c r="N1745" s="3"/>
      <c r="O1745" s="3"/>
      <c r="P1745" s="3"/>
      <c r="Q1745" s="3"/>
      <c r="R1745" s="3"/>
      <c r="S1745" s="3"/>
    </row>
    <row r="1746" spans="3:19" ht="15.75" customHeight="1" x14ac:dyDescent="0.2">
      <c r="C1746" s="208">
        <v>40778</v>
      </c>
      <c r="D1746" s="19">
        <v>0.4826388888888889</v>
      </c>
      <c r="E1746" s="3">
        <v>21</v>
      </c>
      <c r="F1746" s="3">
        <v>12.4</v>
      </c>
      <c r="G1746" s="3">
        <v>119.3</v>
      </c>
      <c r="H1746" s="7">
        <v>12.8</v>
      </c>
      <c r="I1746" s="3"/>
      <c r="L1746" s="3"/>
      <c r="M1746" s="3"/>
      <c r="N1746" s="3"/>
      <c r="O1746" s="3"/>
      <c r="P1746" s="3"/>
      <c r="Q1746" s="3"/>
      <c r="R1746" s="3"/>
      <c r="S1746" s="3"/>
    </row>
    <row r="1747" spans="3:19" ht="15.75" customHeight="1" x14ac:dyDescent="0.2">
      <c r="C1747" s="208">
        <v>40778</v>
      </c>
      <c r="D1747" s="19">
        <v>0.4826388888888889</v>
      </c>
      <c r="E1747" s="3">
        <v>22</v>
      </c>
      <c r="F1747" s="3">
        <v>12.5</v>
      </c>
      <c r="G1747" s="3">
        <v>116.9</v>
      </c>
      <c r="H1747" s="7">
        <v>12.5</v>
      </c>
      <c r="I1747" s="3"/>
      <c r="L1747" s="3"/>
      <c r="M1747" s="3"/>
      <c r="N1747" s="3"/>
      <c r="O1747" s="3"/>
      <c r="P1747" s="3"/>
      <c r="Q1747" s="3"/>
      <c r="R1747" s="3"/>
      <c r="S1747" s="3"/>
    </row>
    <row r="1748" spans="3:19" ht="15.75" customHeight="1" x14ac:dyDescent="0.2">
      <c r="C1748" s="208">
        <v>40778</v>
      </c>
      <c r="D1748" s="19">
        <v>0.4826388888888889</v>
      </c>
      <c r="E1748" s="3">
        <v>23</v>
      </c>
      <c r="F1748" s="3">
        <v>12.5</v>
      </c>
      <c r="G1748" s="3">
        <v>116.7</v>
      </c>
      <c r="H1748" s="7">
        <v>11.9</v>
      </c>
      <c r="I1748" s="3"/>
      <c r="L1748" s="3"/>
      <c r="M1748" s="3"/>
      <c r="N1748" s="3"/>
      <c r="O1748" s="3"/>
      <c r="P1748" s="3"/>
      <c r="Q1748" s="3"/>
      <c r="R1748" s="3"/>
      <c r="S1748" s="3"/>
    </row>
    <row r="1749" spans="3:19" ht="15.75" customHeight="1" x14ac:dyDescent="0.2">
      <c r="C1749" s="208">
        <v>40778</v>
      </c>
      <c r="D1749" s="19">
        <v>0.4826388888888889</v>
      </c>
      <c r="E1749" s="3">
        <v>24</v>
      </c>
      <c r="F1749" s="3">
        <v>12.5</v>
      </c>
      <c r="G1749" s="3">
        <v>116.6</v>
      </c>
      <c r="H1749" s="7">
        <v>11.6</v>
      </c>
      <c r="I1749" s="3"/>
      <c r="L1749" s="3"/>
      <c r="M1749" s="3"/>
      <c r="N1749" s="3"/>
      <c r="O1749" s="3"/>
      <c r="P1749" s="3"/>
      <c r="Q1749" s="3"/>
      <c r="R1749" s="3"/>
      <c r="S1749" s="3"/>
    </row>
    <row r="1750" spans="3:19" ht="15.75" customHeight="1" x14ac:dyDescent="0.2">
      <c r="C1750" s="208">
        <v>40778</v>
      </c>
      <c r="D1750" s="19">
        <v>0.4826388888888889</v>
      </c>
      <c r="E1750" s="3">
        <v>25</v>
      </c>
      <c r="F1750" s="3">
        <v>13</v>
      </c>
      <c r="G1750" s="3">
        <v>115.3</v>
      </c>
      <c r="H1750" s="7">
        <v>10.1</v>
      </c>
      <c r="I1750" s="3"/>
      <c r="L1750" s="3"/>
      <c r="M1750" s="3"/>
      <c r="N1750" s="3"/>
      <c r="O1750" s="3"/>
      <c r="P1750" s="3"/>
      <c r="Q1750" s="3"/>
      <c r="R1750" s="3"/>
      <c r="S1750" s="3"/>
    </row>
    <row r="1751" spans="3:19" ht="15.75" customHeight="1" x14ac:dyDescent="0.2">
      <c r="C1751" s="208"/>
      <c r="D1751" s="3"/>
      <c r="E1751" s="3"/>
      <c r="F1751" s="3"/>
      <c r="G1751" s="3"/>
      <c r="H1751" s="3"/>
      <c r="I1751" s="3"/>
      <c r="L1751" s="3"/>
      <c r="M1751" s="3"/>
      <c r="N1751" s="3"/>
      <c r="O1751" s="3"/>
      <c r="P1751" s="3"/>
      <c r="Q1751" s="3"/>
      <c r="R1751" s="3"/>
      <c r="S1751" s="3"/>
    </row>
    <row r="1752" spans="3:19" ht="15.75" customHeight="1" x14ac:dyDescent="0.2">
      <c r="C1752" s="208">
        <v>40806</v>
      </c>
      <c r="D1752" s="19">
        <v>0.4201388888888889</v>
      </c>
      <c r="E1752" s="3"/>
      <c r="F1752" s="3"/>
      <c r="G1752" s="3"/>
      <c r="H1752" s="3"/>
      <c r="I1752" s="3"/>
      <c r="J1752">
        <v>10</v>
      </c>
      <c r="K1752">
        <v>12</v>
      </c>
      <c r="L1752" s="3"/>
      <c r="M1752" s="3"/>
      <c r="N1752" s="3"/>
      <c r="O1752" s="3"/>
      <c r="P1752" s="3"/>
      <c r="Q1752" s="3"/>
      <c r="R1752" s="3"/>
      <c r="S1752" s="3"/>
    </row>
    <row r="1753" spans="3:19" ht="15.75" customHeight="1" x14ac:dyDescent="0.2">
      <c r="C1753" s="208">
        <v>40806</v>
      </c>
      <c r="D1753" s="19">
        <v>0.4201388888888889</v>
      </c>
      <c r="E1753" s="3">
        <v>0.1</v>
      </c>
      <c r="F1753" s="3">
        <v>9.3800000000000008</v>
      </c>
      <c r="G1753" s="3">
        <v>99.7</v>
      </c>
      <c r="H1753" s="3">
        <v>18.3</v>
      </c>
      <c r="I1753" s="3"/>
      <c r="L1753" s="3"/>
      <c r="M1753" s="3"/>
      <c r="N1753" s="3"/>
      <c r="O1753" s="3"/>
      <c r="P1753" s="3"/>
      <c r="Q1753" s="3"/>
      <c r="R1753" s="3"/>
      <c r="S1753" s="3"/>
    </row>
    <row r="1754" spans="3:19" ht="15.75" customHeight="1" x14ac:dyDescent="0.2">
      <c r="C1754" s="208">
        <v>40806</v>
      </c>
      <c r="D1754" s="19">
        <v>0.4201388888888889</v>
      </c>
      <c r="E1754" s="3">
        <v>1</v>
      </c>
      <c r="F1754" s="3">
        <v>9.36</v>
      </c>
      <c r="G1754" s="3">
        <v>95.6</v>
      </c>
      <c r="H1754" s="3">
        <v>18.3</v>
      </c>
      <c r="I1754" s="3"/>
      <c r="L1754" s="3"/>
      <c r="M1754" s="3"/>
      <c r="N1754" s="3"/>
      <c r="O1754" s="3"/>
      <c r="P1754" s="3"/>
      <c r="Q1754" s="3"/>
      <c r="R1754" s="3"/>
      <c r="S1754" s="3"/>
    </row>
    <row r="1755" spans="3:19" ht="15.75" customHeight="1" x14ac:dyDescent="0.2">
      <c r="C1755" s="208">
        <v>40806</v>
      </c>
      <c r="D1755" s="19">
        <v>0.4201388888888889</v>
      </c>
      <c r="E1755" s="3">
        <v>2</v>
      </c>
      <c r="F1755" s="3">
        <v>9.1999999999999993</v>
      </c>
      <c r="G1755" s="3">
        <v>98.4</v>
      </c>
      <c r="H1755" s="3">
        <v>18.3</v>
      </c>
      <c r="I1755" s="3"/>
      <c r="L1755" s="3"/>
      <c r="M1755" s="3"/>
      <c r="N1755" s="3"/>
      <c r="O1755" s="3"/>
      <c r="P1755" s="3"/>
      <c r="Q1755" s="3"/>
      <c r="R1755" s="3"/>
      <c r="S1755" s="3"/>
    </row>
    <row r="1756" spans="3:19" ht="15.75" customHeight="1" x14ac:dyDescent="0.2">
      <c r="C1756" s="208">
        <v>40806</v>
      </c>
      <c r="D1756" s="19">
        <v>0.4201388888888889</v>
      </c>
      <c r="E1756" s="3">
        <v>3</v>
      </c>
      <c r="F1756" s="3">
        <v>9.1999999999999993</v>
      </c>
      <c r="G1756" s="3">
        <v>98.4</v>
      </c>
      <c r="H1756" s="3">
        <v>18.3</v>
      </c>
      <c r="I1756" s="3"/>
      <c r="L1756" s="3"/>
      <c r="M1756" s="3"/>
      <c r="N1756" s="3"/>
      <c r="O1756" s="3"/>
      <c r="P1756" s="3"/>
      <c r="Q1756" s="3"/>
      <c r="R1756" s="3"/>
      <c r="S1756" s="3"/>
    </row>
    <row r="1757" spans="3:19" ht="15.75" customHeight="1" x14ac:dyDescent="0.2">
      <c r="C1757" s="208">
        <v>40806</v>
      </c>
      <c r="D1757" s="19">
        <v>0.4201388888888889</v>
      </c>
      <c r="E1757" s="3">
        <v>4</v>
      </c>
      <c r="F1757" s="3">
        <v>9.3000000000000007</v>
      </c>
      <c r="G1757" s="3">
        <v>99</v>
      </c>
      <c r="H1757" s="3">
        <v>18.3</v>
      </c>
      <c r="I1757" s="3"/>
      <c r="L1757" s="3"/>
      <c r="M1757" s="3"/>
      <c r="N1757" s="3"/>
      <c r="O1757" s="3"/>
      <c r="P1757" s="3"/>
      <c r="Q1757" s="3"/>
      <c r="R1757" s="3"/>
      <c r="S1757" s="3"/>
    </row>
    <row r="1758" spans="3:19" ht="15.75" customHeight="1" x14ac:dyDescent="0.2">
      <c r="C1758" s="208">
        <v>40806</v>
      </c>
      <c r="D1758" s="19">
        <v>0.4201388888888889</v>
      </c>
      <c r="E1758" s="3">
        <v>5</v>
      </c>
      <c r="F1758" s="3">
        <v>9.3000000000000007</v>
      </c>
      <c r="G1758" s="3">
        <v>98.1</v>
      </c>
      <c r="H1758" s="3">
        <v>18.3</v>
      </c>
      <c r="I1758" s="3"/>
      <c r="L1758" s="3"/>
      <c r="M1758" s="3"/>
      <c r="N1758" s="3"/>
      <c r="O1758" s="3"/>
      <c r="P1758" s="3"/>
      <c r="Q1758" s="3"/>
      <c r="R1758" s="3"/>
      <c r="S1758" s="3"/>
    </row>
    <row r="1759" spans="3:19" ht="15.75" customHeight="1" x14ac:dyDescent="0.2">
      <c r="C1759" s="208">
        <v>40806</v>
      </c>
      <c r="D1759" s="19">
        <v>0.4201388888888889</v>
      </c>
      <c r="E1759" s="3">
        <v>6</v>
      </c>
      <c r="F1759" s="3">
        <v>9.3000000000000007</v>
      </c>
      <c r="G1759" s="3">
        <v>98.6</v>
      </c>
      <c r="H1759" s="3">
        <v>18.3</v>
      </c>
      <c r="I1759" s="3"/>
      <c r="L1759" s="3"/>
      <c r="M1759" s="3"/>
      <c r="N1759" s="3"/>
      <c r="O1759" s="3"/>
      <c r="P1759" s="3"/>
      <c r="Q1759" s="3"/>
      <c r="R1759" s="3"/>
      <c r="S1759" s="3"/>
    </row>
    <row r="1760" spans="3:19" ht="15.75" customHeight="1" x14ac:dyDescent="0.2">
      <c r="C1760" s="208">
        <v>40806</v>
      </c>
      <c r="D1760" s="19">
        <v>0.4201388888888889</v>
      </c>
      <c r="E1760" s="3">
        <v>7</v>
      </c>
      <c r="F1760" s="3">
        <v>9.3000000000000007</v>
      </c>
      <c r="G1760" s="3">
        <v>99.1</v>
      </c>
      <c r="H1760" s="3">
        <v>18.3</v>
      </c>
      <c r="I1760" s="3"/>
      <c r="L1760" s="3"/>
      <c r="M1760" s="3"/>
      <c r="N1760" s="3"/>
      <c r="O1760" s="3"/>
      <c r="P1760" s="3"/>
      <c r="Q1760" s="3"/>
      <c r="R1760" s="3"/>
      <c r="S1760" s="3"/>
    </row>
    <row r="1761" spans="3:19" ht="15.75" customHeight="1" x14ac:dyDescent="0.2">
      <c r="C1761" s="208">
        <v>40806</v>
      </c>
      <c r="D1761" s="19">
        <v>0.4201388888888889</v>
      </c>
      <c r="E1761" s="3">
        <v>8</v>
      </c>
      <c r="F1761" s="3">
        <v>9.3000000000000007</v>
      </c>
      <c r="G1761" s="3">
        <v>99.2</v>
      </c>
      <c r="H1761" s="3">
        <v>18.3</v>
      </c>
      <c r="I1761" s="3"/>
      <c r="L1761" s="3"/>
      <c r="M1761" s="3"/>
      <c r="N1761" s="3"/>
      <c r="O1761" s="3"/>
      <c r="P1761" s="3"/>
      <c r="Q1761" s="3"/>
      <c r="R1761" s="3"/>
      <c r="S1761" s="3"/>
    </row>
    <row r="1762" spans="3:19" ht="15.75" customHeight="1" x14ac:dyDescent="0.2">
      <c r="C1762" s="208">
        <v>40806</v>
      </c>
      <c r="D1762" s="19">
        <v>0.4201388888888889</v>
      </c>
      <c r="E1762" s="3">
        <v>9</v>
      </c>
      <c r="F1762" s="3">
        <v>9.3000000000000007</v>
      </c>
      <c r="G1762" s="3">
        <v>99.1</v>
      </c>
      <c r="H1762" s="3">
        <v>18.3</v>
      </c>
      <c r="I1762" s="3"/>
      <c r="L1762" s="3"/>
      <c r="M1762" s="3"/>
      <c r="N1762" s="3"/>
      <c r="O1762" s="3"/>
      <c r="P1762" s="3"/>
      <c r="Q1762" s="3"/>
      <c r="R1762" s="3"/>
      <c r="S1762" s="3"/>
    </row>
    <row r="1763" spans="3:19" ht="15.75" customHeight="1" x14ac:dyDescent="0.2">
      <c r="C1763" s="208">
        <v>40806</v>
      </c>
      <c r="D1763" s="19">
        <v>0.4201388888888889</v>
      </c>
      <c r="E1763" s="3">
        <v>10</v>
      </c>
      <c r="F1763" s="3">
        <v>9.3800000000000008</v>
      </c>
      <c r="G1763" s="3">
        <v>100</v>
      </c>
      <c r="H1763" s="3">
        <v>18.3</v>
      </c>
      <c r="I1763" s="3"/>
      <c r="L1763" s="3"/>
      <c r="M1763" s="3"/>
      <c r="N1763" s="3"/>
      <c r="O1763" s="3"/>
      <c r="P1763" s="3"/>
      <c r="Q1763" s="3"/>
      <c r="R1763" s="3"/>
      <c r="S1763" s="3"/>
    </row>
    <row r="1764" spans="3:19" ht="15.75" customHeight="1" x14ac:dyDescent="0.2">
      <c r="C1764" s="208">
        <v>40806</v>
      </c>
      <c r="D1764" s="19">
        <v>0.4201388888888889</v>
      </c>
      <c r="E1764" s="3">
        <v>11</v>
      </c>
      <c r="F1764" s="3">
        <v>11.8</v>
      </c>
      <c r="G1764" s="3">
        <v>114.7</v>
      </c>
      <c r="H1764" s="3">
        <v>13.5</v>
      </c>
      <c r="I1764" s="3"/>
      <c r="L1764" s="3"/>
      <c r="M1764" s="3"/>
      <c r="N1764" s="3"/>
      <c r="O1764" s="3"/>
      <c r="P1764" s="3"/>
      <c r="Q1764" s="3"/>
      <c r="R1764" s="3"/>
      <c r="S1764" s="3"/>
    </row>
    <row r="1765" spans="3:19" ht="15.75" customHeight="1" x14ac:dyDescent="0.2">
      <c r="C1765" s="208">
        <v>40806</v>
      </c>
      <c r="D1765" s="19">
        <v>0.4201388888888889</v>
      </c>
      <c r="E1765" s="3">
        <v>12</v>
      </c>
      <c r="F1765" s="3">
        <v>12.2</v>
      </c>
      <c r="G1765" s="3">
        <v>110.2</v>
      </c>
      <c r="H1765" s="3">
        <v>10.5</v>
      </c>
      <c r="I1765" s="3"/>
      <c r="L1765" s="3"/>
      <c r="M1765" s="3"/>
      <c r="N1765" s="3"/>
      <c r="O1765" s="3"/>
      <c r="P1765" s="3"/>
      <c r="Q1765" s="3"/>
      <c r="R1765" s="3"/>
      <c r="S1765" s="3"/>
    </row>
    <row r="1766" spans="3:19" ht="15.75" customHeight="1" x14ac:dyDescent="0.2">
      <c r="C1766" s="208">
        <v>40806</v>
      </c>
      <c r="D1766" s="19">
        <v>0.4201388888888889</v>
      </c>
      <c r="E1766" s="3">
        <v>13</v>
      </c>
      <c r="F1766" s="3">
        <v>12.5</v>
      </c>
      <c r="G1766" s="3">
        <v>109</v>
      </c>
      <c r="H1766" s="3">
        <v>9</v>
      </c>
      <c r="I1766" s="3"/>
      <c r="L1766" s="3"/>
      <c r="M1766" s="3"/>
      <c r="N1766" s="3"/>
      <c r="O1766" s="3"/>
      <c r="P1766" s="3"/>
      <c r="Q1766" s="3"/>
      <c r="R1766" s="3"/>
      <c r="S1766" s="3"/>
    </row>
    <row r="1767" spans="3:19" ht="15.75" customHeight="1" x14ac:dyDescent="0.2">
      <c r="C1767" s="208">
        <v>40806</v>
      </c>
      <c r="D1767" s="19">
        <v>0.4201388888888889</v>
      </c>
      <c r="E1767" s="3">
        <v>14</v>
      </c>
      <c r="F1767" s="3">
        <v>12.2</v>
      </c>
      <c r="G1767" s="3">
        <v>104.3</v>
      </c>
      <c r="H1767" s="3">
        <v>8.4</v>
      </c>
      <c r="I1767" s="3"/>
      <c r="L1767" s="3"/>
      <c r="M1767" s="3"/>
      <c r="N1767" s="3"/>
      <c r="O1767" s="3"/>
      <c r="P1767" s="3"/>
      <c r="Q1767" s="3"/>
      <c r="R1767" s="3"/>
      <c r="S1767" s="3"/>
    </row>
    <row r="1768" spans="3:19" ht="15.75" customHeight="1" x14ac:dyDescent="0.2">
      <c r="C1768" s="208">
        <v>40806</v>
      </c>
      <c r="D1768" s="19">
        <v>0.4201388888888889</v>
      </c>
      <c r="E1768" s="3">
        <v>15</v>
      </c>
      <c r="F1768" s="3">
        <v>11.9</v>
      </c>
      <c r="G1768" s="3">
        <v>99.4</v>
      </c>
      <c r="H1768" s="3">
        <v>7.6</v>
      </c>
      <c r="I1768" s="3"/>
      <c r="L1768" s="3"/>
      <c r="M1768" s="3"/>
      <c r="N1768" s="3"/>
      <c r="O1768" s="3"/>
      <c r="P1768" s="3"/>
      <c r="Q1768" s="3"/>
      <c r="R1768" s="3"/>
      <c r="S1768" s="3"/>
    </row>
    <row r="1769" spans="3:19" ht="15.75" customHeight="1" x14ac:dyDescent="0.2">
      <c r="C1769" s="208">
        <v>40806</v>
      </c>
      <c r="D1769" s="19">
        <v>0.4201388888888889</v>
      </c>
      <c r="E1769" s="3">
        <v>16</v>
      </c>
      <c r="F1769" s="3">
        <v>11.5</v>
      </c>
      <c r="G1769" s="3">
        <v>98</v>
      </c>
      <c r="H1769" s="3">
        <v>7.4</v>
      </c>
      <c r="I1769" s="3"/>
      <c r="L1769" s="3"/>
      <c r="M1769" s="3"/>
      <c r="N1769" s="3"/>
      <c r="O1769" s="3"/>
      <c r="P1769" s="3"/>
      <c r="Q1769" s="3"/>
      <c r="R1769" s="3"/>
      <c r="S1769" s="3"/>
    </row>
    <row r="1770" spans="3:19" ht="15.75" customHeight="1" x14ac:dyDescent="0.2">
      <c r="C1770" s="208">
        <v>40806</v>
      </c>
      <c r="D1770" s="19">
        <v>0.4201388888888889</v>
      </c>
      <c r="E1770" s="3">
        <v>17</v>
      </c>
      <c r="F1770" s="3">
        <v>11.6</v>
      </c>
      <c r="G1770" s="3">
        <v>98.5</v>
      </c>
      <c r="H1770" s="3">
        <v>7.2</v>
      </c>
      <c r="I1770" s="3"/>
      <c r="L1770" s="3"/>
      <c r="M1770" s="3"/>
      <c r="N1770" s="3"/>
      <c r="O1770" s="3"/>
      <c r="P1770" s="3"/>
      <c r="Q1770" s="3"/>
      <c r="R1770" s="3"/>
      <c r="S1770" s="3"/>
    </row>
    <row r="1771" spans="3:19" ht="15.75" customHeight="1" x14ac:dyDescent="0.2">
      <c r="C1771" s="208">
        <v>40806</v>
      </c>
      <c r="D1771" s="19">
        <v>0.4201388888888889</v>
      </c>
      <c r="E1771" s="3">
        <v>18</v>
      </c>
      <c r="F1771" s="3">
        <v>11.5</v>
      </c>
      <c r="G1771" s="3">
        <v>95.5</v>
      </c>
      <c r="H1771" s="3">
        <v>6.9</v>
      </c>
      <c r="I1771" s="3"/>
      <c r="L1771" s="3"/>
      <c r="M1771" s="3"/>
      <c r="N1771" s="3"/>
      <c r="O1771" s="3"/>
      <c r="P1771" s="3"/>
      <c r="Q1771" s="3"/>
      <c r="R1771" s="3"/>
      <c r="S1771" s="3"/>
    </row>
    <row r="1772" spans="3:19" ht="15.75" customHeight="1" x14ac:dyDescent="0.2">
      <c r="C1772" s="208">
        <v>40806</v>
      </c>
      <c r="D1772" s="19">
        <v>0.4201388888888889</v>
      </c>
      <c r="E1772" s="3">
        <v>19</v>
      </c>
      <c r="F1772" s="3">
        <v>11.2</v>
      </c>
      <c r="G1772" s="3">
        <v>94.4</v>
      </c>
      <c r="H1772" s="3">
        <v>6.8</v>
      </c>
      <c r="I1772" s="3"/>
      <c r="L1772" s="3"/>
      <c r="M1772" s="3"/>
      <c r="N1772" s="3"/>
      <c r="O1772" s="3"/>
      <c r="P1772" s="3"/>
      <c r="Q1772" s="3"/>
      <c r="R1772" s="3"/>
      <c r="S1772" s="3"/>
    </row>
    <row r="1773" spans="3:19" ht="15.75" customHeight="1" x14ac:dyDescent="0.2">
      <c r="C1773" s="208">
        <v>40806</v>
      </c>
      <c r="D1773" s="19">
        <v>0.4201388888888889</v>
      </c>
      <c r="E1773" s="3">
        <v>20</v>
      </c>
      <c r="F1773" s="3">
        <v>11.3</v>
      </c>
      <c r="G1773" s="3">
        <v>93.9</v>
      </c>
      <c r="H1773" s="3">
        <v>6.7</v>
      </c>
      <c r="I1773" s="3"/>
      <c r="L1773" s="3"/>
      <c r="M1773" s="3"/>
      <c r="N1773" s="3"/>
      <c r="O1773" s="3"/>
      <c r="P1773" s="3"/>
      <c r="Q1773" s="3"/>
      <c r="R1773" s="3"/>
      <c r="S1773" s="3"/>
    </row>
    <row r="1774" spans="3:19" ht="15.75" customHeight="1" x14ac:dyDescent="0.2">
      <c r="C1774" s="208">
        <v>40806</v>
      </c>
      <c r="D1774" s="19">
        <v>0.4201388888888889</v>
      </c>
      <c r="E1774" s="3">
        <v>21</v>
      </c>
      <c r="F1774" s="3">
        <v>11.4</v>
      </c>
      <c r="G1774" s="3">
        <v>94.5</v>
      </c>
      <c r="H1774" s="3">
        <v>6.6</v>
      </c>
      <c r="I1774" s="3"/>
      <c r="L1774" s="3"/>
      <c r="M1774" s="3"/>
      <c r="N1774" s="3"/>
      <c r="O1774" s="3"/>
      <c r="P1774" s="3"/>
      <c r="Q1774" s="3"/>
      <c r="R1774" s="3"/>
      <c r="S1774" s="3"/>
    </row>
    <row r="1775" spans="3:19" ht="15.75" customHeight="1" x14ac:dyDescent="0.2">
      <c r="C1775" s="208">
        <v>40806</v>
      </c>
      <c r="D1775" s="19">
        <v>0.4201388888888889</v>
      </c>
      <c r="E1775" s="3">
        <v>22</v>
      </c>
      <c r="F1775" s="3">
        <v>11.2</v>
      </c>
      <c r="G1775" s="3">
        <v>92</v>
      </c>
      <c r="H1775" s="3">
        <v>6.5</v>
      </c>
      <c r="I1775" s="3"/>
      <c r="L1775" s="3"/>
      <c r="M1775" s="3"/>
      <c r="N1775" s="3"/>
      <c r="O1775" s="3"/>
      <c r="P1775" s="3"/>
      <c r="Q1775" s="3"/>
      <c r="R1775" s="3"/>
      <c r="S1775" s="3"/>
    </row>
    <row r="1776" spans="3:19" ht="15.75" customHeight="1" x14ac:dyDescent="0.2">
      <c r="C1776" s="208">
        <v>40806</v>
      </c>
      <c r="D1776" s="19">
        <v>0.4201388888888889</v>
      </c>
      <c r="E1776" s="3">
        <v>23</v>
      </c>
      <c r="F1776" s="3">
        <v>10.8</v>
      </c>
      <c r="G1776" s="3">
        <v>89</v>
      </c>
      <c r="H1776" s="3">
        <v>6.4</v>
      </c>
      <c r="I1776" s="3"/>
      <c r="L1776" s="3"/>
      <c r="M1776" s="3"/>
      <c r="N1776" s="3"/>
      <c r="O1776" s="3"/>
      <c r="P1776" s="3"/>
      <c r="Q1776" s="3"/>
      <c r="R1776" s="3"/>
      <c r="S1776" s="3"/>
    </row>
    <row r="1777" spans="3:19" ht="15.75" customHeight="1" x14ac:dyDescent="0.2">
      <c r="C1777" s="208">
        <v>40806</v>
      </c>
      <c r="D1777" s="19">
        <v>0.4201388888888889</v>
      </c>
      <c r="E1777" s="3">
        <v>24</v>
      </c>
      <c r="F1777" s="3">
        <v>10.7</v>
      </c>
      <c r="G1777" s="3">
        <v>89.5</v>
      </c>
      <c r="H1777" s="3">
        <v>6.3</v>
      </c>
      <c r="I1777" s="3"/>
      <c r="L1777" s="3"/>
      <c r="M1777" s="3"/>
      <c r="N1777" s="3"/>
      <c r="O1777" s="3"/>
      <c r="P1777" s="3"/>
      <c r="Q1777" s="3"/>
      <c r="R1777" s="3"/>
      <c r="S1777" s="3"/>
    </row>
    <row r="1778" spans="3:19" ht="15.75" customHeight="1" x14ac:dyDescent="0.2">
      <c r="C1778" s="208">
        <v>40806</v>
      </c>
      <c r="D1778" s="19">
        <v>0.4201388888888889</v>
      </c>
      <c r="E1778" s="3">
        <v>25</v>
      </c>
      <c r="F1778" s="3">
        <v>10.9</v>
      </c>
      <c r="G1778" s="3">
        <v>88</v>
      </c>
      <c r="H1778" s="3">
        <v>6.3</v>
      </c>
      <c r="I1778" s="3"/>
      <c r="L1778" s="3"/>
      <c r="M1778" s="3"/>
      <c r="N1778" s="3"/>
      <c r="O1778" s="3"/>
      <c r="P1778" s="3"/>
      <c r="Q1778" s="3"/>
      <c r="R1778" s="3"/>
      <c r="S1778" s="3"/>
    </row>
    <row r="1779" spans="3:19" ht="15.75" customHeight="1" x14ac:dyDescent="0.2">
      <c r="C1779" s="208"/>
      <c r="D1779" s="3"/>
      <c r="E1779" s="3"/>
      <c r="F1779" s="3"/>
      <c r="G1779" s="3"/>
      <c r="H1779" s="3"/>
      <c r="I1779" s="3"/>
      <c r="L1779" s="3"/>
      <c r="M1779" s="3"/>
      <c r="N1779" s="3"/>
      <c r="O1779" s="3"/>
      <c r="P1779" s="3"/>
      <c r="Q1779" s="3"/>
      <c r="R1779" s="3"/>
      <c r="S1779" s="3"/>
    </row>
    <row r="1780" spans="3:19" ht="15.75" customHeight="1" x14ac:dyDescent="0.2">
      <c r="C1780" s="208"/>
      <c r="D1780" s="3"/>
      <c r="E1780" s="3"/>
      <c r="F1780" s="3"/>
      <c r="G1780" s="3"/>
      <c r="H1780" s="3"/>
      <c r="I1780" s="3"/>
      <c r="L1780" s="3"/>
      <c r="M1780" s="3"/>
      <c r="N1780" s="3"/>
      <c r="O1780" s="3"/>
      <c r="P1780" s="3"/>
      <c r="Q1780" s="3"/>
      <c r="R1780" s="3"/>
      <c r="S1780" s="3"/>
    </row>
    <row r="1781" spans="3:19" ht="15.75" customHeight="1" x14ac:dyDescent="0.2">
      <c r="C1781" s="214" t="s">
        <v>184</v>
      </c>
      <c r="D1781" s="19">
        <v>0.39930555555555558</v>
      </c>
      <c r="E1781" s="3"/>
      <c r="F1781" s="3"/>
      <c r="G1781" s="3"/>
      <c r="H1781" s="3"/>
      <c r="I1781" s="3"/>
      <c r="J1781">
        <v>6</v>
      </c>
      <c r="K1781">
        <v>8</v>
      </c>
      <c r="L1781" s="3"/>
      <c r="M1781" s="3"/>
      <c r="N1781" s="3"/>
      <c r="O1781" s="3"/>
      <c r="P1781" s="3"/>
      <c r="Q1781" s="3"/>
      <c r="R1781" s="3"/>
      <c r="S1781" s="3"/>
    </row>
    <row r="1782" spans="3:19" ht="15.75" customHeight="1" x14ac:dyDescent="0.2">
      <c r="C1782" s="214" t="s">
        <v>184</v>
      </c>
      <c r="D1782" s="19">
        <v>0.42708333333333331</v>
      </c>
      <c r="E1782" s="20" t="s">
        <v>105</v>
      </c>
      <c r="F1782" s="3">
        <v>9.5399999999999991</v>
      </c>
      <c r="G1782" s="3">
        <v>84.6</v>
      </c>
      <c r="H1782" s="20" t="s">
        <v>185</v>
      </c>
      <c r="I1782" s="3"/>
      <c r="L1782" s="3"/>
      <c r="M1782" s="3"/>
      <c r="N1782" s="3"/>
      <c r="O1782" s="3"/>
      <c r="P1782" s="3"/>
      <c r="Q1782" s="3"/>
      <c r="R1782" s="3"/>
      <c r="S1782" s="3"/>
    </row>
    <row r="1783" spans="3:19" ht="15.75" customHeight="1" x14ac:dyDescent="0.2">
      <c r="C1783" s="214" t="s">
        <v>184</v>
      </c>
      <c r="D1783" s="19">
        <v>0.42708333333333331</v>
      </c>
      <c r="E1783" s="20" t="s">
        <v>107</v>
      </c>
      <c r="F1783" s="3">
        <v>9.5500000000000007</v>
      </c>
      <c r="G1783" s="3">
        <v>84.6</v>
      </c>
      <c r="H1783" s="20" t="s">
        <v>185</v>
      </c>
      <c r="I1783" s="3"/>
      <c r="L1783" s="3"/>
      <c r="M1783" s="3"/>
      <c r="N1783" s="3"/>
      <c r="O1783" s="3"/>
      <c r="P1783" s="3"/>
      <c r="Q1783" s="3"/>
      <c r="R1783" s="3"/>
      <c r="S1783" s="3"/>
    </row>
    <row r="1784" spans="3:19" ht="15.75" customHeight="1" x14ac:dyDescent="0.2">
      <c r="C1784" s="214" t="s">
        <v>184</v>
      </c>
      <c r="D1784" s="19">
        <v>0.42708333333333331</v>
      </c>
      <c r="E1784" s="20" t="s">
        <v>132</v>
      </c>
      <c r="F1784" s="3">
        <v>9.52</v>
      </c>
      <c r="G1784" s="3">
        <v>84.3</v>
      </c>
      <c r="H1784" s="20" t="s">
        <v>186</v>
      </c>
      <c r="I1784" s="3"/>
      <c r="L1784" s="3"/>
      <c r="M1784" s="3"/>
      <c r="N1784" s="3"/>
      <c r="O1784" s="3"/>
      <c r="P1784" s="3"/>
      <c r="Q1784" s="3"/>
      <c r="R1784" s="3"/>
      <c r="S1784" s="3"/>
    </row>
    <row r="1785" spans="3:19" ht="15.75" customHeight="1" x14ac:dyDescent="0.2">
      <c r="C1785" s="214" t="s">
        <v>184</v>
      </c>
      <c r="D1785" s="19">
        <v>0.42708333333333331</v>
      </c>
      <c r="E1785" s="20" t="s">
        <v>187</v>
      </c>
      <c r="F1785" s="3">
        <v>9.56</v>
      </c>
      <c r="G1785" s="3">
        <v>84.7</v>
      </c>
      <c r="H1785" s="20" t="s">
        <v>186</v>
      </c>
      <c r="I1785" s="3"/>
      <c r="L1785" s="3"/>
      <c r="M1785" s="3"/>
      <c r="N1785" s="3"/>
      <c r="O1785" s="3"/>
      <c r="P1785" s="3"/>
      <c r="Q1785" s="3"/>
      <c r="R1785" s="3"/>
      <c r="S1785" s="3"/>
    </row>
    <row r="1786" spans="3:19" ht="15.75" customHeight="1" x14ac:dyDescent="0.2">
      <c r="C1786" s="214" t="s">
        <v>184</v>
      </c>
      <c r="D1786" s="19">
        <v>0.42708333333333331</v>
      </c>
      <c r="E1786" s="20" t="s">
        <v>188</v>
      </c>
      <c r="F1786" s="3">
        <v>9.6</v>
      </c>
      <c r="G1786" s="3">
        <v>84.8</v>
      </c>
      <c r="H1786" s="20" t="s">
        <v>186</v>
      </c>
      <c r="I1786" s="3"/>
      <c r="L1786" s="3"/>
      <c r="M1786" s="3"/>
      <c r="N1786" s="3"/>
      <c r="O1786" s="3"/>
      <c r="P1786" s="3"/>
      <c r="Q1786" s="3"/>
      <c r="R1786" s="3"/>
      <c r="S1786" s="3"/>
    </row>
    <row r="1787" spans="3:19" ht="15.75" customHeight="1" x14ac:dyDescent="0.2">
      <c r="C1787" s="214" t="s">
        <v>184</v>
      </c>
      <c r="D1787" s="19">
        <v>0.42708333333333331</v>
      </c>
      <c r="E1787" s="20" t="s">
        <v>189</v>
      </c>
      <c r="F1787" s="3">
        <v>9.5500000000000007</v>
      </c>
      <c r="G1787" s="3">
        <v>85</v>
      </c>
      <c r="H1787" s="20" t="s">
        <v>186</v>
      </c>
      <c r="I1787" s="3"/>
      <c r="L1787" s="3"/>
      <c r="M1787" s="3"/>
      <c r="N1787" s="3"/>
      <c r="O1787" s="3"/>
      <c r="P1787" s="3"/>
      <c r="Q1787" s="3"/>
      <c r="R1787" s="3"/>
      <c r="S1787" s="3"/>
    </row>
    <row r="1788" spans="3:19" ht="15.75" customHeight="1" x14ac:dyDescent="0.2">
      <c r="C1788" s="214" t="s">
        <v>184</v>
      </c>
      <c r="D1788" s="19">
        <v>0.42708333333333331</v>
      </c>
      <c r="E1788" s="20" t="s">
        <v>190</v>
      </c>
      <c r="F1788" s="3">
        <v>9.64</v>
      </c>
      <c r="G1788" s="3">
        <v>84.8</v>
      </c>
      <c r="H1788" s="20" t="s">
        <v>191</v>
      </c>
      <c r="I1788" s="3"/>
      <c r="L1788" s="3"/>
      <c r="M1788" s="3"/>
      <c r="N1788" s="3"/>
      <c r="O1788" s="3"/>
      <c r="P1788" s="3"/>
      <c r="Q1788" s="3"/>
      <c r="R1788" s="3"/>
      <c r="S1788" s="3"/>
    </row>
    <row r="1789" spans="3:19" ht="15.75" customHeight="1" x14ac:dyDescent="0.2">
      <c r="C1789" s="214" t="s">
        <v>184</v>
      </c>
      <c r="D1789" s="19">
        <v>0.42708333333333331</v>
      </c>
      <c r="E1789" s="20" t="s">
        <v>192</v>
      </c>
      <c r="F1789" s="3">
        <v>9.68</v>
      </c>
      <c r="G1789" s="3">
        <v>85</v>
      </c>
      <c r="H1789" s="20" t="s">
        <v>193</v>
      </c>
      <c r="I1789" s="3"/>
      <c r="L1789" s="3"/>
      <c r="M1789" s="3"/>
      <c r="N1789" s="3"/>
      <c r="O1789" s="3"/>
      <c r="P1789" s="3"/>
      <c r="Q1789" s="3"/>
      <c r="R1789" s="3"/>
      <c r="S1789" s="3"/>
    </row>
    <row r="1790" spans="3:19" ht="15.75" customHeight="1" x14ac:dyDescent="0.2">
      <c r="C1790" s="214" t="s">
        <v>184</v>
      </c>
      <c r="D1790" s="19">
        <v>0.42708333333333331</v>
      </c>
      <c r="E1790" s="20" t="s">
        <v>194</v>
      </c>
      <c r="F1790" s="3">
        <v>9.65</v>
      </c>
      <c r="G1790" s="3">
        <v>84.2</v>
      </c>
      <c r="H1790" s="20" t="s">
        <v>195</v>
      </c>
      <c r="I1790" s="3"/>
      <c r="L1790" s="3"/>
      <c r="M1790" s="3"/>
      <c r="N1790" s="3"/>
      <c r="O1790" s="3"/>
      <c r="P1790" s="3"/>
      <c r="Q1790" s="3"/>
      <c r="R1790" s="3"/>
      <c r="S1790" s="3"/>
    </row>
    <row r="1791" spans="3:19" ht="15.75" customHeight="1" x14ac:dyDescent="0.2">
      <c r="C1791" s="214" t="s">
        <v>184</v>
      </c>
      <c r="D1791" s="19">
        <v>0.42708333333333331</v>
      </c>
      <c r="E1791" s="20" t="s">
        <v>196</v>
      </c>
      <c r="F1791" s="3">
        <v>9.6199999999999992</v>
      </c>
      <c r="G1791" s="3">
        <v>84.4</v>
      </c>
      <c r="H1791" s="20" t="s">
        <v>197</v>
      </c>
      <c r="I1791" s="3"/>
      <c r="L1791" s="3"/>
      <c r="M1791" s="3"/>
      <c r="N1791" s="3"/>
      <c r="O1791" s="3"/>
      <c r="P1791" s="3"/>
      <c r="Q1791" s="3"/>
      <c r="R1791" s="3"/>
      <c r="S1791" s="3"/>
    </row>
    <row r="1792" spans="3:19" ht="15.75" customHeight="1" x14ac:dyDescent="0.2">
      <c r="C1792" s="214" t="s">
        <v>184</v>
      </c>
      <c r="D1792" s="19">
        <v>0.42708333333333331</v>
      </c>
      <c r="E1792" s="20" t="s">
        <v>186</v>
      </c>
      <c r="F1792" s="3">
        <v>9.67</v>
      </c>
      <c r="G1792" s="3">
        <v>84</v>
      </c>
      <c r="H1792" s="20" t="s">
        <v>198</v>
      </c>
      <c r="I1792" s="3"/>
      <c r="L1792" s="3"/>
      <c r="M1792" s="3"/>
      <c r="N1792" s="3"/>
      <c r="O1792" s="3"/>
      <c r="P1792" s="3"/>
      <c r="Q1792" s="3"/>
      <c r="R1792" s="3"/>
      <c r="S1792" s="3"/>
    </row>
    <row r="1793" spans="3:19" ht="15.75" customHeight="1" x14ac:dyDescent="0.2">
      <c r="C1793" s="214" t="s">
        <v>184</v>
      </c>
      <c r="D1793" s="19">
        <v>0.42708333333333331</v>
      </c>
      <c r="E1793" s="20" t="s">
        <v>182</v>
      </c>
      <c r="F1793" s="3">
        <v>9.69</v>
      </c>
      <c r="G1793" s="3">
        <v>84.1</v>
      </c>
      <c r="H1793" s="20" t="s">
        <v>199</v>
      </c>
      <c r="I1793" s="3"/>
      <c r="L1793" s="3"/>
      <c r="M1793" s="3"/>
      <c r="N1793" s="3"/>
      <c r="O1793" s="3"/>
      <c r="P1793" s="3"/>
      <c r="Q1793" s="3"/>
      <c r="R1793" s="3"/>
      <c r="S1793" s="3"/>
    </row>
    <row r="1794" spans="3:19" ht="15.75" customHeight="1" x14ac:dyDescent="0.2">
      <c r="C1794" s="214" t="s">
        <v>184</v>
      </c>
      <c r="D1794" s="19">
        <v>0.42708333333333331</v>
      </c>
      <c r="E1794" s="20" t="s">
        <v>117</v>
      </c>
      <c r="F1794" s="3">
        <v>9.69</v>
      </c>
      <c r="G1794" s="3">
        <v>83.6</v>
      </c>
      <c r="H1794" s="63">
        <v>9</v>
      </c>
      <c r="I1794" s="3"/>
      <c r="L1794" s="3"/>
      <c r="M1794" s="3"/>
      <c r="N1794" s="3"/>
      <c r="O1794" s="3"/>
      <c r="P1794" s="3"/>
      <c r="Q1794" s="3"/>
      <c r="R1794" s="3"/>
      <c r="S1794" s="3"/>
    </row>
    <row r="1795" spans="3:19" ht="15.75" customHeight="1" x14ac:dyDescent="0.2">
      <c r="C1795" s="214" t="s">
        <v>184</v>
      </c>
      <c r="D1795" s="19">
        <v>0.42708333333333331</v>
      </c>
      <c r="E1795" s="20" t="s">
        <v>200</v>
      </c>
      <c r="F1795" s="3">
        <v>9.68</v>
      </c>
      <c r="G1795" s="3">
        <v>83.2</v>
      </c>
      <c r="H1795" s="20" t="s">
        <v>201</v>
      </c>
      <c r="I1795" s="3"/>
      <c r="L1795" s="3"/>
      <c r="M1795" s="3"/>
      <c r="N1795" s="3"/>
      <c r="O1795" s="3"/>
      <c r="P1795" s="3"/>
      <c r="Q1795" s="3"/>
      <c r="R1795" s="3"/>
      <c r="S1795" s="3"/>
    </row>
    <row r="1796" spans="3:19" ht="15.75" customHeight="1" x14ac:dyDescent="0.2">
      <c r="C1796" s="214" t="s">
        <v>184</v>
      </c>
      <c r="D1796" s="19">
        <v>0.42708333333333331</v>
      </c>
      <c r="E1796" s="20" t="s">
        <v>202</v>
      </c>
      <c r="F1796" s="3">
        <v>9.7100000000000009</v>
      </c>
      <c r="G1796" s="3">
        <v>83.3</v>
      </c>
      <c r="H1796" s="20" t="s">
        <v>203</v>
      </c>
      <c r="I1796" s="3"/>
      <c r="L1796" s="3"/>
      <c r="M1796" s="3"/>
      <c r="N1796" s="3"/>
      <c r="O1796" s="3"/>
      <c r="P1796" s="3"/>
      <c r="Q1796" s="3"/>
      <c r="R1796" s="3"/>
      <c r="S1796" s="3"/>
    </row>
    <row r="1797" spans="3:19" ht="15.75" customHeight="1" x14ac:dyDescent="0.2">
      <c r="C1797" s="214" t="s">
        <v>184</v>
      </c>
      <c r="D1797" s="19">
        <v>0.42708333333333331</v>
      </c>
      <c r="E1797" s="20" t="s">
        <v>204</v>
      </c>
      <c r="F1797" s="3">
        <v>9.77</v>
      </c>
      <c r="G1797" s="3">
        <v>82.9</v>
      </c>
      <c r="H1797" s="20" t="s">
        <v>205</v>
      </c>
      <c r="I1797" s="3"/>
      <c r="L1797" s="3"/>
      <c r="M1797" s="3"/>
      <c r="N1797" s="3"/>
      <c r="O1797" s="3"/>
      <c r="P1797" s="3"/>
      <c r="Q1797" s="3"/>
      <c r="R1797" s="3"/>
      <c r="S1797" s="3"/>
    </row>
    <row r="1798" spans="3:19" ht="15.75" customHeight="1" x14ac:dyDescent="0.2">
      <c r="C1798" s="214" t="s">
        <v>184</v>
      </c>
      <c r="D1798" s="19">
        <v>0.42708333333333331</v>
      </c>
      <c r="E1798" s="20" t="s">
        <v>181</v>
      </c>
      <c r="F1798" s="3">
        <v>9.76</v>
      </c>
      <c r="G1798" s="3">
        <v>82.7</v>
      </c>
      <c r="H1798" s="20" t="s">
        <v>206</v>
      </c>
      <c r="I1798" s="3"/>
      <c r="L1798" s="3"/>
      <c r="M1798" s="3"/>
      <c r="N1798" s="3"/>
      <c r="O1798" s="3"/>
      <c r="P1798" s="3"/>
      <c r="Q1798" s="3"/>
      <c r="R1798" s="3"/>
      <c r="S1798" s="3"/>
    </row>
    <row r="1799" spans="3:19" ht="15.75" customHeight="1" x14ac:dyDescent="0.2">
      <c r="C1799" s="214" t="s">
        <v>184</v>
      </c>
      <c r="D1799" s="19">
        <v>0.42708333333333331</v>
      </c>
      <c r="E1799" s="20" t="s">
        <v>207</v>
      </c>
      <c r="F1799" s="3">
        <v>9.7799999999999994</v>
      </c>
      <c r="G1799" s="3">
        <v>82.1</v>
      </c>
      <c r="H1799" s="20" t="s">
        <v>208</v>
      </c>
      <c r="I1799" s="3"/>
      <c r="L1799" s="3"/>
      <c r="M1799" s="3"/>
      <c r="N1799" s="3"/>
      <c r="O1799" s="3"/>
      <c r="P1799" s="3"/>
      <c r="Q1799" s="3"/>
      <c r="R1799" s="3"/>
      <c r="S1799" s="3"/>
    </row>
    <row r="1800" spans="3:19" ht="15.75" customHeight="1" x14ac:dyDescent="0.2">
      <c r="C1800" s="214" t="s">
        <v>184</v>
      </c>
      <c r="D1800" s="19">
        <v>0.42708333333333331</v>
      </c>
      <c r="E1800" s="20" t="s">
        <v>209</v>
      </c>
      <c r="F1800" s="3">
        <v>9.7100000000000009</v>
      </c>
      <c r="G1800" s="3">
        <v>81.400000000000006</v>
      </c>
      <c r="H1800" s="20" t="s">
        <v>171</v>
      </c>
      <c r="I1800" s="3"/>
      <c r="L1800" s="3"/>
      <c r="M1800" s="3"/>
      <c r="N1800" s="3"/>
      <c r="O1800" s="3"/>
      <c r="P1800" s="3"/>
      <c r="Q1800" s="3"/>
      <c r="R1800" s="3"/>
      <c r="S1800" s="3"/>
    </row>
    <row r="1801" spans="3:19" ht="15.75" customHeight="1" x14ac:dyDescent="0.2">
      <c r="C1801" s="214" t="s">
        <v>184</v>
      </c>
      <c r="D1801" s="19">
        <v>0.42708333333333331</v>
      </c>
      <c r="E1801" s="20" t="s">
        <v>210</v>
      </c>
      <c r="F1801" s="3">
        <v>9.82</v>
      </c>
      <c r="G1801" s="3">
        <v>81.5</v>
      </c>
      <c r="H1801" s="20" t="s">
        <v>211</v>
      </c>
      <c r="I1801" s="3"/>
      <c r="L1801" s="3"/>
      <c r="M1801" s="3"/>
      <c r="N1801" s="3"/>
      <c r="O1801" s="3"/>
      <c r="P1801" s="3"/>
      <c r="Q1801" s="3"/>
      <c r="R1801" s="3"/>
      <c r="S1801" s="3"/>
    </row>
    <row r="1802" spans="3:19" ht="15.75" customHeight="1" x14ac:dyDescent="0.2">
      <c r="C1802" s="214" t="s">
        <v>184</v>
      </c>
      <c r="D1802" s="19">
        <v>0.42708333333333331</v>
      </c>
      <c r="E1802" s="20" t="s">
        <v>212</v>
      </c>
      <c r="F1802" s="3">
        <v>9.82</v>
      </c>
      <c r="G1802" s="3">
        <v>80.400000000000006</v>
      </c>
      <c r="H1802" s="20" t="s">
        <v>213</v>
      </c>
      <c r="I1802" s="20"/>
      <c r="L1802" s="3"/>
      <c r="M1802" s="3"/>
      <c r="N1802" s="3"/>
      <c r="O1802" s="3"/>
      <c r="P1802" s="3"/>
      <c r="Q1802" s="3"/>
      <c r="R1802" s="3"/>
      <c r="S1802" s="3"/>
    </row>
    <row r="1803" spans="3:19" ht="15.75" customHeight="1" x14ac:dyDescent="0.2">
      <c r="C1803" s="214" t="s">
        <v>184</v>
      </c>
      <c r="D1803" s="19">
        <v>0.42708333333333331</v>
      </c>
      <c r="E1803" s="20" t="s">
        <v>214</v>
      </c>
      <c r="F1803" s="3">
        <v>9.7799999999999994</v>
      </c>
      <c r="G1803" s="3">
        <v>79.3</v>
      </c>
      <c r="H1803" s="20" t="s">
        <v>215</v>
      </c>
      <c r="I1803" s="20"/>
      <c r="L1803" s="3"/>
      <c r="M1803" s="3"/>
      <c r="N1803" s="3"/>
      <c r="O1803" s="3"/>
      <c r="P1803" s="3"/>
      <c r="Q1803" s="3"/>
      <c r="R1803" s="3"/>
      <c r="S1803" s="3"/>
    </row>
    <row r="1804" spans="3:19" ht="15.75" customHeight="1" x14ac:dyDescent="0.2">
      <c r="C1804" s="214" t="s">
        <v>184</v>
      </c>
      <c r="D1804" s="19">
        <v>0.42708333333333331</v>
      </c>
      <c r="E1804" s="20" t="s">
        <v>216</v>
      </c>
      <c r="F1804" s="3">
        <v>9.7200000000000006</v>
      </c>
      <c r="G1804" s="3">
        <v>78.8</v>
      </c>
      <c r="H1804" s="20" t="s">
        <v>217</v>
      </c>
      <c r="I1804" s="20"/>
      <c r="L1804" s="3"/>
      <c r="M1804" s="3"/>
      <c r="N1804" s="3"/>
      <c r="O1804" s="3"/>
      <c r="P1804" s="3"/>
      <c r="Q1804" s="3"/>
      <c r="R1804" s="3"/>
      <c r="S1804" s="3"/>
    </row>
    <row r="1805" spans="3:19" ht="15.75" customHeight="1" x14ac:dyDescent="0.2">
      <c r="C1805" s="214" t="s">
        <v>184</v>
      </c>
      <c r="D1805" s="19">
        <v>0.42708333333333331</v>
      </c>
      <c r="E1805" s="20" t="s">
        <v>218</v>
      </c>
      <c r="F1805" s="3">
        <v>9.76</v>
      </c>
      <c r="G1805" s="3">
        <v>78.8</v>
      </c>
      <c r="H1805" s="20" t="s">
        <v>219</v>
      </c>
      <c r="I1805" s="20"/>
      <c r="J1805" s="20"/>
      <c r="L1805" s="3"/>
      <c r="M1805" s="3"/>
      <c r="N1805" s="3"/>
      <c r="O1805" s="3"/>
      <c r="P1805" s="3"/>
      <c r="Q1805" s="3"/>
      <c r="R1805" s="3"/>
      <c r="S1805" s="3"/>
    </row>
    <row r="1806" spans="3:19" ht="15.75" customHeight="1" x14ac:dyDescent="0.2">
      <c r="C1806" s="214" t="s">
        <v>184</v>
      </c>
      <c r="D1806" s="19">
        <v>0.42708333333333331</v>
      </c>
      <c r="E1806" s="20" t="s">
        <v>220</v>
      </c>
      <c r="F1806" s="3">
        <v>9.7799999999999994</v>
      </c>
      <c r="G1806" s="3">
        <v>78.7</v>
      </c>
      <c r="H1806" s="20" t="s">
        <v>190</v>
      </c>
      <c r="I1806" s="20"/>
      <c r="J1806" s="20"/>
      <c r="L1806" s="3"/>
      <c r="M1806" s="3"/>
      <c r="N1806" s="3"/>
      <c r="O1806" s="3"/>
      <c r="P1806" s="3"/>
      <c r="Q1806" s="3"/>
      <c r="R1806" s="3"/>
      <c r="S1806" s="3"/>
    </row>
    <row r="1807" spans="3:19" ht="15.75" customHeight="1" x14ac:dyDescent="0.2">
      <c r="C1807" s="214" t="s">
        <v>184</v>
      </c>
      <c r="D1807" s="19">
        <v>0.42708333333333331</v>
      </c>
      <c r="E1807" s="20" t="s">
        <v>221</v>
      </c>
      <c r="F1807" s="3">
        <v>9.8000000000000007</v>
      </c>
      <c r="G1807" s="3">
        <v>78.7</v>
      </c>
      <c r="H1807" s="20" t="s">
        <v>222</v>
      </c>
      <c r="I1807" s="20"/>
      <c r="J1807" s="20"/>
      <c r="L1807" s="3"/>
      <c r="M1807" s="3"/>
      <c r="N1807" s="3"/>
      <c r="O1807" s="3"/>
      <c r="P1807" s="3"/>
      <c r="Q1807" s="3"/>
      <c r="R1807" s="3"/>
      <c r="S1807" s="3"/>
    </row>
    <row r="1808" spans="3:19" ht="15.75" customHeight="1" x14ac:dyDescent="0.2">
      <c r="C1808" s="208"/>
      <c r="D1808" s="3"/>
      <c r="E1808" s="3"/>
      <c r="G1808" s="3"/>
      <c r="H1808" s="3"/>
      <c r="I1808" s="3"/>
      <c r="J1808" s="20"/>
      <c r="L1808" s="3"/>
      <c r="M1808" s="3"/>
      <c r="N1808" s="3"/>
      <c r="O1808" s="3"/>
      <c r="P1808" s="3"/>
      <c r="Q1808" s="3"/>
      <c r="R1808" s="3"/>
      <c r="S1808" s="3"/>
    </row>
    <row r="1809" spans="3:19" ht="15.75" customHeight="1" x14ac:dyDescent="0.2">
      <c r="C1809" s="214" t="s">
        <v>223</v>
      </c>
      <c r="D1809" s="19">
        <v>0.4375</v>
      </c>
      <c r="E1809" s="3"/>
      <c r="G1809" s="3"/>
      <c r="I1809" s="3"/>
      <c r="J1809" s="20">
        <v>7</v>
      </c>
      <c r="K1809">
        <v>7.5</v>
      </c>
      <c r="L1809" s="3"/>
      <c r="M1809" s="3"/>
      <c r="N1809" s="3"/>
      <c r="O1809" s="3"/>
      <c r="P1809" s="3"/>
      <c r="Q1809" s="3"/>
      <c r="R1809" s="3"/>
      <c r="S1809" s="3"/>
    </row>
    <row r="1810" spans="3:19" ht="15.75" customHeight="1" x14ac:dyDescent="0.2">
      <c r="C1810" s="214" t="s">
        <v>223</v>
      </c>
      <c r="D1810" s="19">
        <v>0.46875</v>
      </c>
      <c r="E1810" s="20" t="s">
        <v>105</v>
      </c>
      <c r="F1810" s="3">
        <v>8.91</v>
      </c>
      <c r="G1810" s="3">
        <v>85.1</v>
      </c>
      <c r="H1810" s="3">
        <v>13.7</v>
      </c>
      <c r="I1810" s="3">
        <v>13.7</v>
      </c>
      <c r="J1810" s="3"/>
      <c r="L1810" s="3"/>
      <c r="M1810" s="3"/>
      <c r="N1810" s="3"/>
      <c r="O1810" s="3"/>
      <c r="P1810" s="3"/>
      <c r="Q1810" s="3"/>
      <c r="R1810" s="3"/>
      <c r="S1810" s="3"/>
    </row>
    <row r="1811" spans="3:19" ht="15.75" customHeight="1" x14ac:dyDescent="0.2">
      <c r="C1811" s="214" t="s">
        <v>223</v>
      </c>
      <c r="D1811" s="19">
        <v>0.46875</v>
      </c>
      <c r="E1811" s="20" t="s">
        <v>107</v>
      </c>
      <c r="F1811" s="3">
        <v>8.86</v>
      </c>
      <c r="G1811" s="3">
        <v>84.5</v>
      </c>
      <c r="H1811" s="3">
        <v>13.7</v>
      </c>
      <c r="I1811" s="3">
        <v>13.7</v>
      </c>
      <c r="J1811" s="3"/>
      <c r="L1811" s="3"/>
      <c r="M1811" s="3"/>
      <c r="N1811" s="3"/>
      <c r="O1811" s="3"/>
      <c r="P1811" s="3"/>
      <c r="Q1811" s="3"/>
      <c r="R1811" s="3"/>
      <c r="S1811" s="3"/>
    </row>
    <row r="1812" spans="3:19" ht="15.75" customHeight="1" x14ac:dyDescent="0.2">
      <c r="C1812" s="214" t="s">
        <v>223</v>
      </c>
      <c r="D1812" s="19">
        <v>0.46875</v>
      </c>
      <c r="E1812" s="20" t="s">
        <v>132</v>
      </c>
      <c r="F1812" s="3">
        <v>8.85</v>
      </c>
      <c r="G1812" s="3">
        <v>84.3</v>
      </c>
      <c r="H1812" s="3">
        <v>13.7</v>
      </c>
      <c r="I1812" s="3">
        <v>13.7</v>
      </c>
      <c r="J1812" s="3"/>
      <c r="L1812" s="3"/>
      <c r="M1812" s="3"/>
      <c r="N1812" s="3"/>
      <c r="O1812" s="3"/>
      <c r="P1812" s="3"/>
      <c r="Q1812" s="3"/>
      <c r="R1812" s="3"/>
      <c r="S1812" s="3"/>
    </row>
    <row r="1813" spans="3:19" ht="15.75" customHeight="1" x14ac:dyDescent="0.2">
      <c r="C1813" s="214" t="s">
        <v>223</v>
      </c>
      <c r="D1813" s="19">
        <v>0.46875</v>
      </c>
      <c r="E1813" s="20" t="s">
        <v>187</v>
      </c>
      <c r="F1813" s="3">
        <v>8.8000000000000007</v>
      </c>
      <c r="G1813" s="3">
        <v>84</v>
      </c>
      <c r="H1813" s="3">
        <v>13.7</v>
      </c>
      <c r="I1813" s="3">
        <v>13.7</v>
      </c>
      <c r="J1813" s="3"/>
      <c r="L1813" s="3"/>
      <c r="M1813" s="3"/>
      <c r="N1813" s="3"/>
      <c r="O1813" s="3"/>
      <c r="P1813" s="3"/>
      <c r="Q1813" s="3"/>
      <c r="R1813" s="3"/>
      <c r="S1813" s="3"/>
    </row>
    <row r="1814" spans="3:19" ht="15.75" customHeight="1" x14ac:dyDescent="0.2">
      <c r="C1814" s="214" t="s">
        <v>223</v>
      </c>
      <c r="D1814" s="19">
        <v>0.46875</v>
      </c>
      <c r="E1814" s="20" t="s">
        <v>188</v>
      </c>
      <c r="F1814" s="3">
        <v>8.77</v>
      </c>
      <c r="G1814" s="3">
        <v>82.8</v>
      </c>
      <c r="H1814" s="3">
        <v>13.7</v>
      </c>
      <c r="I1814" s="3">
        <v>13.7</v>
      </c>
      <c r="J1814" s="3"/>
      <c r="L1814" s="3"/>
      <c r="M1814" s="3"/>
      <c r="N1814" s="3"/>
      <c r="O1814" s="3"/>
      <c r="P1814" s="3"/>
      <c r="Q1814" s="3"/>
      <c r="R1814" s="3"/>
      <c r="S1814" s="3"/>
    </row>
    <row r="1815" spans="3:19" ht="15.75" customHeight="1" x14ac:dyDescent="0.2">
      <c r="C1815" s="214" t="s">
        <v>223</v>
      </c>
      <c r="D1815" s="19">
        <v>0.46875</v>
      </c>
      <c r="E1815" s="20" t="s">
        <v>189</v>
      </c>
      <c r="F1815" s="3">
        <v>8.8800000000000008</v>
      </c>
      <c r="G1815" s="3">
        <v>82.8</v>
      </c>
      <c r="H1815" s="3">
        <v>13.7</v>
      </c>
      <c r="I1815" s="3">
        <v>13.7</v>
      </c>
      <c r="J1815" s="3"/>
      <c r="L1815" s="3"/>
      <c r="M1815" s="3"/>
      <c r="N1815" s="3"/>
      <c r="O1815" s="3"/>
      <c r="P1815" s="3"/>
      <c r="Q1815" s="3"/>
      <c r="R1815" s="3"/>
      <c r="S1815" s="3"/>
    </row>
    <row r="1816" spans="3:19" ht="15.75" customHeight="1" x14ac:dyDescent="0.2">
      <c r="C1816" s="214" t="s">
        <v>223</v>
      </c>
      <c r="D1816" s="19">
        <v>0.46875</v>
      </c>
      <c r="E1816" s="20" t="s">
        <v>190</v>
      </c>
      <c r="F1816" s="3">
        <v>8.6999999999999993</v>
      </c>
      <c r="G1816" s="3">
        <v>83.5</v>
      </c>
      <c r="H1816" s="3">
        <v>13.7</v>
      </c>
      <c r="I1816" s="3">
        <v>13.7</v>
      </c>
      <c r="J1816" s="3"/>
      <c r="L1816" s="3"/>
      <c r="M1816" s="3"/>
      <c r="N1816" s="3"/>
      <c r="O1816" s="3"/>
      <c r="P1816" s="3"/>
      <c r="Q1816" s="3"/>
      <c r="R1816" s="3"/>
      <c r="S1816" s="3"/>
    </row>
    <row r="1817" spans="3:19" ht="15.75" customHeight="1" x14ac:dyDescent="0.2">
      <c r="C1817" s="214" t="s">
        <v>223</v>
      </c>
      <c r="D1817" s="19">
        <v>0.46875</v>
      </c>
      <c r="E1817" s="20" t="s">
        <v>192</v>
      </c>
      <c r="F1817" s="3">
        <v>8.6999999999999993</v>
      </c>
      <c r="G1817" s="3">
        <v>84.3</v>
      </c>
      <c r="H1817" s="3">
        <v>13.7</v>
      </c>
      <c r="I1817" s="3">
        <v>13.7</v>
      </c>
      <c r="J1817" s="3"/>
      <c r="L1817" s="3"/>
      <c r="M1817" s="3"/>
      <c r="N1817" s="3"/>
      <c r="O1817" s="3"/>
      <c r="P1817" s="3"/>
      <c r="Q1817" s="3"/>
      <c r="R1817" s="3"/>
      <c r="S1817" s="3"/>
    </row>
    <row r="1818" spans="3:19" ht="15.75" customHeight="1" x14ac:dyDescent="0.2">
      <c r="C1818" s="214" t="s">
        <v>223</v>
      </c>
      <c r="D1818" s="19">
        <v>0.46875</v>
      </c>
      <c r="E1818" s="20" t="s">
        <v>194</v>
      </c>
      <c r="F1818" s="3">
        <v>8.59</v>
      </c>
      <c r="G1818" s="3">
        <v>83</v>
      </c>
      <c r="H1818" s="3">
        <v>13.6</v>
      </c>
      <c r="I1818" s="3">
        <v>13.6</v>
      </c>
      <c r="J1818" s="3"/>
      <c r="L1818" s="3"/>
      <c r="M1818" s="3"/>
      <c r="N1818" s="3"/>
      <c r="O1818" s="3"/>
      <c r="P1818" s="3"/>
      <c r="Q1818" s="3"/>
      <c r="R1818" s="3"/>
      <c r="S1818" s="3"/>
    </row>
    <row r="1819" spans="3:19" ht="15.75" customHeight="1" x14ac:dyDescent="0.2">
      <c r="C1819" s="214" t="s">
        <v>223</v>
      </c>
      <c r="D1819" s="19">
        <v>0.46875</v>
      </c>
      <c r="E1819" s="20" t="s">
        <v>196</v>
      </c>
      <c r="F1819" s="3">
        <v>8.4</v>
      </c>
      <c r="G1819" s="3">
        <v>80</v>
      </c>
      <c r="H1819" s="3">
        <v>13.6</v>
      </c>
      <c r="I1819" s="3">
        <v>13.6</v>
      </c>
      <c r="J1819" s="3"/>
      <c r="L1819" s="3"/>
      <c r="M1819" s="3"/>
      <c r="N1819" s="3"/>
      <c r="O1819" s="3"/>
      <c r="P1819" s="3"/>
      <c r="Q1819" s="3"/>
      <c r="R1819" s="3"/>
      <c r="S1819" s="3"/>
    </row>
    <row r="1820" spans="3:19" ht="15.75" customHeight="1" x14ac:dyDescent="0.2">
      <c r="C1820" s="214" t="s">
        <v>223</v>
      </c>
      <c r="D1820" s="19">
        <v>0.46875</v>
      </c>
      <c r="E1820" s="20" t="s">
        <v>186</v>
      </c>
      <c r="F1820" s="3">
        <v>8.9</v>
      </c>
      <c r="G1820" s="3">
        <v>85</v>
      </c>
      <c r="H1820" s="3">
        <v>13.5</v>
      </c>
      <c r="I1820" s="3">
        <v>13.5</v>
      </c>
      <c r="J1820" s="3"/>
      <c r="L1820" s="3"/>
      <c r="M1820" s="3"/>
      <c r="N1820" s="3"/>
      <c r="O1820" s="3"/>
      <c r="P1820" s="3"/>
      <c r="Q1820" s="3"/>
      <c r="R1820" s="3"/>
      <c r="S1820" s="3"/>
    </row>
    <row r="1821" spans="3:19" ht="15.75" customHeight="1" x14ac:dyDescent="0.2">
      <c r="C1821" s="214" t="s">
        <v>223</v>
      </c>
      <c r="D1821" s="19">
        <v>0.46875</v>
      </c>
      <c r="E1821" s="20" t="s">
        <v>182</v>
      </c>
      <c r="F1821" s="3">
        <v>8.9</v>
      </c>
      <c r="G1821" s="3">
        <v>83</v>
      </c>
      <c r="H1821" s="3">
        <v>12.7</v>
      </c>
      <c r="I1821" s="3">
        <v>12.7</v>
      </c>
      <c r="J1821" s="3"/>
      <c r="L1821" s="3"/>
      <c r="M1821" s="3"/>
      <c r="N1821" s="3"/>
      <c r="O1821" s="3"/>
      <c r="P1821" s="3"/>
      <c r="Q1821" s="3"/>
      <c r="R1821" s="3"/>
      <c r="S1821" s="3"/>
    </row>
    <row r="1822" spans="3:19" ht="15.75" customHeight="1" x14ac:dyDescent="0.2">
      <c r="C1822" s="214" t="s">
        <v>223</v>
      </c>
      <c r="D1822" s="19">
        <v>0.46875</v>
      </c>
      <c r="E1822" s="20" t="s">
        <v>117</v>
      </c>
      <c r="F1822" s="3">
        <v>9.0299999999999994</v>
      </c>
      <c r="G1822" s="3">
        <v>83.3</v>
      </c>
      <c r="H1822" s="20" t="s">
        <v>224</v>
      </c>
      <c r="I1822" s="17">
        <f>AVERAGE(I1810:I1821)</f>
        <v>13.583333333333334</v>
      </c>
      <c r="J1822" s="17"/>
      <c r="L1822" s="3"/>
      <c r="M1822" s="3"/>
      <c r="N1822" s="3"/>
      <c r="O1822" s="3"/>
      <c r="P1822" s="3"/>
      <c r="Q1822" s="3"/>
      <c r="R1822" s="3"/>
      <c r="S1822" s="3"/>
    </row>
    <row r="1823" spans="3:19" ht="15.75" customHeight="1" x14ac:dyDescent="0.2">
      <c r="C1823" s="214" t="s">
        <v>223</v>
      </c>
      <c r="D1823" s="19">
        <v>0.46875</v>
      </c>
      <c r="E1823" s="20" t="s">
        <v>200</v>
      </c>
      <c r="F1823" s="3">
        <v>9.1</v>
      </c>
      <c r="G1823" s="3">
        <v>82.3</v>
      </c>
      <c r="H1823" s="20" t="s">
        <v>225</v>
      </c>
      <c r="I1823" s="3"/>
      <c r="J1823" s="3"/>
      <c r="L1823" s="3"/>
      <c r="M1823" s="3"/>
      <c r="N1823" s="3"/>
      <c r="O1823" s="3"/>
      <c r="P1823" s="3"/>
      <c r="Q1823" s="3"/>
      <c r="R1823" s="3"/>
      <c r="S1823" s="3"/>
    </row>
    <row r="1824" spans="3:19" ht="15.75" customHeight="1" x14ac:dyDescent="0.2">
      <c r="C1824" s="214" t="s">
        <v>223</v>
      </c>
      <c r="D1824" s="19">
        <v>0.46875</v>
      </c>
      <c r="E1824" s="20" t="s">
        <v>202</v>
      </c>
      <c r="F1824" s="3">
        <v>9.48</v>
      </c>
      <c r="G1824" s="3">
        <v>82.5</v>
      </c>
      <c r="H1824" s="20" t="s">
        <v>186</v>
      </c>
      <c r="I1824" s="51"/>
      <c r="J1824" s="51"/>
      <c r="L1824" s="3"/>
      <c r="M1824" s="3"/>
      <c r="N1824" s="3"/>
      <c r="O1824" s="3"/>
      <c r="P1824" s="3"/>
      <c r="Q1824" s="3"/>
      <c r="R1824" s="3"/>
      <c r="S1824" s="3"/>
    </row>
    <row r="1825" spans="3:19" ht="15.75" customHeight="1" x14ac:dyDescent="0.2">
      <c r="C1825" s="214" t="s">
        <v>223</v>
      </c>
      <c r="D1825" s="19">
        <v>0.46875</v>
      </c>
      <c r="E1825" s="20" t="s">
        <v>204</v>
      </c>
      <c r="F1825" s="3">
        <v>9.35</v>
      </c>
      <c r="G1825" s="3">
        <v>80.099999999999994</v>
      </c>
      <c r="H1825" s="20" t="s">
        <v>226</v>
      </c>
      <c r="I1825" s="3"/>
      <c r="L1825" s="3"/>
      <c r="M1825" s="3"/>
      <c r="N1825" s="3"/>
      <c r="O1825" s="3"/>
      <c r="P1825" s="3"/>
      <c r="Q1825" s="3"/>
      <c r="R1825" s="3"/>
      <c r="S1825" s="3"/>
    </row>
    <row r="1826" spans="3:19" ht="15.75" customHeight="1" x14ac:dyDescent="0.2">
      <c r="C1826" s="214" t="s">
        <v>223</v>
      </c>
      <c r="D1826" s="19">
        <v>0.46875</v>
      </c>
      <c r="E1826" s="20" t="s">
        <v>181</v>
      </c>
      <c r="F1826" s="3">
        <v>9.3699999999999992</v>
      </c>
      <c r="G1826" s="3">
        <v>80.099999999999994</v>
      </c>
      <c r="H1826" s="20" t="s">
        <v>201</v>
      </c>
      <c r="I1826" s="3"/>
      <c r="L1826" s="3"/>
      <c r="M1826" s="3"/>
      <c r="N1826" s="3"/>
      <c r="O1826" s="3"/>
      <c r="P1826" s="3"/>
      <c r="Q1826" s="3"/>
      <c r="R1826" s="3"/>
      <c r="S1826" s="3"/>
    </row>
    <row r="1827" spans="3:19" ht="15.75" customHeight="1" x14ac:dyDescent="0.2">
      <c r="C1827" s="214" t="s">
        <v>223</v>
      </c>
      <c r="D1827" s="19">
        <v>0.46875</v>
      </c>
      <c r="E1827" s="20" t="s">
        <v>207</v>
      </c>
      <c r="F1827" s="3">
        <v>9.5500000000000007</v>
      </c>
      <c r="G1827" s="3">
        <v>80.5</v>
      </c>
      <c r="H1827" s="20" t="s">
        <v>227</v>
      </c>
      <c r="I1827" s="3"/>
      <c r="L1827" s="3"/>
      <c r="M1827" s="3"/>
      <c r="N1827" s="3"/>
      <c r="O1827" s="3"/>
      <c r="P1827" s="3"/>
      <c r="Q1827" s="3"/>
      <c r="R1827" s="3"/>
      <c r="S1827" s="3"/>
    </row>
    <row r="1828" spans="3:19" ht="15.75" customHeight="1" x14ac:dyDescent="0.2">
      <c r="C1828" s="214" t="s">
        <v>223</v>
      </c>
      <c r="D1828" s="19">
        <v>0.46875</v>
      </c>
      <c r="E1828" s="20" t="s">
        <v>209</v>
      </c>
      <c r="F1828" s="3">
        <v>9.4499999999999993</v>
      </c>
      <c r="G1828" s="3">
        <v>78.8</v>
      </c>
      <c r="H1828" s="20" t="s">
        <v>228</v>
      </c>
      <c r="I1828" s="3"/>
      <c r="L1828" s="3"/>
      <c r="M1828" s="3"/>
      <c r="N1828" s="3"/>
      <c r="O1828" s="3"/>
      <c r="P1828" s="3"/>
      <c r="Q1828" s="3"/>
      <c r="R1828" s="3"/>
      <c r="S1828" s="3"/>
    </row>
    <row r="1829" spans="3:19" ht="15.75" customHeight="1" x14ac:dyDescent="0.2">
      <c r="C1829" s="214" t="s">
        <v>223</v>
      </c>
      <c r="D1829" s="19">
        <v>0.46875</v>
      </c>
      <c r="E1829" s="20" t="s">
        <v>210</v>
      </c>
      <c r="F1829" s="3">
        <v>9.5500000000000007</v>
      </c>
      <c r="G1829" s="3">
        <v>78.099999999999994</v>
      </c>
      <c r="H1829" s="20" t="s">
        <v>229</v>
      </c>
      <c r="I1829" s="3"/>
      <c r="L1829" s="3"/>
      <c r="M1829" s="3"/>
      <c r="N1829" s="3"/>
      <c r="O1829" s="3"/>
      <c r="P1829" s="3"/>
      <c r="Q1829" s="3"/>
      <c r="R1829" s="3"/>
      <c r="S1829" s="3"/>
    </row>
    <row r="1830" spans="3:19" ht="15.75" customHeight="1" x14ac:dyDescent="0.2">
      <c r="C1830" s="214" t="s">
        <v>223</v>
      </c>
      <c r="D1830" s="19">
        <v>0.46875</v>
      </c>
      <c r="E1830" s="20" t="s">
        <v>212</v>
      </c>
      <c r="F1830" s="3">
        <v>9.5</v>
      </c>
      <c r="G1830" s="3">
        <v>77.599999999999994</v>
      </c>
      <c r="H1830" s="20" t="s">
        <v>230</v>
      </c>
      <c r="I1830" s="3"/>
      <c r="L1830" s="3"/>
      <c r="M1830" s="3"/>
      <c r="N1830" s="3"/>
      <c r="O1830" s="3"/>
      <c r="P1830" s="3"/>
      <c r="Q1830" s="3"/>
      <c r="R1830" s="3"/>
      <c r="S1830" s="3"/>
    </row>
    <row r="1831" spans="3:19" ht="15.75" customHeight="1" x14ac:dyDescent="0.2">
      <c r="C1831" s="214" t="s">
        <v>223</v>
      </c>
      <c r="D1831" s="19">
        <v>0.46875</v>
      </c>
      <c r="E1831" s="20" t="s">
        <v>214</v>
      </c>
      <c r="F1831" s="3">
        <v>9.52</v>
      </c>
      <c r="G1831" s="3">
        <v>77.3</v>
      </c>
      <c r="H1831" s="20" t="s">
        <v>213</v>
      </c>
      <c r="I1831" s="3"/>
      <c r="L1831" s="3"/>
      <c r="M1831" s="3"/>
      <c r="N1831" s="3"/>
      <c r="O1831" s="3"/>
      <c r="P1831" s="3"/>
      <c r="Q1831" s="3"/>
      <c r="R1831" s="3"/>
      <c r="S1831" s="3"/>
    </row>
    <row r="1832" spans="3:19" ht="15.75" customHeight="1" x14ac:dyDescent="0.2">
      <c r="C1832" s="214" t="s">
        <v>223</v>
      </c>
      <c r="D1832" s="19">
        <v>0.46875</v>
      </c>
      <c r="E1832" s="20" t="s">
        <v>216</v>
      </c>
      <c r="F1832" s="3">
        <v>9.6</v>
      </c>
      <c r="G1832" s="3">
        <v>78.400000000000006</v>
      </c>
      <c r="H1832" s="20" t="s">
        <v>215</v>
      </c>
      <c r="I1832" s="7"/>
      <c r="J1832" s="7"/>
      <c r="L1832" s="3"/>
      <c r="M1832" s="3"/>
      <c r="N1832" s="3"/>
      <c r="O1832" s="3"/>
      <c r="P1832" s="3"/>
      <c r="Q1832" s="3"/>
      <c r="R1832" s="3"/>
      <c r="S1832" s="3"/>
    </row>
    <row r="1833" spans="3:19" ht="15.75" customHeight="1" x14ac:dyDescent="0.2">
      <c r="C1833" s="214" t="s">
        <v>223</v>
      </c>
      <c r="D1833" s="19">
        <v>0.46875</v>
      </c>
      <c r="E1833" s="20" t="s">
        <v>218</v>
      </c>
      <c r="F1833" s="3">
        <v>9.6</v>
      </c>
      <c r="G1833" s="3">
        <v>78</v>
      </c>
      <c r="H1833" s="20" t="s">
        <v>231</v>
      </c>
      <c r="I1833" s="7"/>
      <c r="J1833" s="7"/>
      <c r="L1833" s="3"/>
      <c r="M1833" s="3"/>
      <c r="N1833" s="3"/>
      <c r="O1833" s="3"/>
      <c r="P1833" s="3"/>
      <c r="Q1833" s="3"/>
      <c r="R1833" s="3"/>
      <c r="S1833" s="3"/>
    </row>
    <row r="1834" spans="3:19" ht="15.75" customHeight="1" x14ac:dyDescent="0.2">
      <c r="C1834" s="214" t="s">
        <v>223</v>
      </c>
      <c r="D1834" s="19">
        <v>0.46875</v>
      </c>
      <c r="E1834" s="20" t="s">
        <v>220</v>
      </c>
      <c r="F1834" s="3">
        <v>9.6</v>
      </c>
      <c r="G1834" s="3">
        <v>78.2</v>
      </c>
      <c r="H1834" s="20" t="s">
        <v>217</v>
      </c>
      <c r="I1834" s="7"/>
      <c r="J1834" s="7"/>
      <c r="L1834" s="3"/>
      <c r="M1834" s="3"/>
      <c r="N1834" s="3"/>
      <c r="O1834" s="3"/>
      <c r="P1834" s="3"/>
      <c r="Q1834" s="3"/>
      <c r="R1834" s="3"/>
      <c r="S1834" s="3"/>
    </row>
    <row r="1835" spans="3:19" ht="15.75" customHeight="1" x14ac:dyDescent="0.2">
      <c r="C1835" s="214" t="s">
        <v>223</v>
      </c>
      <c r="D1835" s="19">
        <v>0.46875</v>
      </c>
      <c r="E1835" s="20" t="s">
        <v>221</v>
      </c>
      <c r="F1835" s="3">
        <v>9.66</v>
      </c>
      <c r="G1835" s="3">
        <v>76.900000000000006</v>
      </c>
      <c r="H1835" s="20" t="s">
        <v>219</v>
      </c>
      <c r="I1835" s="7"/>
      <c r="J1835" s="7"/>
      <c r="L1835" s="3"/>
      <c r="M1835" s="3"/>
      <c r="N1835" s="3"/>
      <c r="O1835" s="3"/>
      <c r="P1835" s="3"/>
      <c r="Q1835" s="3"/>
      <c r="R1835" s="3"/>
      <c r="S1835" s="3"/>
    </row>
    <row r="1836" spans="3:19" ht="15.75" customHeight="1" x14ac:dyDescent="0.2">
      <c r="C1836" s="208"/>
      <c r="D1836" s="3"/>
      <c r="E1836" s="3"/>
      <c r="G1836" s="3"/>
      <c r="H1836" s="3"/>
      <c r="I1836" s="7"/>
      <c r="J1836" s="7"/>
      <c r="L1836" s="3"/>
      <c r="M1836" s="3"/>
      <c r="N1836" s="3"/>
      <c r="O1836" s="3"/>
      <c r="P1836" s="3"/>
      <c r="Q1836" s="3"/>
      <c r="R1836" s="3"/>
      <c r="S1836" s="3"/>
    </row>
    <row r="1837" spans="3:19" ht="15.75" customHeight="1" x14ac:dyDescent="0.2">
      <c r="C1837" s="214" t="s">
        <v>232</v>
      </c>
      <c r="D1837" s="19">
        <v>0.4548611111111111</v>
      </c>
      <c r="E1837" s="3"/>
      <c r="G1837" s="3"/>
      <c r="H1837" s="3"/>
      <c r="I1837" s="7"/>
      <c r="J1837" s="7">
        <v>10</v>
      </c>
      <c r="K1837">
        <v>12</v>
      </c>
      <c r="L1837" s="3"/>
      <c r="M1837" s="3"/>
      <c r="N1837" s="3"/>
      <c r="O1837" s="3"/>
      <c r="P1837" s="3"/>
      <c r="Q1837" s="3"/>
      <c r="R1837" s="3"/>
      <c r="S1837" s="3"/>
    </row>
    <row r="1838" spans="3:19" ht="15.75" customHeight="1" x14ac:dyDescent="0.2">
      <c r="C1838" s="214" t="s">
        <v>232</v>
      </c>
      <c r="D1838" s="19">
        <v>0.46527777777777773</v>
      </c>
      <c r="E1838" s="20" t="s">
        <v>105</v>
      </c>
      <c r="F1838" s="3">
        <v>7.26</v>
      </c>
      <c r="G1838" s="3">
        <v>84.5</v>
      </c>
      <c r="H1838" s="7">
        <v>22.9</v>
      </c>
      <c r="I1838" s="7">
        <v>22.9</v>
      </c>
      <c r="J1838" s="7"/>
      <c r="L1838" s="3"/>
      <c r="M1838" s="3"/>
      <c r="N1838" s="3"/>
      <c r="O1838" s="3"/>
      <c r="P1838" s="3"/>
      <c r="Q1838" s="3"/>
      <c r="R1838" s="3"/>
      <c r="S1838" s="3"/>
    </row>
    <row r="1839" spans="3:19" ht="15.75" customHeight="1" x14ac:dyDescent="0.2">
      <c r="C1839" s="214" t="s">
        <v>232</v>
      </c>
      <c r="D1839" s="19">
        <v>0.46527777777777773</v>
      </c>
      <c r="E1839" s="20" t="s">
        <v>107</v>
      </c>
      <c r="F1839" s="3">
        <v>7.42</v>
      </c>
      <c r="G1839" s="3">
        <v>84</v>
      </c>
      <c r="H1839" s="7">
        <v>22.5</v>
      </c>
      <c r="I1839" s="7">
        <v>22.5</v>
      </c>
      <c r="J1839" s="7"/>
      <c r="L1839" s="3"/>
      <c r="M1839" s="3"/>
      <c r="N1839" s="3"/>
      <c r="O1839" s="3"/>
      <c r="P1839" s="3"/>
      <c r="Q1839" s="3"/>
      <c r="R1839" s="3"/>
      <c r="S1839" s="3"/>
    </row>
    <row r="1840" spans="3:19" ht="15.75" customHeight="1" x14ac:dyDescent="0.2">
      <c r="C1840" s="214" t="s">
        <v>232</v>
      </c>
      <c r="D1840" s="19">
        <v>0.46527777777777773</v>
      </c>
      <c r="E1840" s="20" t="s">
        <v>132</v>
      </c>
      <c r="F1840" s="3">
        <v>7.45</v>
      </c>
      <c r="G1840" s="3">
        <v>84.2</v>
      </c>
      <c r="H1840" s="7">
        <v>22.3</v>
      </c>
      <c r="I1840" s="7">
        <v>22.3</v>
      </c>
      <c r="J1840" s="7"/>
      <c r="L1840" s="3"/>
      <c r="M1840" s="3"/>
      <c r="N1840" s="3"/>
      <c r="O1840" s="3"/>
      <c r="P1840" s="3"/>
      <c r="Q1840" s="3"/>
      <c r="R1840" s="3"/>
      <c r="S1840" s="3"/>
    </row>
    <row r="1841" spans="3:19" ht="15.75" customHeight="1" x14ac:dyDescent="0.2">
      <c r="C1841" s="214" t="s">
        <v>232</v>
      </c>
      <c r="D1841" s="19">
        <v>0.46527777777777773</v>
      </c>
      <c r="E1841" s="20" t="s">
        <v>187</v>
      </c>
      <c r="F1841" s="3">
        <v>7.4</v>
      </c>
      <c r="G1841" s="3">
        <v>85.1</v>
      </c>
      <c r="H1841" s="7">
        <v>22.1</v>
      </c>
      <c r="I1841" s="7">
        <v>22.1</v>
      </c>
      <c r="J1841" s="7"/>
      <c r="L1841" s="3"/>
      <c r="M1841" s="3"/>
      <c r="N1841" s="3"/>
      <c r="O1841" s="3"/>
      <c r="P1841" s="3"/>
      <c r="Q1841" s="3"/>
      <c r="R1841" s="3"/>
      <c r="S1841" s="3"/>
    </row>
    <row r="1842" spans="3:19" ht="15.75" customHeight="1" x14ac:dyDescent="0.2">
      <c r="C1842" s="214" t="s">
        <v>232</v>
      </c>
      <c r="D1842" s="19">
        <v>0.46527777777777773</v>
      </c>
      <c r="E1842" s="20" t="s">
        <v>188</v>
      </c>
      <c r="F1842" s="3">
        <v>7.5</v>
      </c>
      <c r="G1842" s="3">
        <v>84</v>
      </c>
      <c r="H1842" s="7">
        <v>22</v>
      </c>
      <c r="I1842" s="7">
        <v>22</v>
      </c>
      <c r="J1842" s="7"/>
      <c r="L1842" s="3"/>
      <c r="M1842" s="3"/>
      <c r="N1842" s="3"/>
      <c r="O1842" s="3"/>
      <c r="P1842" s="3"/>
      <c r="Q1842" s="3"/>
      <c r="R1842" s="3"/>
      <c r="S1842" s="3"/>
    </row>
    <row r="1843" spans="3:19" ht="15.75" customHeight="1" x14ac:dyDescent="0.2">
      <c r="C1843" s="214" t="s">
        <v>232</v>
      </c>
      <c r="D1843" s="19">
        <v>0.46527777777777773</v>
      </c>
      <c r="E1843" s="20" t="s">
        <v>189</v>
      </c>
      <c r="F1843" s="3">
        <v>7.43</v>
      </c>
      <c r="G1843" s="3">
        <v>83.7</v>
      </c>
      <c r="H1843" s="7">
        <v>22</v>
      </c>
      <c r="I1843" s="7">
        <v>22</v>
      </c>
      <c r="J1843" s="7"/>
      <c r="L1843" s="3"/>
      <c r="M1843" s="3"/>
      <c r="N1843" s="3"/>
      <c r="O1843" s="3"/>
      <c r="P1843" s="3"/>
      <c r="Q1843" s="3"/>
      <c r="R1843" s="3"/>
      <c r="S1843" s="3"/>
    </row>
    <row r="1844" spans="3:19" ht="15.75" customHeight="1" x14ac:dyDescent="0.2">
      <c r="C1844" s="214" t="s">
        <v>232</v>
      </c>
      <c r="D1844" s="19">
        <v>0.46527777777777773</v>
      </c>
      <c r="E1844" s="20" t="s">
        <v>190</v>
      </c>
      <c r="F1844" s="3">
        <v>7.42</v>
      </c>
      <c r="G1844" s="3">
        <v>82.9</v>
      </c>
      <c r="H1844" s="7">
        <v>21.9</v>
      </c>
      <c r="I1844" s="7">
        <v>21.9</v>
      </c>
      <c r="J1844" s="7"/>
      <c r="L1844" s="3"/>
      <c r="M1844" s="3"/>
      <c r="N1844" s="3"/>
      <c r="O1844" s="3"/>
      <c r="P1844" s="3"/>
      <c r="Q1844" s="3"/>
      <c r="R1844" s="3"/>
      <c r="S1844" s="3"/>
    </row>
    <row r="1845" spans="3:19" ht="15.75" customHeight="1" x14ac:dyDescent="0.2">
      <c r="C1845" s="214" t="s">
        <v>232</v>
      </c>
      <c r="D1845" s="19">
        <v>0.46527777777777773</v>
      </c>
      <c r="E1845" s="20" t="s">
        <v>192</v>
      </c>
      <c r="F1845" s="3">
        <v>7.46</v>
      </c>
      <c r="G1845" s="3">
        <v>83.4</v>
      </c>
      <c r="H1845" s="7">
        <v>21.8</v>
      </c>
      <c r="I1845" s="7">
        <v>21.9</v>
      </c>
      <c r="J1845" s="7"/>
      <c r="L1845" s="3"/>
      <c r="M1845" s="3"/>
      <c r="N1845" s="3"/>
      <c r="O1845" s="3"/>
      <c r="P1845" s="3"/>
      <c r="Q1845" s="3"/>
      <c r="R1845" s="3"/>
      <c r="S1845" s="3"/>
    </row>
    <row r="1846" spans="3:19" ht="15.75" customHeight="1" x14ac:dyDescent="0.2">
      <c r="C1846" s="214" t="s">
        <v>232</v>
      </c>
      <c r="D1846" s="19">
        <v>0.46527777777777773</v>
      </c>
      <c r="E1846" s="20" t="s">
        <v>194</v>
      </c>
      <c r="F1846" s="3">
        <v>8.07</v>
      </c>
      <c r="G1846" s="3">
        <v>87.6</v>
      </c>
      <c r="H1846" s="20" t="s">
        <v>233</v>
      </c>
      <c r="I1846" s="17">
        <f>AVERAGE(I1838:I1845)</f>
        <v>22.200000000000003</v>
      </c>
      <c r="J1846" s="17"/>
      <c r="L1846" s="3"/>
      <c r="M1846" s="3"/>
      <c r="N1846" s="3"/>
      <c r="O1846" s="3"/>
      <c r="P1846" s="3"/>
      <c r="Q1846" s="3"/>
      <c r="R1846" s="3"/>
      <c r="S1846" s="3"/>
    </row>
    <row r="1847" spans="3:19" ht="15.75" customHeight="1" x14ac:dyDescent="0.2">
      <c r="C1847" s="214" t="s">
        <v>232</v>
      </c>
      <c r="D1847" s="19">
        <v>0.46527777777777773</v>
      </c>
      <c r="E1847" s="20" t="s">
        <v>196</v>
      </c>
      <c r="F1847" s="3">
        <v>8.66</v>
      </c>
      <c r="G1847" s="3">
        <v>90.7</v>
      </c>
      <c r="H1847" s="20" t="s">
        <v>234</v>
      </c>
      <c r="I1847" s="3"/>
      <c r="L1847" s="3"/>
      <c r="M1847" s="3"/>
      <c r="N1847" s="3"/>
      <c r="O1847" s="3"/>
      <c r="P1847" s="3"/>
      <c r="Q1847" s="3"/>
      <c r="R1847" s="3"/>
      <c r="S1847" s="3"/>
    </row>
    <row r="1848" spans="3:19" ht="15.75" customHeight="1" x14ac:dyDescent="0.2">
      <c r="C1848" s="214" t="s">
        <v>232</v>
      </c>
      <c r="D1848" s="19">
        <v>0.46527777777777773</v>
      </c>
      <c r="E1848" s="20" t="s">
        <v>186</v>
      </c>
      <c r="F1848" s="3">
        <v>9.4</v>
      </c>
      <c r="G1848" s="3">
        <v>93</v>
      </c>
      <c r="H1848" s="20" t="s">
        <v>235</v>
      </c>
      <c r="I1848" s="3"/>
      <c r="L1848" s="3"/>
      <c r="M1848" s="3"/>
      <c r="N1848" s="3"/>
      <c r="O1848" s="3"/>
      <c r="P1848" s="3"/>
      <c r="Q1848" s="3"/>
      <c r="R1848" s="3"/>
      <c r="S1848" s="3"/>
    </row>
    <row r="1849" spans="3:19" ht="15.75" customHeight="1" x14ac:dyDescent="0.2">
      <c r="C1849" s="214" t="s">
        <v>232</v>
      </c>
      <c r="D1849" s="19">
        <v>0.46527777777777773</v>
      </c>
      <c r="E1849" s="20" t="s">
        <v>182</v>
      </c>
      <c r="F1849" s="3">
        <v>9.65</v>
      </c>
      <c r="G1849" s="3">
        <v>92.5</v>
      </c>
      <c r="H1849" s="20" t="s">
        <v>202</v>
      </c>
      <c r="I1849" s="3"/>
      <c r="L1849" s="3"/>
      <c r="M1849" s="3"/>
      <c r="N1849" s="3"/>
      <c r="O1849" s="3"/>
      <c r="P1849" s="3"/>
      <c r="Q1849" s="3"/>
      <c r="R1849" s="3"/>
      <c r="S1849" s="3"/>
    </row>
    <row r="1850" spans="3:19" ht="15.75" customHeight="1" x14ac:dyDescent="0.2">
      <c r="C1850" s="214" t="s">
        <v>232</v>
      </c>
      <c r="D1850" s="19">
        <v>0.46527777777777773</v>
      </c>
      <c r="E1850" s="20" t="s">
        <v>117</v>
      </c>
      <c r="F1850" s="3">
        <v>9.77</v>
      </c>
      <c r="G1850" s="3">
        <v>91.7</v>
      </c>
      <c r="H1850" s="20" t="s">
        <v>236</v>
      </c>
      <c r="I1850" s="3"/>
      <c r="L1850" s="3"/>
      <c r="M1850" s="3"/>
      <c r="N1850" s="3"/>
      <c r="O1850" s="3"/>
      <c r="P1850" s="3"/>
      <c r="Q1850" s="3"/>
      <c r="R1850" s="3"/>
      <c r="S1850" s="3"/>
    </row>
    <row r="1851" spans="3:19" ht="15.75" customHeight="1" x14ac:dyDescent="0.2">
      <c r="C1851" s="214" t="s">
        <v>232</v>
      </c>
      <c r="D1851" s="19">
        <v>0.46527777777777773</v>
      </c>
      <c r="E1851" s="20" t="s">
        <v>200</v>
      </c>
      <c r="F1851" s="3">
        <v>9.8000000000000007</v>
      </c>
      <c r="G1851" s="3">
        <v>91.8</v>
      </c>
      <c r="H1851" s="20" t="s">
        <v>173</v>
      </c>
      <c r="I1851" s="3"/>
      <c r="L1851" s="3"/>
      <c r="M1851" s="3"/>
      <c r="N1851" s="3"/>
      <c r="O1851" s="3"/>
      <c r="P1851" s="3"/>
      <c r="Q1851" s="3"/>
      <c r="R1851" s="3"/>
      <c r="S1851" s="3"/>
    </row>
    <row r="1852" spans="3:19" ht="15.75" customHeight="1" x14ac:dyDescent="0.2">
      <c r="C1852" s="214" t="s">
        <v>232</v>
      </c>
      <c r="D1852" s="19">
        <v>0.46527777777777773</v>
      </c>
      <c r="E1852" s="20" t="s">
        <v>202</v>
      </c>
      <c r="F1852" s="3">
        <v>9.9</v>
      </c>
      <c r="G1852" s="3">
        <v>89</v>
      </c>
      <c r="H1852" s="20" t="s">
        <v>182</v>
      </c>
      <c r="I1852" s="3"/>
      <c r="L1852" s="3"/>
      <c r="M1852" s="3"/>
      <c r="N1852" s="3"/>
      <c r="O1852" s="3"/>
      <c r="P1852" s="3"/>
      <c r="Q1852" s="3"/>
      <c r="R1852" s="3"/>
      <c r="S1852" s="3"/>
    </row>
    <row r="1853" spans="3:19" ht="15.75" customHeight="1" x14ac:dyDescent="0.2">
      <c r="C1853" s="214" t="s">
        <v>232</v>
      </c>
      <c r="D1853" s="19">
        <v>0.46527777777777773</v>
      </c>
      <c r="E1853" s="20" t="s">
        <v>204</v>
      </c>
      <c r="F1853" s="3">
        <v>10.050000000000001</v>
      </c>
      <c r="G1853" s="3">
        <v>88.5</v>
      </c>
      <c r="H1853" s="20" t="s">
        <v>237</v>
      </c>
      <c r="I1853" s="3"/>
      <c r="L1853" s="3"/>
      <c r="M1853" s="3"/>
      <c r="N1853" s="3"/>
      <c r="O1853" s="3"/>
      <c r="P1853" s="3"/>
      <c r="Q1853" s="3"/>
      <c r="R1853" s="3"/>
      <c r="S1853" s="3"/>
    </row>
    <row r="1854" spans="3:19" ht="15.75" customHeight="1" x14ac:dyDescent="0.2">
      <c r="C1854" s="214" t="s">
        <v>232</v>
      </c>
      <c r="D1854" s="19">
        <v>0.46527777777777773</v>
      </c>
      <c r="E1854" s="20" t="s">
        <v>181</v>
      </c>
      <c r="F1854" s="3">
        <v>10.1</v>
      </c>
      <c r="G1854" s="3">
        <v>86</v>
      </c>
      <c r="H1854" s="20" t="s">
        <v>197</v>
      </c>
      <c r="I1854" s="3"/>
      <c r="L1854" s="3"/>
      <c r="M1854" s="3"/>
      <c r="N1854" s="3"/>
      <c r="O1854" s="3"/>
      <c r="P1854" s="3"/>
      <c r="Q1854" s="3"/>
      <c r="R1854" s="3"/>
      <c r="S1854" s="3"/>
    </row>
    <row r="1855" spans="3:19" ht="15.75" customHeight="1" x14ac:dyDescent="0.2">
      <c r="C1855" s="214" t="s">
        <v>232</v>
      </c>
      <c r="D1855" s="19">
        <v>0.46527777777777773</v>
      </c>
      <c r="E1855" s="20" t="s">
        <v>207</v>
      </c>
      <c r="F1855" s="3">
        <v>10.06</v>
      </c>
      <c r="G1855" s="3">
        <v>85.2</v>
      </c>
      <c r="H1855" s="20" t="s">
        <v>238</v>
      </c>
      <c r="I1855" s="3"/>
      <c r="L1855" s="3"/>
      <c r="M1855" s="3"/>
      <c r="N1855" s="3"/>
      <c r="O1855" s="3"/>
      <c r="P1855" s="3"/>
      <c r="Q1855" s="3"/>
      <c r="R1855" s="3"/>
      <c r="S1855" s="3"/>
    </row>
    <row r="1856" spans="3:19" ht="15.75" customHeight="1" x14ac:dyDescent="0.2">
      <c r="C1856" s="214" t="s">
        <v>232</v>
      </c>
      <c r="D1856" s="19">
        <v>0.46527777777777773</v>
      </c>
      <c r="E1856" s="20" t="s">
        <v>209</v>
      </c>
      <c r="F1856" s="3">
        <v>10.039999999999999</v>
      </c>
      <c r="G1856" s="3">
        <v>81.5</v>
      </c>
      <c r="H1856" s="20" t="s">
        <v>239</v>
      </c>
      <c r="I1856" s="3"/>
      <c r="L1856" s="3"/>
      <c r="M1856" s="3"/>
      <c r="N1856" s="3"/>
      <c r="O1856" s="3"/>
      <c r="P1856" s="3"/>
      <c r="Q1856" s="3"/>
      <c r="R1856" s="3"/>
      <c r="S1856" s="3"/>
    </row>
    <row r="1857" spans="3:19" ht="15.75" customHeight="1" x14ac:dyDescent="0.2">
      <c r="C1857" s="214" t="s">
        <v>232</v>
      </c>
      <c r="D1857" s="19">
        <v>0.46527777777777773</v>
      </c>
      <c r="E1857" s="20" t="s">
        <v>210</v>
      </c>
      <c r="F1857" s="3">
        <v>9.75</v>
      </c>
      <c r="G1857" s="3">
        <v>80.2</v>
      </c>
      <c r="H1857" s="20" t="s">
        <v>228</v>
      </c>
      <c r="I1857" s="3"/>
      <c r="L1857" s="3"/>
      <c r="M1857" s="3"/>
      <c r="N1857" s="3"/>
      <c r="O1857" s="3"/>
      <c r="P1857" s="3"/>
      <c r="Q1857" s="3"/>
      <c r="R1857" s="3"/>
      <c r="S1857" s="3"/>
    </row>
    <row r="1858" spans="3:19" ht="15.75" customHeight="1" x14ac:dyDescent="0.2">
      <c r="C1858" s="214" t="s">
        <v>232</v>
      </c>
      <c r="D1858" s="19">
        <v>0.46527777777777773</v>
      </c>
      <c r="E1858" s="20" t="s">
        <v>212</v>
      </c>
      <c r="F1858" s="3">
        <v>9.6</v>
      </c>
      <c r="G1858" s="3">
        <v>80</v>
      </c>
      <c r="H1858" s="20" t="s">
        <v>240</v>
      </c>
      <c r="I1858" s="3"/>
      <c r="L1858" s="3"/>
      <c r="M1858" s="3"/>
      <c r="N1858" s="3"/>
      <c r="O1858" s="3"/>
      <c r="P1858" s="3"/>
      <c r="Q1858" s="3"/>
      <c r="R1858" s="3"/>
      <c r="S1858" s="3"/>
    </row>
    <row r="1859" spans="3:19" ht="15.75" customHeight="1" x14ac:dyDescent="0.2">
      <c r="C1859" s="214" t="s">
        <v>232</v>
      </c>
      <c r="D1859" s="19">
        <v>0.46527777777777773</v>
      </c>
      <c r="E1859" s="20" t="s">
        <v>214</v>
      </c>
      <c r="F1859" s="3">
        <v>9.6</v>
      </c>
      <c r="G1859" s="3">
        <v>79</v>
      </c>
      <c r="H1859" s="20" t="s">
        <v>171</v>
      </c>
      <c r="I1859" s="3"/>
      <c r="L1859" s="3"/>
      <c r="M1859" s="3"/>
      <c r="N1859" s="3"/>
      <c r="O1859" s="3"/>
      <c r="P1859" s="3"/>
      <c r="Q1859" s="3"/>
      <c r="R1859" s="3"/>
      <c r="S1859" s="3"/>
    </row>
    <row r="1860" spans="3:19" ht="15.75" customHeight="1" x14ac:dyDescent="0.2">
      <c r="C1860" s="214" t="s">
        <v>232</v>
      </c>
      <c r="D1860" s="19">
        <v>0.46527777777777773</v>
      </c>
      <c r="E1860" s="20" t="s">
        <v>216</v>
      </c>
      <c r="F1860" s="3">
        <v>9.61</v>
      </c>
      <c r="G1860" s="3">
        <v>78.7</v>
      </c>
      <c r="H1860" s="20" t="s">
        <v>241</v>
      </c>
      <c r="I1860" s="3"/>
      <c r="L1860" s="3"/>
      <c r="M1860" s="3"/>
      <c r="N1860" s="3"/>
      <c r="O1860" s="3"/>
      <c r="P1860" s="3"/>
      <c r="Q1860" s="3"/>
      <c r="R1860" s="3"/>
      <c r="S1860" s="3"/>
    </row>
    <row r="1861" spans="3:19" ht="15.75" customHeight="1" x14ac:dyDescent="0.2">
      <c r="C1861" s="214" t="s">
        <v>232</v>
      </c>
      <c r="D1861" s="19">
        <v>0.46527777777777773</v>
      </c>
      <c r="E1861" s="20" t="s">
        <v>218</v>
      </c>
      <c r="F1861" s="3">
        <v>9.5500000000000007</v>
      </c>
      <c r="G1861" s="3">
        <v>78.099999999999994</v>
      </c>
      <c r="H1861" s="20" t="s">
        <v>242</v>
      </c>
      <c r="I1861" s="3"/>
      <c r="L1861" s="3"/>
      <c r="M1861" s="3"/>
      <c r="N1861" s="3"/>
      <c r="O1861" s="3"/>
      <c r="P1861" s="3"/>
      <c r="Q1861" s="3"/>
      <c r="R1861" s="3"/>
      <c r="S1861" s="3"/>
    </row>
    <row r="1862" spans="3:19" ht="15.75" customHeight="1" x14ac:dyDescent="0.2">
      <c r="C1862" s="214" t="s">
        <v>232</v>
      </c>
      <c r="D1862" s="19">
        <v>0.46527777777777773</v>
      </c>
      <c r="E1862" s="20" t="s">
        <v>220</v>
      </c>
      <c r="F1862" s="3">
        <v>9.5</v>
      </c>
      <c r="G1862" s="3">
        <v>77.900000000000006</v>
      </c>
      <c r="H1862" s="20" t="s">
        <v>229</v>
      </c>
      <c r="I1862" s="3"/>
      <c r="L1862" s="3"/>
      <c r="M1862" s="3"/>
      <c r="N1862" s="3"/>
      <c r="O1862" s="3"/>
      <c r="P1862" s="3"/>
      <c r="Q1862" s="3"/>
      <c r="R1862" s="3"/>
      <c r="S1862" s="3"/>
    </row>
    <row r="1863" spans="3:19" ht="15.75" customHeight="1" x14ac:dyDescent="0.2">
      <c r="C1863" s="214" t="s">
        <v>232</v>
      </c>
      <c r="D1863" s="19">
        <v>0.46527777777777773</v>
      </c>
      <c r="E1863" s="20" t="s">
        <v>221</v>
      </c>
      <c r="F1863" s="3">
        <v>9.4</v>
      </c>
      <c r="G1863" s="3">
        <v>77.7</v>
      </c>
      <c r="H1863" s="20" t="s">
        <v>229</v>
      </c>
      <c r="I1863" s="3"/>
      <c r="L1863" s="3"/>
      <c r="M1863" s="3"/>
      <c r="N1863" s="3"/>
      <c r="O1863" s="3"/>
      <c r="P1863" s="3"/>
      <c r="Q1863" s="3"/>
      <c r="R1863" s="3"/>
      <c r="S1863" s="3"/>
    </row>
    <row r="1864" spans="3:19" ht="15.75" customHeight="1" x14ac:dyDescent="0.2">
      <c r="C1864" s="208"/>
      <c r="D1864" s="3"/>
      <c r="E1864" s="3"/>
      <c r="G1864" s="3"/>
      <c r="H1864" s="3"/>
      <c r="I1864" s="3"/>
      <c r="L1864" s="3"/>
      <c r="M1864" s="3"/>
      <c r="N1864" s="3"/>
      <c r="O1864" s="3"/>
      <c r="P1864" s="3"/>
      <c r="Q1864" s="3"/>
      <c r="R1864" s="3"/>
      <c r="S1864" s="3"/>
    </row>
    <row r="1865" spans="3:19" ht="15.75" customHeight="1" x14ac:dyDescent="0.2">
      <c r="C1865" s="214" t="s">
        <v>243</v>
      </c>
      <c r="D1865" s="19">
        <v>0.42499999999999999</v>
      </c>
      <c r="E1865" s="3"/>
      <c r="G1865" s="3"/>
      <c r="H1865" s="3"/>
      <c r="I1865" s="3"/>
      <c r="J1865">
        <v>13</v>
      </c>
      <c r="K1865">
        <v>14</v>
      </c>
      <c r="L1865" s="3"/>
      <c r="M1865" s="3"/>
      <c r="N1865" s="3"/>
      <c r="O1865" s="3"/>
      <c r="P1865" s="3"/>
      <c r="Q1865" s="3"/>
      <c r="R1865" s="3"/>
      <c r="S1865" s="3"/>
    </row>
    <row r="1866" spans="3:19" ht="15.75" customHeight="1" x14ac:dyDescent="0.2">
      <c r="C1866" s="214" t="s">
        <v>243</v>
      </c>
      <c r="D1866" s="19">
        <v>0.42499999999999999</v>
      </c>
      <c r="E1866" s="20" t="s">
        <v>105</v>
      </c>
      <c r="F1866" s="3">
        <v>7.44</v>
      </c>
      <c r="G1866" s="3">
        <v>78.599999999999994</v>
      </c>
      <c r="H1866" s="7">
        <v>19</v>
      </c>
      <c r="I1866" s="7">
        <v>19</v>
      </c>
      <c r="J1866" s="7"/>
      <c r="L1866" s="3"/>
      <c r="M1866" s="3"/>
      <c r="N1866" s="3"/>
      <c r="O1866" s="3"/>
      <c r="P1866" s="3"/>
      <c r="Q1866" s="3"/>
      <c r="R1866" s="3"/>
      <c r="S1866" s="3"/>
    </row>
    <row r="1867" spans="3:19" ht="15.75" customHeight="1" x14ac:dyDescent="0.2">
      <c r="C1867" s="214" t="s">
        <v>243</v>
      </c>
      <c r="D1867" s="19">
        <v>0.42499999999999999</v>
      </c>
      <c r="E1867" s="20" t="s">
        <v>107</v>
      </c>
      <c r="F1867" s="3">
        <v>7.21</v>
      </c>
      <c r="G1867" s="3">
        <v>79.8</v>
      </c>
      <c r="H1867" s="7">
        <v>19.2</v>
      </c>
      <c r="I1867" s="7">
        <v>19.2</v>
      </c>
      <c r="J1867" s="7"/>
      <c r="L1867" s="3"/>
      <c r="M1867" s="3"/>
      <c r="N1867" s="3"/>
      <c r="O1867" s="3"/>
      <c r="P1867" s="3"/>
      <c r="Q1867" s="3"/>
      <c r="R1867" s="3"/>
      <c r="S1867" s="3"/>
    </row>
    <row r="1868" spans="3:19" ht="15.75" customHeight="1" x14ac:dyDescent="0.2">
      <c r="C1868" s="214" t="s">
        <v>243</v>
      </c>
      <c r="D1868" s="19">
        <v>0.42499999999999999</v>
      </c>
      <c r="E1868" s="20" t="s">
        <v>132</v>
      </c>
      <c r="F1868" s="3">
        <v>7.21</v>
      </c>
      <c r="G1868" s="3">
        <v>80</v>
      </c>
      <c r="H1868" s="7">
        <v>19.100000000000001</v>
      </c>
      <c r="I1868" s="7">
        <v>19.100000000000001</v>
      </c>
      <c r="J1868" s="7"/>
      <c r="L1868" s="3"/>
      <c r="M1868" s="3"/>
      <c r="N1868" s="3"/>
      <c r="O1868" s="3"/>
      <c r="P1868" s="3"/>
      <c r="Q1868" s="3"/>
      <c r="R1868" s="3"/>
      <c r="S1868" s="3"/>
    </row>
    <row r="1869" spans="3:19" ht="15.75" customHeight="1" x14ac:dyDescent="0.2">
      <c r="C1869" s="214" t="s">
        <v>243</v>
      </c>
      <c r="D1869" s="19">
        <v>0.42499999999999999</v>
      </c>
      <c r="E1869" s="20" t="s">
        <v>187</v>
      </c>
      <c r="F1869" s="3">
        <v>7.4</v>
      </c>
      <c r="G1869" s="3">
        <v>81</v>
      </c>
      <c r="H1869" s="7">
        <v>19.100000000000001</v>
      </c>
      <c r="I1869" s="7">
        <v>19.100000000000001</v>
      </c>
      <c r="J1869" s="7"/>
      <c r="L1869" s="3"/>
      <c r="M1869" s="3"/>
      <c r="N1869" s="3"/>
      <c r="O1869" s="3"/>
      <c r="P1869" s="3"/>
      <c r="Q1869" s="3"/>
      <c r="R1869" s="3"/>
      <c r="S1869" s="3"/>
    </row>
    <row r="1870" spans="3:19" ht="15.75" customHeight="1" x14ac:dyDescent="0.2">
      <c r="C1870" s="214" t="s">
        <v>243</v>
      </c>
      <c r="D1870" s="19">
        <v>0.42499999999999999</v>
      </c>
      <c r="E1870" s="20" t="s">
        <v>188</v>
      </c>
      <c r="F1870" s="3">
        <v>7.4</v>
      </c>
      <c r="G1870" s="3">
        <v>81.099999999999994</v>
      </c>
      <c r="H1870" s="7">
        <v>19.100000000000001</v>
      </c>
      <c r="I1870" s="7">
        <v>19.100000000000001</v>
      </c>
      <c r="J1870" s="7"/>
      <c r="L1870" s="3"/>
      <c r="M1870" s="3"/>
      <c r="N1870" s="3"/>
      <c r="O1870" s="3"/>
      <c r="P1870" s="3"/>
      <c r="Q1870" s="3"/>
      <c r="R1870" s="3"/>
      <c r="S1870" s="3"/>
    </row>
    <row r="1871" spans="3:19" ht="15.75" customHeight="1" x14ac:dyDescent="0.2">
      <c r="C1871" s="214" t="s">
        <v>243</v>
      </c>
      <c r="D1871" s="19">
        <v>0.42499999999999999</v>
      </c>
      <c r="E1871" s="20" t="s">
        <v>189</v>
      </c>
      <c r="F1871" s="3">
        <v>7.35</v>
      </c>
      <c r="G1871" s="3">
        <v>82</v>
      </c>
      <c r="H1871" s="7">
        <v>19.100000000000001</v>
      </c>
      <c r="I1871" s="7">
        <v>19.100000000000001</v>
      </c>
      <c r="J1871" s="7"/>
      <c r="L1871" s="3"/>
      <c r="M1871" s="3"/>
      <c r="N1871" s="3"/>
      <c r="O1871" s="3"/>
      <c r="P1871" s="3"/>
      <c r="Q1871" s="3"/>
      <c r="R1871" s="3"/>
      <c r="S1871" s="3"/>
    </row>
    <row r="1872" spans="3:19" ht="15.75" customHeight="1" x14ac:dyDescent="0.2">
      <c r="C1872" s="214" t="s">
        <v>243</v>
      </c>
      <c r="D1872" s="19">
        <v>0.42499999999999999</v>
      </c>
      <c r="E1872" s="20" t="s">
        <v>190</v>
      </c>
      <c r="F1872" s="3">
        <v>7.4</v>
      </c>
      <c r="G1872" s="3">
        <v>80.400000000000006</v>
      </c>
      <c r="H1872" s="7">
        <v>19</v>
      </c>
      <c r="I1872" s="7">
        <v>19</v>
      </c>
      <c r="J1872" s="7"/>
      <c r="L1872" s="3"/>
      <c r="M1872" s="3"/>
      <c r="N1872" s="3"/>
      <c r="O1872" s="3"/>
      <c r="P1872" s="3"/>
      <c r="Q1872" s="3"/>
      <c r="R1872" s="3"/>
      <c r="S1872" s="3"/>
    </row>
    <row r="1873" spans="3:19" ht="15.75" customHeight="1" x14ac:dyDescent="0.2">
      <c r="C1873" s="214" t="s">
        <v>243</v>
      </c>
      <c r="D1873" s="19">
        <v>0.42499999999999999</v>
      </c>
      <c r="E1873" s="20" t="s">
        <v>192</v>
      </c>
      <c r="F1873" s="3">
        <v>7.39</v>
      </c>
      <c r="G1873" s="3">
        <v>80.7</v>
      </c>
      <c r="H1873" s="7">
        <v>19</v>
      </c>
      <c r="I1873" s="7">
        <v>19</v>
      </c>
      <c r="J1873" s="7"/>
      <c r="L1873" s="3"/>
      <c r="M1873" s="3"/>
      <c r="N1873" s="3"/>
      <c r="O1873" s="3"/>
      <c r="P1873" s="3"/>
      <c r="Q1873" s="3"/>
      <c r="R1873" s="3"/>
      <c r="S1873" s="3"/>
    </row>
    <row r="1874" spans="3:19" ht="15.75" customHeight="1" x14ac:dyDescent="0.2">
      <c r="C1874" s="214" t="s">
        <v>243</v>
      </c>
      <c r="D1874" s="19">
        <v>0.42499999999999999</v>
      </c>
      <c r="E1874" s="20" t="s">
        <v>194</v>
      </c>
      <c r="F1874" s="3">
        <v>7.43</v>
      </c>
      <c r="G1874" s="3">
        <v>81</v>
      </c>
      <c r="H1874" s="7">
        <v>19</v>
      </c>
      <c r="I1874" s="7">
        <v>19</v>
      </c>
      <c r="J1874" s="7"/>
      <c r="L1874" s="3"/>
      <c r="M1874" s="3"/>
      <c r="N1874" s="3"/>
      <c r="O1874" s="3"/>
      <c r="P1874" s="3"/>
      <c r="Q1874" s="3"/>
      <c r="R1874" s="3"/>
      <c r="S1874" s="3"/>
    </row>
    <row r="1875" spans="3:19" ht="15.75" customHeight="1" x14ac:dyDescent="0.2">
      <c r="C1875" s="214" t="s">
        <v>243</v>
      </c>
      <c r="D1875" s="19">
        <v>0.42499999999999999</v>
      </c>
      <c r="E1875" s="20" t="s">
        <v>196</v>
      </c>
      <c r="F1875" s="3">
        <v>7.35</v>
      </c>
      <c r="G1875" s="3">
        <v>80.2</v>
      </c>
      <c r="H1875" s="7">
        <v>19</v>
      </c>
      <c r="I1875" s="7">
        <v>19</v>
      </c>
      <c r="J1875" s="7"/>
      <c r="L1875" s="3"/>
      <c r="M1875" s="3"/>
      <c r="N1875" s="3"/>
      <c r="O1875" s="3"/>
      <c r="P1875" s="3"/>
      <c r="Q1875" s="3"/>
      <c r="R1875" s="3"/>
      <c r="S1875" s="3"/>
    </row>
    <row r="1876" spans="3:19" ht="15.75" customHeight="1" x14ac:dyDescent="0.2">
      <c r="C1876" s="214" t="s">
        <v>243</v>
      </c>
      <c r="D1876" s="19">
        <v>0.42499999999999999</v>
      </c>
      <c r="E1876" s="20" t="s">
        <v>186</v>
      </c>
      <c r="F1876" s="3">
        <v>9.1</v>
      </c>
      <c r="G1876" s="3">
        <v>89.3</v>
      </c>
      <c r="H1876" s="20" t="s">
        <v>244</v>
      </c>
      <c r="I1876" s="17">
        <f>AVERAGE(I1866:I1875)</f>
        <v>19.059999999999999</v>
      </c>
      <c r="J1876" s="17"/>
      <c r="L1876" s="3"/>
      <c r="M1876" s="3"/>
      <c r="N1876" s="3"/>
      <c r="O1876" s="3"/>
      <c r="P1876" s="3"/>
      <c r="Q1876" s="3"/>
      <c r="R1876" s="3"/>
      <c r="S1876" s="3"/>
    </row>
    <row r="1877" spans="3:19" ht="15.75" customHeight="1" x14ac:dyDescent="0.2">
      <c r="C1877" s="214" t="s">
        <v>243</v>
      </c>
      <c r="D1877" s="19">
        <v>0.42499999999999999</v>
      </c>
      <c r="E1877" s="20" t="s">
        <v>182</v>
      </c>
      <c r="F1877" s="3">
        <v>9.5</v>
      </c>
      <c r="G1877" s="3">
        <v>89.5</v>
      </c>
      <c r="H1877" s="20" t="s">
        <v>165</v>
      </c>
      <c r="I1877" s="3"/>
      <c r="L1877" s="3"/>
      <c r="M1877" s="3"/>
      <c r="N1877" s="3"/>
      <c r="O1877" s="3"/>
      <c r="P1877" s="3"/>
      <c r="Q1877" s="3"/>
      <c r="R1877" s="3"/>
      <c r="S1877" s="3"/>
    </row>
    <row r="1878" spans="3:19" ht="15.75" customHeight="1" x14ac:dyDescent="0.2">
      <c r="C1878" s="214" t="s">
        <v>243</v>
      </c>
      <c r="D1878" s="19">
        <v>0.42499999999999999</v>
      </c>
      <c r="E1878" s="20" t="s">
        <v>117</v>
      </c>
      <c r="F1878" s="3">
        <v>9.5</v>
      </c>
      <c r="G1878" s="3">
        <v>86.2</v>
      </c>
      <c r="H1878" s="20" t="s">
        <v>185</v>
      </c>
      <c r="I1878" s="3"/>
      <c r="L1878" s="3"/>
      <c r="M1878" s="3"/>
      <c r="N1878" s="3"/>
      <c r="O1878" s="3"/>
      <c r="P1878" s="3"/>
      <c r="Q1878" s="3"/>
      <c r="R1878" s="3"/>
      <c r="S1878" s="3"/>
    </row>
    <row r="1879" spans="3:19" ht="15.75" customHeight="1" x14ac:dyDescent="0.2">
      <c r="C1879" s="214" t="s">
        <v>243</v>
      </c>
      <c r="D1879" s="19">
        <v>0.42499999999999999</v>
      </c>
      <c r="E1879" s="20" t="s">
        <v>200</v>
      </c>
      <c r="F1879" s="3">
        <v>9.5</v>
      </c>
      <c r="G1879" s="3">
        <v>84.1</v>
      </c>
      <c r="H1879" s="20" t="s">
        <v>198</v>
      </c>
      <c r="I1879" s="3"/>
      <c r="L1879" s="3"/>
      <c r="M1879" s="3"/>
      <c r="N1879" s="3"/>
      <c r="O1879" s="3"/>
      <c r="P1879" s="3"/>
      <c r="Q1879" s="3"/>
      <c r="R1879" s="3"/>
      <c r="S1879" s="3"/>
    </row>
    <row r="1880" spans="3:19" ht="15.75" customHeight="1" x14ac:dyDescent="0.2">
      <c r="C1880" s="214" t="s">
        <v>243</v>
      </c>
      <c r="D1880" s="19">
        <v>0.42499999999999999</v>
      </c>
      <c r="E1880" s="20" t="s">
        <v>202</v>
      </c>
      <c r="F1880" s="3">
        <v>9.6999999999999993</v>
      </c>
      <c r="G1880" s="3">
        <v>83</v>
      </c>
      <c r="H1880" s="20" t="s">
        <v>238</v>
      </c>
      <c r="I1880" s="3"/>
      <c r="L1880" s="3"/>
      <c r="M1880" s="3"/>
      <c r="N1880" s="3"/>
      <c r="O1880" s="3"/>
      <c r="P1880" s="3"/>
      <c r="Q1880" s="3"/>
      <c r="R1880" s="3"/>
      <c r="S1880" s="3"/>
    </row>
    <row r="1881" spans="3:19" ht="15.75" customHeight="1" x14ac:dyDescent="0.2">
      <c r="C1881" s="214" t="s">
        <v>243</v>
      </c>
      <c r="D1881" s="19">
        <v>0.42499999999999999</v>
      </c>
      <c r="E1881" s="20" t="s">
        <v>204</v>
      </c>
      <c r="F1881" s="3">
        <v>9.73</v>
      </c>
      <c r="G1881" s="3">
        <v>82.9</v>
      </c>
      <c r="H1881" s="20" t="s">
        <v>205</v>
      </c>
      <c r="I1881" s="3"/>
      <c r="L1881" s="3"/>
      <c r="M1881" s="3"/>
      <c r="N1881" s="3"/>
      <c r="O1881" s="3"/>
      <c r="P1881" s="3"/>
      <c r="Q1881" s="3"/>
      <c r="R1881" s="3"/>
      <c r="S1881" s="3"/>
    </row>
    <row r="1882" spans="3:19" ht="15.75" customHeight="1" x14ac:dyDescent="0.2">
      <c r="C1882" s="214" t="s">
        <v>243</v>
      </c>
      <c r="D1882" s="19">
        <v>0.42499999999999999</v>
      </c>
      <c r="E1882" s="20" t="s">
        <v>181</v>
      </c>
      <c r="F1882" s="3">
        <v>9.6999999999999993</v>
      </c>
      <c r="G1882" s="3">
        <v>81</v>
      </c>
      <c r="H1882" s="20" t="s">
        <v>208</v>
      </c>
      <c r="I1882" s="3"/>
      <c r="L1882" s="3"/>
      <c r="M1882" s="3"/>
      <c r="N1882" s="3"/>
      <c r="O1882" s="3"/>
      <c r="P1882" s="3"/>
      <c r="Q1882" s="3"/>
      <c r="R1882" s="3"/>
      <c r="S1882" s="3"/>
    </row>
    <row r="1883" spans="3:19" ht="15.75" customHeight="1" x14ac:dyDescent="0.2">
      <c r="C1883" s="214" t="s">
        <v>243</v>
      </c>
      <c r="D1883" s="19">
        <v>0.42499999999999999</v>
      </c>
      <c r="E1883" s="20" t="s">
        <v>207</v>
      </c>
      <c r="F1883" s="3">
        <v>9.5</v>
      </c>
      <c r="G1883" s="3">
        <v>79.3</v>
      </c>
      <c r="H1883" s="20">
        <v>7.5</v>
      </c>
      <c r="I1883" s="3"/>
      <c r="L1883" s="3"/>
      <c r="M1883" s="3"/>
      <c r="N1883" s="3"/>
      <c r="O1883" s="3"/>
      <c r="P1883" s="3"/>
      <c r="Q1883" s="3"/>
      <c r="R1883" s="3"/>
      <c r="S1883" s="3"/>
    </row>
    <row r="1884" spans="3:19" ht="15.75" customHeight="1" x14ac:dyDescent="0.2">
      <c r="C1884" s="214" t="s">
        <v>243</v>
      </c>
      <c r="D1884" s="19">
        <v>0.42499999999999999</v>
      </c>
      <c r="E1884" s="20" t="s">
        <v>209</v>
      </c>
      <c r="F1884" s="3">
        <v>9.31</v>
      </c>
      <c r="G1884" s="3">
        <v>78.2</v>
      </c>
      <c r="H1884" s="20" t="s">
        <v>241</v>
      </c>
      <c r="I1884" s="3"/>
      <c r="L1884" s="3"/>
      <c r="M1884" s="3"/>
      <c r="N1884" s="3"/>
      <c r="O1884" s="3"/>
      <c r="P1884" s="3"/>
      <c r="Q1884" s="3"/>
      <c r="R1884" s="3"/>
      <c r="S1884" s="3"/>
    </row>
    <row r="1885" spans="3:19" ht="15.75" customHeight="1" x14ac:dyDescent="0.2">
      <c r="C1885" s="214" t="s">
        <v>243</v>
      </c>
      <c r="D1885" s="19">
        <v>0.42499999999999999</v>
      </c>
      <c r="E1885" s="20" t="s">
        <v>210</v>
      </c>
      <c r="F1885" s="3">
        <v>9.1999999999999993</v>
      </c>
      <c r="G1885" s="3">
        <v>75.5</v>
      </c>
      <c r="H1885" s="20" t="s">
        <v>242</v>
      </c>
      <c r="I1885" s="3"/>
      <c r="L1885" s="3"/>
      <c r="M1885" s="3"/>
      <c r="N1885" s="3"/>
      <c r="O1885" s="3"/>
      <c r="P1885" s="3"/>
      <c r="Q1885" s="3"/>
      <c r="R1885" s="3"/>
      <c r="S1885" s="3"/>
    </row>
    <row r="1886" spans="3:19" ht="15.75" customHeight="1" x14ac:dyDescent="0.2">
      <c r="C1886" s="214" t="s">
        <v>243</v>
      </c>
      <c r="D1886" s="19">
        <v>0.42499999999999999</v>
      </c>
      <c r="E1886" s="20" t="s">
        <v>212</v>
      </c>
      <c r="F1886" s="3">
        <v>9.15</v>
      </c>
      <c r="G1886" s="3">
        <v>75</v>
      </c>
      <c r="H1886" s="20" t="s">
        <v>242</v>
      </c>
      <c r="I1886" s="7"/>
      <c r="J1886" s="7"/>
      <c r="L1886" s="3"/>
      <c r="M1886" s="3"/>
      <c r="N1886" s="3"/>
      <c r="O1886" s="3"/>
      <c r="P1886" s="3"/>
      <c r="Q1886" s="3"/>
      <c r="R1886" s="3"/>
      <c r="S1886" s="3"/>
    </row>
    <row r="1887" spans="3:19" ht="15.75" customHeight="1" x14ac:dyDescent="0.2">
      <c r="C1887" s="214" t="s">
        <v>243</v>
      </c>
      <c r="D1887" s="19">
        <v>0.42499999999999999</v>
      </c>
      <c r="E1887" s="20" t="s">
        <v>214</v>
      </c>
      <c r="F1887" s="3">
        <v>9.1</v>
      </c>
      <c r="G1887" s="3">
        <v>75.3</v>
      </c>
      <c r="H1887" s="20" t="s">
        <v>230</v>
      </c>
      <c r="I1887" s="7"/>
      <c r="J1887" s="7"/>
      <c r="L1887" s="3"/>
      <c r="M1887" s="3"/>
      <c r="N1887" s="3"/>
      <c r="O1887" s="3"/>
      <c r="P1887" s="3"/>
      <c r="Q1887" s="3"/>
      <c r="R1887" s="3"/>
      <c r="S1887" s="3"/>
    </row>
    <row r="1888" spans="3:19" ht="15.75" customHeight="1" x14ac:dyDescent="0.2">
      <c r="C1888" s="214" t="s">
        <v>243</v>
      </c>
      <c r="D1888" s="19">
        <v>0.42499999999999999</v>
      </c>
      <c r="E1888" s="20" t="s">
        <v>216</v>
      </c>
      <c r="F1888" s="3">
        <v>9.0500000000000007</v>
      </c>
      <c r="G1888" s="3">
        <v>73.3</v>
      </c>
      <c r="H1888" s="20" t="s">
        <v>230</v>
      </c>
      <c r="I1888" s="7"/>
      <c r="J1888" s="7"/>
      <c r="L1888" s="3"/>
      <c r="M1888" s="3"/>
      <c r="N1888" s="3"/>
      <c r="O1888" s="3"/>
      <c r="P1888" s="3"/>
      <c r="Q1888" s="3"/>
      <c r="R1888" s="3"/>
      <c r="S1888" s="3"/>
    </row>
    <row r="1889" spans="3:19" ht="15.75" customHeight="1" x14ac:dyDescent="0.2">
      <c r="C1889" s="214" t="s">
        <v>243</v>
      </c>
      <c r="D1889" s="19">
        <v>0.42499999999999999</v>
      </c>
      <c r="E1889" s="20" t="s">
        <v>218</v>
      </c>
      <c r="F1889" s="3">
        <v>9.1</v>
      </c>
      <c r="G1889" s="3">
        <v>74.3</v>
      </c>
      <c r="H1889" s="20" t="s">
        <v>213</v>
      </c>
      <c r="I1889" s="7"/>
      <c r="J1889" s="7"/>
      <c r="L1889" s="3"/>
      <c r="M1889" s="3"/>
      <c r="N1889" s="3"/>
      <c r="O1889" s="3"/>
      <c r="P1889" s="3"/>
      <c r="Q1889" s="3"/>
      <c r="R1889" s="3"/>
      <c r="S1889" s="3"/>
    </row>
    <row r="1890" spans="3:19" ht="15.75" customHeight="1" x14ac:dyDescent="0.2">
      <c r="C1890" s="214" t="s">
        <v>243</v>
      </c>
      <c r="D1890" s="19">
        <v>0.42499999999999999</v>
      </c>
      <c r="E1890" s="20" t="s">
        <v>220</v>
      </c>
      <c r="F1890" s="3">
        <v>9</v>
      </c>
      <c r="G1890" s="3">
        <v>73.3</v>
      </c>
      <c r="H1890" s="20" t="s">
        <v>215</v>
      </c>
      <c r="I1890" s="7"/>
      <c r="J1890" s="7"/>
      <c r="L1890" s="3"/>
      <c r="M1890" s="3"/>
      <c r="N1890" s="3"/>
      <c r="O1890" s="3"/>
      <c r="P1890" s="3"/>
      <c r="Q1890" s="3"/>
      <c r="R1890" s="3"/>
      <c r="S1890" s="3"/>
    </row>
    <row r="1891" spans="3:19" ht="15.75" customHeight="1" x14ac:dyDescent="0.2">
      <c r="C1891" s="214" t="s">
        <v>243</v>
      </c>
      <c r="D1891" s="19">
        <v>0.42499999999999999</v>
      </c>
      <c r="E1891" s="20">
        <v>25</v>
      </c>
      <c r="F1891" s="3">
        <v>9.0500000000000007</v>
      </c>
      <c r="G1891" s="3">
        <v>72.900000000000006</v>
      </c>
      <c r="H1891" s="20">
        <v>6.4</v>
      </c>
      <c r="I1891" s="7"/>
      <c r="J1891" s="7"/>
      <c r="L1891" s="3"/>
      <c r="M1891" s="3"/>
      <c r="N1891" s="3"/>
      <c r="O1891" s="3"/>
      <c r="P1891" s="3"/>
      <c r="Q1891" s="3"/>
      <c r="R1891" s="3"/>
      <c r="S1891" s="3"/>
    </row>
    <row r="1892" spans="3:19" ht="15.75" customHeight="1" x14ac:dyDescent="0.2">
      <c r="C1892" s="214"/>
      <c r="D1892" s="3"/>
      <c r="E1892" s="20"/>
      <c r="G1892" s="3"/>
      <c r="H1892" s="20"/>
      <c r="I1892" s="7"/>
      <c r="J1892" s="7"/>
      <c r="L1892" s="3"/>
      <c r="M1892" s="3"/>
      <c r="N1892" s="3"/>
      <c r="O1892" s="3"/>
      <c r="P1892" s="3"/>
      <c r="Q1892" s="3"/>
      <c r="R1892" s="3"/>
      <c r="S1892" s="3"/>
    </row>
    <row r="1893" spans="3:19" ht="15.75" customHeight="1" x14ac:dyDescent="0.2">
      <c r="C1893" s="214">
        <v>40449</v>
      </c>
      <c r="D1893" s="19">
        <v>0.43055555555555558</v>
      </c>
      <c r="E1893" s="20"/>
      <c r="G1893" s="3"/>
      <c r="H1893" s="20"/>
      <c r="I1893" s="7"/>
      <c r="J1893" s="7">
        <v>11</v>
      </c>
      <c r="K1893">
        <v>12.5</v>
      </c>
      <c r="L1893" s="3"/>
      <c r="M1893" s="3"/>
      <c r="N1893" s="3"/>
      <c r="O1893" s="3"/>
      <c r="P1893" s="3"/>
      <c r="Q1893" s="3"/>
      <c r="R1893" s="3"/>
      <c r="S1893" s="3"/>
    </row>
    <row r="1894" spans="3:19" ht="15.75" customHeight="1" x14ac:dyDescent="0.2">
      <c r="C1894" s="214">
        <v>40449</v>
      </c>
      <c r="D1894" s="19">
        <v>0.43055555555555558</v>
      </c>
      <c r="E1894" s="20">
        <v>0.1</v>
      </c>
      <c r="F1894" s="215">
        <v>7.96</v>
      </c>
      <c r="G1894" s="3">
        <v>79.400000000000006</v>
      </c>
      <c r="H1894" s="20">
        <v>16</v>
      </c>
      <c r="I1894" s="7"/>
      <c r="J1894" s="7"/>
      <c r="L1894" s="3"/>
      <c r="M1894" s="3"/>
      <c r="N1894" s="3"/>
      <c r="O1894" s="3"/>
      <c r="P1894" s="3"/>
      <c r="Q1894" s="3"/>
      <c r="R1894" s="3"/>
      <c r="S1894" s="3"/>
    </row>
    <row r="1895" spans="3:19" ht="15.75" customHeight="1" x14ac:dyDescent="0.2">
      <c r="C1895" s="214">
        <v>40449</v>
      </c>
      <c r="D1895" s="19">
        <v>0.43055555555555558</v>
      </c>
      <c r="E1895" s="20">
        <v>1</v>
      </c>
      <c r="F1895" s="215">
        <v>7.78</v>
      </c>
      <c r="G1895" s="3">
        <v>79.400000000000006</v>
      </c>
      <c r="H1895" s="20">
        <v>16</v>
      </c>
      <c r="I1895" s="7"/>
      <c r="J1895" s="7"/>
      <c r="L1895" s="3"/>
      <c r="M1895" s="3"/>
      <c r="N1895" s="3"/>
      <c r="O1895" s="3"/>
      <c r="P1895" s="3"/>
      <c r="Q1895" s="3"/>
      <c r="R1895" s="3"/>
      <c r="S1895" s="3"/>
    </row>
    <row r="1896" spans="3:19" ht="15.75" customHeight="1" x14ac:dyDescent="0.2">
      <c r="C1896" s="214">
        <v>40449</v>
      </c>
      <c r="D1896" s="19">
        <v>0.43055555555555558</v>
      </c>
      <c r="E1896" s="20">
        <v>2</v>
      </c>
      <c r="F1896" s="215">
        <v>8.1</v>
      </c>
      <c r="G1896" s="3">
        <v>80.400000000000006</v>
      </c>
      <c r="H1896" s="20">
        <v>15.9</v>
      </c>
      <c r="I1896" s="7"/>
      <c r="J1896" s="7"/>
      <c r="L1896" s="3"/>
      <c r="M1896" s="3"/>
      <c r="N1896" s="3"/>
      <c r="O1896" s="3"/>
      <c r="P1896" s="3"/>
      <c r="Q1896" s="3"/>
      <c r="R1896" s="3"/>
      <c r="S1896" s="3"/>
    </row>
    <row r="1897" spans="3:19" ht="15.75" customHeight="1" x14ac:dyDescent="0.2">
      <c r="C1897" s="214">
        <v>40449</v>
      </c>
      <c r="D1897" s="19">
        <v>0.43055555555555558</v>
      </c>
      <c r="E1897" s="20">
        <v>3</v>
      </c>
      <c r="F1897" s="215">
        <v>7.95</v>
      </c>
      <c r="G1897" s="3">
        <v>79.099999999999994</v>
      </c>
      <c r="H1897" s="20">
        <v>15.7</v>
      </c>
      <c r="I1897" s="7"/>
      <c r="J1897" s="7"/>
      <c r="L1897" s="3"/>
      <c r="M1897" s="3"/>
      <c r="N1897" s="3"/>
      <c r="O1897" s="3"/>
      <c r="P1897" s="3"/>
      <c r="Q1897" s="3"/>
      <c r="R1897" s="3"/>
      <c r="S1897" s="3"/>
    </row>
    <row r="1898" spans="3:19" ht="15.75" customHeight="1" x14ac:dyDescent="0.2">
      <c r="C1898" s="214">
        <v>40449</v>
      </c>
      <c r="D1898" s="19">
        <v>0.43055555555555558</v>
      </c>
      <c r="E1898" s="20">
        <v>4</v>
      </c>
      <c r="F1898" s="215">
        <v>7.97</v>
      </c>
      <c r="G1898" s="3">
        <v>80.599999999999994</v>
      </c>
      <c r="H1898" s="20">
        <v>15.6</v>
      </c>
      <c r="I1898" s="7"/>
      <c r="J1898" s="7"/>
      <c r="L1898" s="3"/>
      <c r="M1898" s="3"/>
      <c r="N1898" s="3"/>
      <c r="O1898" s="3"/>
      <c r="P1898" s="3"/>
      <c r="Q1898" s="3"/>
      <c r="R1898" s="3"/>
      <c r="S1898" s="3"/>
    </row>
    <row r="1899" spans="3:19" ht="15.75" customHeight="1" x14ac:dyDescent="0.2">
      <c r="C1899" s="214">
        <v>40449</v>
      </c>
      <c r="D1899" s="19">
        <v>0.43055555555555558</v>
      </c>
      <c r="E1899" s="20">
        <v>5</v>
      </c>
      <c r="F1899" s="215">
        <v>8.0399999999999991</v>
      </c>
      <c r="G1899" s="3">
        <v>80</v>
      </c>
      <c r="H1899" s="20">
        <v>15.6</v>
      </c>
      <c r="I1899" s="7"/>
      <c r="J1899" s="7"/>
      <c r="L1899" s="3"/>
      <c r="M1899" s="3"/>
      <c r="N1899" s="3"/>
      <c r="O1899" s="3"/>
      <c r="P1899" s="3"/>
      <c r="Q1899" s="3"/>
      <c r="R1899" s="3"/>
      <c r="S1899" s="3"/>
    </row>
    <row r="1900" spans="3:19" ht="15.75" customHeight="1" x14ac:dyDescent="0.2">
      <c r="C1900" s="214">
        <v>40449</v>
      </c>
      <c r="D1900" s="19">
        <v>0.43055555555555558</v>
      </c>
      <c r="E1900" s="20">
        <v>6</v>
      </c>
      <c r="F1900" s="215">
        <v>8.08</v>
      </c>
      <c r="G1900" s="3">
        <v>79.8</v>
      </c>
      <c r="H1900" s="20">
        <v>15.6</v>
      </c>
      <c r="I1900" s="7"/>
      <c r="J1900" s="7"/>
      <c r="L1900" s="3"/>
      <c r="M1900" s="3"/>
      <c r="N1900" s="3"/>
      <c r="O1900" s="3"/>
      <c r="P1900" s="3"/>
      <c r="Q1900" s="3"/>
      <c r="R1900" s="3"/>
      <c r="S1900" s="3"/>
    </row>
    <row r="1901" spans="3:19" ht="15.75" customHeight="1" x14ac:dyDescent="0.2">
      <c r="C1901" s="214">
        <v>40449</v>
      </c>
      <c r="D1901" s="19">
        <v>0.43055555555555558</v>
      </c>
      <c r="E1901" s="20">
        <v>7</v>
      </c>
      <c r="F1901" s="215">
        <v>8.0299999999999994</v>
      </c>
      <c r="G1901" s="3">
        <v>79.900000000000006</v>
      </c>
      <c r="H1901" s="20">
        <v>15.5</v>
      </c>
      <c r="I1901" s="7"/>
      <c r="J1901" s="7"/>
      <c r="L1901" s="3"/>
      <c r="M1901" s="3"/>
      <c r="N1901" s="3"/>
      <c r="O1901" s="3"/>
      <c r="P1901" s="3"/>
      <c r="Q1901" s="3"/>
      <c r="R1901" s="3"/>
      <c r="S1901" s="3"/>
    </row>
    <row r="1902" spans="3:19" ht="15.75" customHeight="1" x14ac:dyDescent="0.2">
      <c r="C1902" s="214">
        <v>40449</v>
      </c>
      <c r="D1902" s="19">
        <v>0.43055555555555558</v>
      </c>
      <c r="E1902" s="20">
        <v>8</v>
      </c>
      <c r="F1902" s="215">
        <v>8</v>
      </c>
      <c r="G1902" s="3">
        <v>78.2</v>
      </c>
      <c r="H1902" s="20">
        <v>15.5</v>
      </c>
      <c r="I1902" s="7"/>
      <c r="J1902" s="7"/>
      <c r="L1902" s="3"/>
      <c r="M1902" s="3"/>
      <c r="N1902" s="3"/>
      <c r="O1902" s="3"/>
      <c r="P1902" s="3"/>
      <c r="Q1902" s="3"/>
      <c r="R1902" s="3"/>
      <c r="S1902" s="3"/>
    </row>
    <row r="1903" spans="3:19" ht="15.75" customHeight="1" x14ac:dyDescent="0.2">
      <c r="C1903" s="214">
        <v>40449</v>
      </c>
      <c r="D1903" s="19">
        <v>0.43055555555555558</v>
      </c>
      <c r="E1903" s="20">
        <v>9</v>
      </c>
      <c r="F1903" s="215">
        <v>7.92</v>
      </c>
      <c r="G1903" s="3">
        <v>79</v>
      </c>
      <c r="H1903" s="20">
        <v>15.5</v>
      </c>
      <c r="I1903" s="7"/>
      <c r="J1903" s="7"/>
      <c r="L1903" s="3"/>
      <c r="M1903" s="3"/>
      <c r="N1903" s="3"/>
      <c r="O1903" s="3"/>
      <c r="P1903" s="3"/>
      <c r="Q1903" s="3"/>
      <c r="R1903" s="3"/>
      <c r="S1903" s="3"/>
    </row>
    <row r="1904" spans="3:19" ht="15.75" customHeight="1" x14ac:dyDescent="0.2">
      <c r="C1904" s="214">
        <v>40449</v>
      </c>
      <c r="D1904" s="19">
        <v>0.43055555555555558</v>
      </c>
      <c r="E1904" s="20">
        <v>10</v>
      </c>
      <c r="F1904" s="215">
        <v>7.95</v>
      </c>
      <c r="G1904" s="3">
        <v>78.099999999999994</v>
      </c>
      <c r="H1904" s="20">
        <v>15.4</v>
      </c>
      <c r="I1904" s="7"/>
      <c r="J1904" s="7"/>
      <c r="L1904" s="3"/>
      <c r="M1904" s="3"/>
      <c r="N1904" s="3"/>
      <c r="O1904" s="3"/>
      <c r="P1904" s="3"/>
      <c r="Q1904" s="3"/>
      <c r="R1904" s="3"/>
      <c r="S1904" s="3"/>
    </row>
    <row r="1905" spans="3:19" ht="15.75" customHeight="1" x14ac:dyDescent="0.2">
      <c r="C1905" s="214">
        <v>40449</v>
      </c>
      <c r="D1905" s="19">
        <v>0.43055555555555558</v>
      </c>
      <c r="E1905" s="20">
        <v>11</v>
      </c>
      <c r="F1905" s="215">
        <v>7.89</v>
      </c>
      <c r="G1905" s="3">
        <v>77.2</v>
      </c>
      <c r="H1905" s="20">
        <v>15.3</v>
      </c>
      <c r="I1905" s="7"/>
      <c r="J1905" s="7"/>
      <c r="L1905" s="3"/>
      <c r="M1905" s="3"/>
      <c r="N1905" s="3"/>
      <c r="O1905" s="3"/>
      <c r="P1905" s="3"/>
      <c r="Q1905" s="3"/>
      <c r="R1905" s="3"/>
      <c r="S1905" s="3"/>
    </row>
    <row r="1906" spans="3:19" ht="15.75" customHeight="1" x14ac:dyDescent="0.2">
      <c r="C1906" s="214">
        <v>40449</v>
      </c>
      <c r="D1906" s="19">
        <v>0.43055555555555558</v>
      </c>
      <c r="E1906" s="20">
        <v>12</v>
      </c>
      <c r="F1906" s="215">
        <v>7.83</v>
      </c>
      <c r="G1906" s="3">
        <v>76.2</v>
      </c>
      <c r="H1906" s="20">
        <v>15.3</v>
      </c>
      <c r="I1906" s="7"/>
      <c r="J1906" s="7"/>
      <c r="L1906" s="3"/>
      <c r="M1906" s="3"/>
      <c r="N1906" s="3"/>
      <c r="O1906" s="3"/>
      <c r="P1906" s="3"/>
      <c r="Q1906" s="3"/>
      <c r="R1906" s="3"/>
      <c r="S1906" s="3"/>
    </row>
    <row r="1907" spans="3:19" ht="15.75" customHeight="1" x14ac:dyDescent="0.2">
      <c r="C1907" s="214">
        <v>40449</v>
      </c>
      <c r="D1907" s="19">
        <v>0.43055555555555558</v>
      </c>
      <c r="E1907" s="20">
        <v>13</v>
      </c>
      <c r="F1907" s="215">
        <v>7.82</v>
      </c>
      <c r="G1907" s="3">
        <v>77</v>
      </c>
      <c r="H1907" s="20">
        <v>15.2</v>
      </c>
      <c r="I1907" s="7"/>
      <c r="J1907" s="7"/>
      <c r="L1907" s="3"/>
      <c r="M1907" s="3"/>
      <c r="N1907" s="3"/>
      <c r="O1907" s="3"/>
      <c r="P1907" s="3"/>
      <c r="Q1907" s="3"/>
      <c r="R1907" s="3"/>
      <c r="S1907" s="3"/>
    </row>
    <row r="1908" spans="3:19" ht="15.75" customHeight="1" x14ac:dyDescent="0.2">
      <c r="C1908" s="214">
        <v>40449</v>
      </c>
      <c r="D1908" s="19">
        <v>0.43055555555555558</v>
      </c>
      <c r="E1908" s="20">
        <v>14</v>
      </c>
      <c r="F1908" s="215">
        <v>8.1</v>
      </c>
      <c r="G1908" s="3">
        <v>77.5</v>
      </c>
      <c r="H1908" s="20">
        <v>14</v>
      </c>
      <c r="I1908" s="7"/>
      <c r="J1908" s="7"/>
      <c r="L1908" s="3"/>
      <c r="M1908" s="3"/>
      <c r="N1908" s="3"/>
      <c r="O1908" s="3"/>
      <c r="P1908" s="3"/>
      <c r="Q1908" s="3"/>
      <c r="R1908" s="3"/>
      <c r="S1908" s="3"/>
    </row>
    <row r="1909" spans="3:19" ht="15.75" customHeight="1" x14ac:dyDescent="0.2">
      <c r="C1909" s="214">
        <v>40449</v>
      </c>
      <c r="D1909" s="19">
        <v>0.43055555555555558</v>
      </c>
      <c r="E1909" s="20">
        <v>15</v>
      </c>
      <c r="F1909" s="215">
        <v>8.77</v>
      </c>
      <c r="G1909" s="3">
        <v>77.3</v>
      </c>
      <c r="H1909" s="20">
        <v>10.7</v>
      </c>
      <c r="I1909" s="7"/>
      <c r="J1909" s="7"/>
      <c r="L1909" s="3"/>
      <c r="M1909" s="3"/>
      <c r="N1909" s="3"/>
      <c r="O1909" s="3"/>
      <c r="P1909" s="3"/>
      <c r="Q1909" s="3"/>
      <c r="R1909" s="3"/>
      <c r="S1909" s="3"/>
    </row>
    <row r="1910" spans="3:19" ht="15.75" customHeight="1" x14ac:dyDescent="0.2">
      <c r="C1910" s="214">
        <v>40449</v>
      </c>
      <c r="D1910" s="19">
        <v>0.43055555555555558</v>
      </c>
      <c r="E1910" s="20">
        <v>16</v>
      </c>
      <c r="F1910" s="215">
        <v>8.9</v>
      </c>
      <c r="G1910" s="3">
        <v>76.5</v>
      </c>
      <c r="H1910" s="20">
        <v>9.6</v>
      </c>
      <c r="I1910" s="7"/>
      <c r="J1910" s="7"/>
      <c r="L1910" s="3"/>
      <c r="M1910" s="3"/>
      <c r="N1910" s="3"/>
      <c r="O1910" s="3"/>
      <c r="P1910" s="3"/>
      <c r="Q1910" s="3"/>
      <c r="R1910" s="3"/>
      <c r="S1910" s="3"/>
    </row>
    <row r="1911" spans="3:19" ht="15.75" customHeight="1" x14ac:dyDescent="0.2">
      <c r="C1911" s="214">
        <v>40449</v>
      </c>
      <c r="D1911" s="19">
        <v>0.43055555555555558</v>
      </c>
      <c r="E1911" s="20">
        <v>17</v>
      </c>
      <c r="F1911" s="215">
        <v>8.7200000000000006</v>
      </c>
      <c r="G1911" s="3">
        <v>73.400000000000006</v>
      </c>
      <c r="H1911" s="20">
        <v>8.6</v>
      </c>
      <c r="I1911" s="7"/>
      <c r="J1911" s="7"/>
      <c r="L1911" s="3"/>
      <c r="M1911" s="3"/>
      <c r="N1911" s="3"/>
      <c r="O1911" s="3"/>
      <c r="P1911" s="3"/>
      <c r="Q1911" s="3"/>
      <c r="R1911" s="3"/>
      <c r="S1911" s="3"/>
    </row>
    <row r="1912" spans="3:19" ht="15.75" customHeight="1" x14ac:dyDescent="0.2">
      <c r="C1912" s="214">
        <v>40449</v>
      </c>
      <c r="D1912" s="19">
        <v>0.43055555555555558</v>
      </c>
      <c r="E1912" s="20">
        <v>18</v>
      </c>
      <c r="F1912" s="215">
        <v>8.64</v>
      </c>
      <c r="G1912" s="3">
        <v>71.5</v>
      </c>
      <c r="H1912" s="20">
        <v>8</v>
      </c>
      <c r="I1912" s="7"/>
      <c r="J1912" s="7"/>
      <c r="L1912" s="3"/>
      <c r="M1912" s="3"/>
      <c r="N1912" s="3"/>
      <c r="O1912" s="3"/>
      <c r="P1912" s="3"/>
      <c r="Q1912" s="3"/>
      <c r="R1912" s="3"/>
      <c r="S1912" s="3"/>
    </row>
    <row r="1913" spans="3:19" ht="15.75" customHeight="1" x14ac:dyDescent="0.2">
      <c r="C1913" s="214">
        <v>40449</v>
      </c>
      <c r="D1913" s="19">
        <v>0.43055555555555558</v>
      </c>
      <c r="E1913" s="20">
        <v>19</v>
      </c>
      <c r="F1913" s="215">
        <v>8.6</v>
      </c>
      <c r="G1913" s="3">
        <v>71.599999999999994</v>
      </c>
      <c r="H1913" s="20">
        <v>7.6</v>
      </c>
      <c r="I1913" s="7"/>
      <c r="J1913" s="7"/>
      <c r="L1913" s="3"/>
      <c r="M1913" s="3"/>
      <c r="N1913" s="3"/>
      <c r="O1913" s="3"/>
      <c r="P1913" s="3"/>
      <c r="Q1913" s="3"/>
      <c r="R1913" s="3"/>
      <c r="S1913" s="3"/>
    </row>
    <row r="1914" spans="3:19" ht="15.75" customHeight="1" x14ac:dyDescent="0.2">
      <c r="C1914" s="214">
        <v>40449</v>
      </c>
      <c r="D1914" s="19">
        <v>0.43055555555555558</v>
      </c>
      <c r="E1914" s="20">
        <v>20</v>
      </c>
      <c r="F1914" s="215">
        <v>8.58</v>
      </c>
      <c r="G1914" s="3">
        <v>71.3</v>
      </c>
      <c r="H1914" s="20">
        <v>7.4</v>
      </c>
      <c r="I1914" s="7"/>
      <c r="J1914" s="7"/>
      <c r="L1914" s="3"/>
      <c r="M1914" s="3"/>
      <c r="N1914" s="3"/>
      <c r="O1914" s="3"/>
      <c r="P1914" s="3"/>
      <c r="Q1914" s="3"/>
      <c r="R1914" s="3"/>
      <c r="S1914" s="3"/>
    </row>
    <row r="1915" spans="3:19" ht="15.75" customHeight="1" x14ac:dyDescent="0.2">
      <c r="C1915" s="214">
        <v>40449</v>
      </c>
      <c r="D1915" s="19">
        <v>0.43055555555555558</v>
      </c>
      <c r="E1915" s="20">
        <v>21</v>
      </c>
      <c r="F1915" s="215">
        <v>8.6199999999999992</v>
      </c>
      <c r="G1915" s="3">
        <v>71</v>
      </c>
      <c r="H1915" s="20">
        <v>7.1</v>
      </c>
      <c r="I1915" s="7"/>
      <c r="J1915" s="7"/>
      <c r="L1915" s="3"/>
      <c r="M1915" s="3"/>
      <c r="N1915" s="3"/>
      <c r="O1915" s="3"/>
      <c r="P1915" s="3"/>
      <c r="Q1915" s="3"/>
      <c r="R1915" s="3"/>
      <c r="S1915" s="3"/>
    </row>
    <row r="1916" spans="3:19" ht="15.75" customHeight="1" x14ac:dyDescent="0.2">
      <c r="C1916" s="214">
        <v>40449</v>
      </c>
      <c r="D1916" s="19">
        <v>0.43055555555555558</v>
      </c>
      <c r="E1916" s="20">
        <v>22</v>
      </c>
      <c r="F1916" s="215">
        <v>8.61</v>
      </c>
      <c r="G1916" s="3">
        <v>71.2</v>
      </c>
      <c r="H1916" s="20">
        <v>7</v>
      </c>
      <c r="I1916" s="7"/>
      <c r="J1916" s="7"/>
      <c r="L1916" s="3"/>
      <c r="M1916" s="3"/>
      <c r="N1916" s="3"/>
      <c r="O1916" s="3"/>
      <c r="P1916" s="3"/>
      <c r="Q1916" s="3"/>
      <c r="R1916" s="3"/>
      <c r="S1916" s="3"/>
    </row>
    <row r="1917" spans="3:19" ht="15.75" customHeight="1" x14ac:dyDescent="0.2">
      <c r="C1917" s="214"/>
      <c r="D1917" s="3"/>
      <c r="E1917" s="20"/>
      <c r="G1917" s="3"/>
      <c r="H1917" s="20"/>
      <c r="I1917" s="7"/>
      <c r="J1917" s="7"/>
      <c r="L1917" s="3"/>
      <c r="M1917" s="3"/>
      <c r="N1917" s="3"/>
      <c r="O1917" s="3"/>
      <c r="P1917" s="3"/>
      <c r="Q1917" s="3"/>
      <c r="R1917" s="3"/>
      <c r="S1917" s="3"/>
    </row>
    <row r="1918" spans="3:19" ht="15.75" customHeight="1" x14ac:dyDescent="0.2">
      <c r="C1918" s="214">
        <v>40484</v>
      </c>
      <c r="D1918" s="19">
        <v>0.41666666666666669</v>
      </c>
      <c r="E1918" s="20"/>
      <c r="G1918" s="3"/>
      <c r="H1918" s="20"/>
      <c r="I1918" s="7"/>
      <c r="J1918" s="7">
        <v>9</v>
      </c>
      <c r="K1918">
        <v>11.5</v>
      </c>
      <c r="L1918" s="3"/>
      <c r="M1918" s="3"/>
      <c r="N1918" s="3"/>
      <c r="O1918" s="3"/>
      <c r="P1918" s="3"/>
      <c r="Q1918" s="3"/>
      <c r="R1918" s="3"/>
      <c r="S1918" s="3"/>
    </row>
    <row r="1919" spans="3:19" ht="15.75" customHeight="1" x14ac:dyDescent="0.2">
      <c r="C1919" s="214">
        <v>40484</v>
      </c>
      <c r="D1919" s="19">
        <v>0.41666666666666669</v>
      </c>
      <c r="E1919" s="20">
        <v>0.1</v>
      </c>
      <c r="F1919" s="215">
        <v>8.5399999999999991</v>
      </c>
      <c r="G1919" s="3">
        <v>82</v>
      </c>
      <c r="H1919" s="20">
        <v>11</v>
      </c>
      <c r="I1919" s="7"/>
      <c r="J1919" s="7"/>
      <c r="L1919" s="3"/>
      <c r="M1919" s="3"/>
      <c r="N1919" s="3"/>
      <c r="O1919" s="3"/>
      <c r="P1919" s="3"/>
      <c r="Q1919" s="3"/>
      <c r="R1919" s="3"/>
      <c r="S1919" s="3"/>
    </row>
    <row r="1920" spans="3:19" ht="15.75" customHeight="1" x14ac:dyDescent="0.2">
      <c r="C1920" s="214">
        <v>40484</v>
      </c>
      <c r="D1920" s="19">
        <v>0.41666666666666669</v>
      </c>
      <c r="E1920" s="20">
        <v>1</v>
      </c>
      <c r="F1920" s="215">
        <v>8.5</v>
      </c>
      <c r="G1920" s="3">
        <v>77.099999999999994</v>
      </c>
      <c r="H1920" s="20">
        <v>11</v>
      </c>
      <c r="I1920" s="7"/>
      <c r="J1920" s="7"/>
      <c r="L1920" s="3"/>
      <c r="M1920" s="3"/>
      <c r="N1920" s="3"/>
      <c r="O1920" s="3"/>
      <c r="P1920" s="3"/>
      <c r="Q1920" s="3"/>
      <c r="R1920" s="3"/>
      <c r="S1920" s="3"/>
    </row>
    <row r="1921" spans="3:19" ht="15.75" customHeight="1" x14ac:dyDescent="0.2">
      <c r="C1921" s="214">
        <v>40484</v>
      </c>
      <c r="D1921" s="19">
        <v>0.41666666666666669</v>
      </c>
      <c r="E1921" s="20">
        <v>2</v>
      </c>
      <c r="F1921" s="215">
        <v>8.44</v>
      </c>
      <c r="G1921" s="3">
        <v>76.599999999999994</v>
      </c>
      <c r="H1921" s="20">
        <v>11</v>
      </c>
      <c r="I1921" s="7"/>
      <c r="J1921" s="7"/>
      <c r="L1921" s="3"/>
      <c r="M1921" s="3"/>
      <c r="N1921" s="3"/>
      <c r="O1921" s="3"/>
      <c r="P1921" s="3"/>
      <c r="Q1921" s="3"/>
      <c r="R1921" s="3"/>
      <c r="S1921" s="3"/>
    </row>
    <row r="1922" spans="3:19" ht="15.75" customHeight="1" x14ac:dyDescent="0.2">
      <c r="C1922" s="214">
        <v>40484</v>
      </c>
      <c r="D1922" s="19">
        <v>0.41666666666666669</v>
      </c>
      <c r="E1922" s="20">
        <v>3</v>
      </c>
      <c r="F1922" s="215">
        <v>8.4499999999999993</v>
      </c>
      <c r="G1922" s="3">
        <v>76.400000000000006</v>
      </c>
      <c r="H1922" s="20">
        <v>11</v>
      </c>
      <c r="I1922" s="7"/>
      <c r="J1922" s="7"/>
      <c r="L1922" s="3"/>
      <c r="M1922" s="3"/>
      <c r="N1922" s="3"/>
      <c r="O1922" s="3"/>
      <c r="P1922" s="3"/>
      <c r="Q1922" s="3"/>
      <c r="R1922" s="3"/>
      <c r="S1922" s="3"/>
    </row>
    <row r="1923" spans="3:19" ht="15.75" customHeight="1" x14ac:dyDescent="0.2">
      <c r="C1923" s="214">
        <v>40484</v>
      </c>
      <c r="D1923" s="19">
        <v>0.41666666666666669</v>
      </c>
      <c r="E1923" s="20">
        <v>4</v>
      </c>
      <c r="F1923" s="215">
        <v>8.44</v>
      </c>
      <c r="G1923" s="3">
        <v>76.400000000000006</v>
      </c>
      <c r="H1923" s="20">
        <v>10.9</v>
      </c>
      <c r="I1923" s="7"/>
      <c r="J1923" s="7"/>
      <c r="L1923" s="3"/>
      <c r="M1923" s="3"/>
      <c r="N1923" s="3"/>
      <c r="O1923" s="3"/>
      <c r="P1923" s="3"/>
      <c r="Q1923" s="3"/>
      <c r="R1923" s="3"/>
      <c r="S1923" s="3"/>
    </row>
    <row r="1924" spans="3:19" ht="15.75" customHeight="1" x14ac:dyDescent="0.2">
      <c r="C1924" s="214">
        <v>40484</v>
      </c>
      <c r="D1924" s="19">
        <v>0.41666666666666669</v>
      </c>
      <c r="E1924" s="20">
        <v>5</v>
      </c>
      <c r="F1924" s="215">
        <v>8.42</v>
      </c>
      <c r="G1924" s="3">
        <v>76.400000000000006</v>
      </c>
      <c r="H1924" s="20">
        <v>10.9</v>
      </c>
      <c r="I1924" s="7"/>
      <c r="J1924" s="7"/>
      <c r="L1924" s="3"/>
      <c r="M1924" s="3"/>
      <c r="N1924" s="3"/>
      <c r="O1924" s="3"/>
      <c r="P1924" s="3"/>
      <c r="Q1924" s="3"/>
      <c r="R1924" s="3"/>
      <c r="S1924" s="3"/>
    </row>
    <row r="1925" spans="3:19" ht="15.75" customHeight="1" x14ac:dyDescent="0.2">
      <c r="C1925" s="214">
        <v>40484</v>
      </c>
      <c r="D1925" s="19">
        <v>0.41666666666666669</v>
      </c>
      <c r="E1925" s="20">
        <v>6</v>
      </c>
      <c r="F1925" s="215">
        <v>8.4</v>
      </c>
      <c r="G1925" s="3">
        <v>76.2</v>
      </c>
      <c r="H1925" s="20">
        <v>10.9</v>
      </c>
      <c r="I1925" s="7"/>
      <c r="J1925" s="7"/>
      <c r="L1925" s="3"/>
      <c r="M1925" s="3"/>
      <c r="N1925" s="3"/>
      <c r="O1925" s="3"/>
      <c r="P1925" s="3"/>
      <c r="Q1925" s="3"/>
      <c r="R1925" s="3"/>
      <c r="S1925" s="3"/>
    </row>
    <row r="1926" spans="3:19" ht="15.75" customHeight="1" x14ac:dyDescent="0.2">
      <c r="C1926" s="214">
        <v>40484</v>
      </c>
      <c r="D1926" s="19">
        <v>0.41666666666666669</v>
      </c>
      <c r="E1926" s="20">
        <v>7</v>
      </c>
      <c r="F1926" s="215">
        <v>8.4</v>
      </c>
      <c r="G1926" s="3">
        <v>76</v>
      </c>
      <c r="H1926" s="20">
        <v>10.9</v>
      </c>
      <c r="I1926" s="7"/>
      <c r="J1926" s="7"/>
      <c r="L1926" s="3"/>
      <c r="M1926" s="3"/>
      <c r="N1926" s="3"/>
      <c r="O1926" s="3"/>
      <c r="P1926" s="3"/>
      <c r="Q1926" s="3"/>
      <c r="R1926" s="3"/>
      <c r="S1926" s="3"/>
    </row>
    <row r="1927" spans="3:19" ht="15.75" customHeight="1" x14ac:dyDescent="0.2">
      <c r="C1927" s="214">
        <v>40484</v>
      </c>
      <c r="D1927" s="19">
        <v>0.41666666666666669</v>
      </c>
      <c r="E1927" s="20">
        <v>8</v>
      </c>
      <c r="F1927" s="215">
        <v>8.4</v>
      </c>
      <c r="G1927" s="3">
        <v>76.099999999999994</v>
      </c>
      <c r="H1927" s="20">
        <v>10.9</v>
      </c>
      <c r="I1927" s="7"/>
      <c r="J1927" s="7"/>
      <c r="L1927" s="3"/>
      <c r="M1927" s="3"/>
      <c r="N1927" s="3"/>
      <c r="O1927" s="3"/>
      <c r="P1927" s="3"/>
      <c r="Q1927" s="3"/>
      <c r="R1927" s="3"/>
      <c r="S1927" s="3"/>
    </row>
    <row r="1928" spans="3:19" ht="15.75" customHeight="1" x14ac:dyDescent="0.2">
      <c r="C1928" s="214">
        <v>40484</v>
      </c>
      <c r="D1928" s="19">
        <v>0.41666666666666669</v>
      </c>
      <c r="E1928" s="20">
        <v>9</v>
      </c>
      <c r="F1928" s="215">
        <v>8.41</v>
      </c>
      <c r="G1928" s="3">
        <v>76.3</v>
      </c>
      <c r="H1928" s="20">
        <v>10.9</v>
      </c>
      <c r="I1928" s="7"/>
      <c r="J1928" s="7"/>
      <c r="L1928" s="3"/>
      <c r="M1928" s="3"/>
      <c r="N1928" s="3"/>
      <c r="O1928" s="3"/>
      <c r="P1928" s="3"/>
      <c r="Q1928" s="3"/>
      <c r="R1928" s="3"/>
      <c r="S1928" s="3"/>
    </row>
    <row r="1929" spans="3:19" ht="15.75" customHeight="1" x14ac:dyDescent="0.2">
      <c r="C1929" s="214">
        <v>40484</v>
      </c>
      <c r="D1929" s="19">
        <v>0.41666666666666669</v>
      </c>
      <c r="E1929" s="20">
        <v>10</v>
      </c>
      <c r="F1929" s="215">
        <v>8.41</v>
      </c>
      <c r="G1929" s="3">
        <v>76.3</v>
      </c>
      <c r="H1929" s="20">
        <v>10.9</v>
      </c>
      <c r="I1929" s="7"/>
      <c r="J1929" s="7"/>
      <c r="L1929" s="3"/>
      <c r="M1929" s="3"/>
      <c r="N1929" s="3"/>
      <c r="O1929" s="3"/>
      <c r="P1929" s="3"/>
      <c r="Q1929" s="3"/>
      <c r="R1929" s="3"/>
      <c r="S1929" s="3"/>
    </row>
    <row r="1930" spans="3:19" ht="15.75" customHeight="1" x14ac:dyDescent="0.2">
      <c r="C1930" s="214">
        <v>40484</v>
      </c>
      <c r="D1930" s="19">
        <v>0.41666666666666669</v>
      </c>
      <c r="E1930" s="20">
        <v>11</v>
      </c>
      <c r="F1930" s="215">
        <v>8.43</v>
      </c>
      <c r="G1930" s="3">
        <v>76.3</v>
      </c>
      <c r="H1930" s="20">
        <v>10.9</v>
      </c>
      <c r="I1930" s="7"/>
      <c r="J1930" s="7"/>
      <c r="L1930" s="3"/>
      <c r="M1930" s="3"/>
      <c r="N1930" s="3"/>
      <c r="O1930" s="3"/>
      <c r="P1930" s="3"/>
      <c r="Q1930" s="3"/>
      <c r="R1930" s="3"/>
      <c r="S1930" s="3"/>
    </row>
    <row r="1931" spans="3:19" ht="15.75" customHeight="1" x14ac:dyDescent="0.2">
      <c r="C1931" s="214">
        <v>40484</v>
      </c>
      <c r="D1931" s="19">
        <v>0.41666666666666669</v>
      </c>
      <c r="E1931" s="20">
        <v>12</v>
      </c>
      <c r="F1931" s="215">
        <v>8.4</v>
      </c>
      <c r="G1931" s="3">
        <v>76.099999999999994</v>
      </c>
      <c r="H1931" s="20">
        <v>10.9</v>
      </c>
      <c r="I1931" s="7"/>
      <c r="J1931" s="7"/>
      <c r="L1931" s="3"/>
      <c r="M1931" s="3"/>
      <c r="N1931" s="3"/>
      <c r="O1931" s="3"/>
      <c r="P1931" s="3"/>
      <c r="Q1931" s="3"/>
      <c r="R1931" s="3"/>
      <c r="S1931" s="3"/>
    </row>
    <row r="1932" spans="3:19" ht="15.75" customHeight="1" x14ac:dyDescent="0.2">
      <c r="C1932" s="214">
        <v>40484</v>
      </c>
      <c r="D1932" s="19">
        <v>0.41666666666666669</v>
      </c>
      <c r="E1932" s="20">
        <v>13</v>
      </c>
      <c r="F1932" s="215">
        <v>8.4</v>
      </c>
      <c r="G1932" s="3">
        <v>76.099999999999994</v>
      </c>
      <c r="H1932" s="20">
        <v>10.9</v>
      </c>
      <c r="I1932" s="7"/>
      <c r="J1932" s="7"/>
      <c r="L1932" s="3"/>
      <c r="M1932" s="3"/>
      <c r="N1932" s="3"/>
      <c r="O1932" s="3"/>
      <c r="P1932" s="3"/>
      <c r="Q1932" s="3"/>
      <c r="R1932" s="3"/>
      <c r="S1932" s="3"/>
    </row>
    <row r="1933" spans="3:19" ht="15.75" customHeight="1" x14ac:dyDescent="0.2">
      <c r="C1933" s="214">
        <v>40484</v>
      </c>
      <c r="D1933" s="19">
        <v>0.41666666666666669</v>
      </c>
      <c r="E1933" s="20">
        <v>14</v>
      </c>
      <c r="F1933" s="215">
        <v>8.41</v>
      </c>
      <c r="G1933" s="3">
        <v>76.099999999999994</v>
      </c>
      <c r="H1933" s="20">
        <v>10.9</v>
      </c>
      <c r="I1933" s="7"/>
      <c r="J1933" s="7"/>
      <c r="L1933" s="3"/>
      <c r="M1933" s="3"/>
      <c r="N1933" s="3"/>
      <c r="O1933" s="3"/>
      <c r="P1933" s="3"/>
      <c r="Q1933" s="3"/>
      <c r="R1933" s="3"/>
      <c r="S1933" s="3"/>
    </row>
    <row r="1934" spans="3:19" ht="15.75" customHeight="1" x14ac:dyDescent="0.2">
      <c r="C1934" s="214">
        <v>40484</v>
      </c>
      <c r="D1934" s="19">
        <v>0.41666666666666669</v>
      </c>
      <c r="E1934" s="20">
        <v>15</v>
      </c>
      <c r="F1934" s="215">
        <v>8.41</v>
      </c>
      <c r="G1934" s="3">
        <v>76.2</v>
      </c>
      <c r="H1934" s="20">
        <v>10.9</v>
      </c>
      <c r="I1934" s="7"/>
      <c r="J1934" s="7"/>
      <c r="L1934" s="3"/>
      <c r="M1934" s="3"/>
      <c r="N1934" s="3"/>
      <c r="O1934" s="3"/>
      <c r="P1934" s="3"/>
      <c r="Q1934" s="3"/>
      <c r="R1934" s="3"/>
      <c r="S1934" s="3"/>
    </row>
    <row r="1935" spans="3:19" ht="15.75" customHeight="1" x14ac:dyDescent="0.2">
      <c r="C1935" s="214">
        <v>40484</v>
      </c>
      <c r="D1935" s="19">
        <v>0.41666666666666669</v>
      </c>
      <c r="E1935" s="20">
        <v>16</v>
      </c>
      <c r="F1935" s="215">
        <v>8.4</v>
      </c>
      <c r="G1935" s="3">
        <v>76.099999999999994</v>
      </c>
      <c r="H1935" s="20">
        <v>10.9</v>
      </c>
      <c r="I1935" s="7"/>
      <c r="J1935" s="7"/>
      <c r="L1935" s="3"/>
      <c r="M1935" s="3"/>
      <c r="N1935" s="3"/>
      <c r="O1935" s="3"/>
      <c r="P1935" s="3"/>
      <c r="Q1935" s="3"/>
      <c r="R1935" s="3"/>
      <c r="S1935" s="3"/>
    </row>
    <row r="1936" spans="3:19" ht="15.75" customHeight="1" x14ac:dyDescent="0.2">
      <c r="C1936" s="214">
        <v>40484</v>
      </c>
      <c r="D1936" s="19">
        <v>0.41666666666666669</v>
      </c>
      <c r="E1936" s="20">
        <v>17</v>
      </c>
      <c r="F1936" s="215">
        <v>8.39</v>
      </c>
      <c r="G1936" s="3">
        <v>76</v>
      </c>
      <c r="H1936" s="20">
        <v>10.9</v>
      </c>
      <c r="I1936" s="7"/>
      <c r="J1936" s="7"/>
      <c r="L1936" s="3"/>
      <c r="M1936" s="3"/>
      <c r="N1936" s="3"/>
      <c r="O1936" s="3"/>
      <c r="P1936" s="3"/>
      <c r="Q1936" s="3"/>
      <c r="R1936" s="3"/>
      <c r="S1936" s="3"/>
    </row>
    <row r="1937" spans="3:19" ht="15.75" customHeight="1" x14ac:dyDescent="0.2">
      <c r="C1937" s="214">
        <v>40484</v>
      </c>
      <c r="D1937" s="19">
        <v>0.41666666666666669</v>
      </c>
      <c r="E1937" s="20">
        <v>18</v>
      </c>
      <c r="F1937" s="215">
        <v>8.42</v>
      </c>
      <c r="G1937" s="3">
        <v>76.099999999999994</v>
      </c>
      <c r="H1937" s="20">
        <v>10.9</v>
      </c>
      <c r="I1937" s="7"/>
      <c r="J1937" s="7"/>
      <c r="L1937" s="3"/>
      <c r="M1937" s="3"/>
      <c r="N1937" s="3"/>
      <c r="O1937" s="3"/>
      <c r="P1937" s="3"/>
      <c r="Q1937" s="3"/>
      <c r="R1937" s="3"/>
      <c r="S1937" s="3"/>
    </row>
    <row r="1938" spans="3:19" ht="15.75" customHeight="1" x14ac:dyDescent="0.2">
      <c r="C1938" s="214">
        <v>40484</v>
      </c>
      <c r="D1938" s="19">
        <v>0.41666666666666669</v>
      </c>
      <c r="E1938" s="20">
        <v>19</v>
      </c>
      <c r="F1938" s="215">
        <v>8.33</v>
      </c>
      <c r="G1938" s="3">
        <v>75.400000000000006</v>
      </c>
      <c r="H1938" s="20">
        <v>10.6</v>
      </c>
      <c r="I1938" s="7"/>
      <c r="J1938" s="7"/>
      <c r="L1938" s="3"/>
      <c r="M1938" s="3"/>
      <c r="N1938" s="3"/>
      <c r="O1938" s="3"/>
      <c r="P1938" s="3"/>
      <c r="Q1938" s="3"/>
      <c r="R1938" s="3"/>
      <c r="S1938" s="3"/>
    </row>
    <row r="1939" spans="3:19" ht="15.75" customHeight="1" x14ac:dyDescent="0.2">
      <c r="C1939" s="214">
        <v>40484</v>
      </c>
      <c r="D1939" s="19">
        <v>0.41666666666666669</v>
      </c>
      <c r="E1939" s="20">
        <v>20</v>
      </c>
      <c r="F1939" s="215">
        <v>8.19</v>
      </c>
      <c r="G1939" s="3">
        <v>73.400000000000006</v>
      </c>
      <c r="H1939" s="20">
        <v>10</v>
      </c>
      <c r="I1939" s="7"/>
      <c r="J1939" s="7"/>
      <c r="L1939" s="3"/>
      <c r="M1939" s="3"/>
      <c r="N1939" s="3"/>
      <c r="O1939" s="3"/>
      <c r="P1939" s="3"/>
      <c r="Q1939" s="3"/>
      <c r="R1939" s="3"/>
      <c r="S1939" s="3"/>
    </row>
    <row r="1940" spans="3:19" ht="15.75" customHeight="1" x14ac:dyDescent="0.2">
      <c r="C1940" s="214">
        <v>40484</v>
      </c>
      <c r="D1940" s="19">
        <v>0.41666666666666669</v>
      </c>
      <c r="E1940" s="20">
        <v>21</v>
      </c>
      <c r="F1940" s="215">
        <v>8.1300000000000008</v>
      </c>
      <c r="G1940" s="3">
        <v>71.400000000000006</v>
      </c>
      <c r="H1940" s="20">
        <v>9.5</v>
      </c>
      <c r="I1940" s="7"/>
      <c r="J1940" s="7"/>
      <c r="L1940" s="3"/>
      <c r="M1940" s="3"/>
      <c r="N1940" s="3"/>
      <c r="O1940" s="3"/>
      <c r="P1940" s="3"/>
      <c r="Q1940" s="3"/>
      <c r="R1940" s="3"/>
      <c r="S1940" s="3"/>
    </row>
    <row r="1941" spans="3:19" ht="15.75" customHeight="1" x14ac:dyDescent="0.2">
      <c r="C1941" s="214">
        <v>40484</v>
      </c>
      <c r="D1941" s="19">
        <v>0.41666666666666669</v>
      </c>
      <c r="E1941" s="20">
        <v>22</v>
      </c>
      <c r="F1941" s="215">
        <v>8.1</v>
      </c>
      <c r="G1941" s="3">
        <v>70.400000000000006</v>
      </c>
      <c r="H1941" s="20">
        <v>8.9</v>
      </c>
      <c r="I1941" s="7"/>
      <c r="J1941" s="7"/>
      <c r="L1941" s="3"/>
      <c r="M1941" s="3"/>
      <c r="N1941" s="3"/>
      <c r="O1941" s="3"/>
      <c r="P1941" s="3"/>
      <c r="Q1941" s="3"/>
      <c r="R1941" s="3"/>
      <c r="S1941" s="3"/>
    </row>
    <row r="1942" spans="3:19" ht="15.75" customHeight="1" x14ac:dyDescent="0.2">
      <c r="C1942" s="214">
        <v>40484</v>
      </c>
      <c r="D1942" s="19">
        <v>0.41666666666666669</v>
      </c>
      <c r="E1942" s="20">
        <v>23</v>
      </c>
      <c r="F1942" s="215">
        <v>8.07</v>
      </c>
      <c r="G1942" s="3">
        <v>69.400000000000006</v>
      </c>
      <c r="H1942" s="20">
        <v>8.1999999999999993</v>
      </c>
      <c r="I1942" s="7"/>
      <c r="J1942" s="7"/>
      <c r="L1942" s="3"/>
      <c r="M1942" s="3"/>
      <c r="N1942" s="3"/>
      <c r="O1942" s="3"/>
      <c r="P1942" s="3"/>
      <c r="Q1942" s="3"/>
      <c r="R1942" s="3"/>
      <c r="S1942" s="3"/>
    </row>
    <row r="1943" spans="3:19" ht="15.75" customHeight="1" x14ac:dyDescent="0.2">
      <c r="C1943" s="214">
        <v>40484</v>
      </c>
      <c r="D1943" s="19">
        <v>0.41666666666666669</v>
      </c>
      <c r="E1943" s="20">
        <v>24</v>
      </c>
      <c r="F1943" s="215">
        <v>8.07</v>
      </c>
      <c r="G1943" s="3">
        <v>68.3</v>
      </c>
      <c r="H1943" s="20">
        <v>8</v>
      </c>
      <c r="I1943" s="7"/>
      <c r="J1943" s="7"/>
      <c r="L1943" s="3"/>
      <c r="M1943" s="3"/>
      <c r="N1943" s="3"/>
      <c r="O1943" s="3"/>
      <c r="P1943" s="3"/>
      <c r="Q1943" s="3"/>
      <c r="R1943" s="3"/>
      <c r="S1943" s="3"/>
    </row>
    <row r="1944" spans="3:19" ht="15.75" customHeight="1" x14ac:dyDescent="0.2">
      <c r="C1944" s="214">
        <v>40484</v>
      </c>
      <c r="D1944" s="19">
        <v>0.41666666666666669</v>
      </c>
      <c r="E1944" s="20">
        <v>25</v>
      </c>
      <c r="F1944" s="215">
        <v>7.92</v>
      </c>
      <c r="G1944" s="3">
        <v>67.3</v>
      </c>
      <c r="H1944" s="20">
        <v>7.7</v>
      </c>
      <c r="I1944" s="7"/>
      <c r="J1944" s="7"/>
      <c r="L1944" s="3"/>
      <c r="M1944" s="3"/>
      <c r="N1944" s="3"/>
      <c r="O1944" s="3"/>
      <c r="P1944" s="3"/>
      <c r="Q1944" s="3"/>
      <c r="R1944" s="3"/>
      <c r="S1944" s="3"/>
    </row>
    <row r="1945" spans="3:19" ht="15.75" customHeight="1" x14ac:dyDescent="0.2">
      <c r="C1945" s="214"/>
      <c r="D1945" s="3"/>
      <c r="E1945" s="20"/>
      <c r="G1945" s="3"/>
      <c r="H1945" s="20"/>
      <c r="I1945" s="7"/>
      <c r="J1945" s="7"/>
      <c r="L1945" s="3"/>
      <c r="M1945" s="3"/>
      <c r="N1945" s="3"/>
      <c r="O1945" s="3"/>
      <c r="P1945" s="3"/>
      <c r="Q1945" s="3"/>
      <c r="R1945" s="3"/>
      <c r="S1945" s="3"/>
    </row>
    <row r="1946" spans="3:19" ht="15.75" customHeight="1" x14ac:dyDescent="0.2">
      <c r="C1946" s="208">
        <v>39628</v>
      </c>
      <c r="D1946" s="19">
        <v>0.57638888888888895</v>
      </c>
      <c r="E1946" s="3"/>
      <c r="G1946" s="3"/>
      <c r="H1946" s="3"/>
      <c r="I1946" s="7"/>
      <c r="J1946" s="7">
        <v>5.5</v>
      </c>
      <c r="K1946">
        <v>7.5</v>
      </c>
      <c r="L1946" s="3"/>
      <c r="M1946" s="3"/>
      <c r="N1946" s="3"/>
      <c r="O1946" s="3"/>
      <c r="P1946" s="3"/>
      <c r="Q1946" s="3"/>
      <c r="R1946" s="3"/>
      <c r="S1946" s="3"/>
    </row>
    <row r="1947" spans="3:19" ht="15.75" customHeight="1" x14ac:dyDescent="0.2">
      <c r="C1947" s="208">
        <v>39628</v>
      </c>
      <c r="D1947" s="19">
        <v>0.59375</v>
      </c>
      <c r="E1947" s="20">
        <v>0.1</v>
      </c>
      <c r="F1947" s="216">
        <v>9.25</v>
      </c>
      <c r="G1947" s="216">
        <v>101.6</v>
      </c>
      <c r="H1947" s="20" t="s">
        <v>154</v>
      </c>
      <c r="I1947" s="20" t="s">
        <v>154</v>
      </c>
      <c r="J1947" s="20"/>
      <c r="L1947" s="3"/>
      <c r="M1947" s="3"/>
      <c r="N1947" s="3"/>
      <c r="O1947" s="3"/>
      <c r="P1947" s="3"/>
      <c r="Q1947" s="3"/>
      <c r="R1947" s="3"/>
      <c r="S1947" s="3"/>
    </row>
    <row r="1948" spans="3:19" ht="15.75" customHeight="1" x14ac:dyDescent="0.2">
      <c r="C1948" s="208">
        <v>39628</v>
      </c>
      <c r="D1948" s="19">
        <v>0.59375</v>
      </c>
      <c r="E1948" s="20">
        <v>1</v>
      </c>
      <c r="F1948" s="216">
        <v>9.3699999999999992</v>
      </c>
      <c r="G1948" s="216">
        <v>101.5</v>
      </c>
      <c r="H1948" s="20" t="s">
        <v>135</v>
      </c>
      <c r="I1948" s="20" t="s">
        <v>135</v>
      </c>
      <c r="J1948" s="20"/>
      <c r="L1948" s="3"/>
      <c r="M1948" s="3"/>
      <c r="N1948" s="3"/>
      <c r="O1948" s="3"/>
      <c r="P1948" s="3"/>
      <c r="Q1948" s="3"/>
      <c r="R1948" s="3"/>
      <c r="S1948" s="3"/>
    </row>
    <row r="1949" spans="3:19" ht="15.75" customHeight="1" x14ac:dyDescent="0.2">
      <c r="C1949" s="208">
        <v>39628</v>
      </c>
      <c r="D1949" s="19">
        <v>0.59375</v>
      </c>
      <c r="E1949" s="20" t="s">
        <v>132</v>
      </c>
      <c r="F1949" s="216">
        <v>9.57</v>
      </c>
      <c r="G1949" s="190">
        <v>102.1</v>
      </c>
      <c r="H1949" s="20">
        <v>18.5</v>
      </c>
      <c r="I1949" s="20">
        <v>18.5</v>
      </c>
      <c r="J1949" s="20"/>
      <c r="L1949" s="3"/>
      <c r="M1949" s="3"/>
      <c r="N1949" s="3"/>
      <c r="O1949" s="3"/>
      <c r="P1949" s="3"/>
      <c r="Q1949" s="3"/>
      <c r="R1949" s="3"/>
      <c r="S1949" s="3"/>
    </row>
    <row r="1950" spans="3:19" ht="15.75" customHeight="1" x14ac:dyDescent="0.2">
      <c r="C1950" s="208">
        <v>39628</v>
      </c>
      <c r="D1950" s="19">
        <v>0.59375</v>
      </c>
      <c r="E1950" s="20" t="s">
        <v>187</v>
      </c>
      <c r="F1950" s="216">
        <v>9.5299999999999994</v>
      </c>
      <c r="G1950" s="190">
        <v>100.3</v>
      </c>
      <c r="H1950" s="20">
        <v>18.3</v>
      </c>
      <c r="I1950" s="20">
        <v>18.3</v>
      </c>
      <c r="J1950" s="20"/>
      <c r="L1950" s="3"/>
      <c r="M1950" s="3"/>
      <c r="N1950" s="3"/>
      <c r="O1950" s="3"/>
      <c r="P1950" s="3"/>
      <c r="Q1950" s="3"/>
      <c r="R1950" s="3"/>
      <c r="S1950" s="3"/>
    </row>
    <row r="1951" spans="3:19" ht="15.75" customHeight="1" x14ac:dyDescent="0.2">
      <c r="C1951" s="208">
        <v>39628</v>
      </c>
      <c r="D1951" s="19">
        <v>0.59375</v>
      </c>
      <c r="E1951" s="20" t="s">
        <v>188</v>
      </c>
      <c r="F1951" s="216">
        <v>9.65</v>
      </c>
      <c r="G1951" s="190">
        <v>100.3</v>
      </c>
      <c r="H1951" s="20">
        <v>17.600000000000001</v>
      </c>
      <c r="I1951" s="20">
        <v>17.600000000000001</v>
      </c>
      <c r="J1951" s="20"/>
      <c r="L1951" s="3"/>
      <c r="M1951" s="3"/>
      <c r="N1951" s="3"/>
      <c r="O1951" s="3"/>
      <c r="P1951" s="3"/>
      <c r="Q1951" s="3"/>
      <c r="R1951" s="3"/>
      <c r="S1951" s="3"/>
    </row>
    <row r="1952" spans="3:19" ht="15.75" customHeight="1" x14ac:dyDescent="0.2">
      <c r="C1952" s="208">
        <v>39628</v>
      </c>
      <c r="D1952" s="19">
        <v>0.59375</v>
      </c>
      <c r="E1952" s="20" t="s">
        <v>189</v>
      </c>
      <c r="F1952" s="216">
        <v>9.9</v>
      </c>
      <c r="G1952" s="190">
        <v>101.5</v>
      </c>
      <c r="H1952" s="20">
        <v>16.7</v>
      </c>
      <c r="I1952" s="20">
        <v>16.7</v>
      </c>
      <c r="J1952" s="20"/>
      <c r="L1952" s="3"/>
      <c r="M1952" s="3"/>
      <c r="N1952" s="3"/>
      <c r="O1952" s="3"/>
      <c r="P1952" s="3"/>
      <c r="Q1952" s="3"/>
      <c r="R1952" s="3"/>
      <c r="S1952" s="3"/>
    </row>
    <row r="1953" spans="3:19" ht="15.75" customHeight="1" x14ac:dyDescent="0.2">
      <c r="C1953" s="208">
        <v>39628</v>
      </c>
      <c r="D1953" s="19">
        <v>0.59375</v>
      </c>
      <c r="E1953" s="20" t="s">
        <v>190</v>
      </c>
      <c r="F1953" s="216">
        <v>9.8699999999999992</v>
      </c>
      <c r="G1953" s="190">
        <v>101.3</v>
      </c>
      <c r="H1953" s="20">
        <v>16.5</v>
      </c>
      <c r="I1953" s="20">
        <v>16.5</v>
      </c>
      <c r="J1953" s="20"/>
      <c r="L1953" s="3"/>
      <c r="M1953" s="3"/>
      <c r="N1953" s="3"/>
      <c r="O1953" s="3"/>
      <c r="P1953" s="3"/>
      <c r="Q1953" s="3"/>
      <c r="R1953" s="3"/>
      <c r="S1953" s="3"/>
    </row>
    <row r="1954" spans="3:19" ht="15.75" customHeight="1" x14ac:dyDescent="0.2">
      <c r="C1954" s="208">
        <v>39628</v>
      </c>
      <c r="D1954" s="19">
        <v>0.59375</v>
      </c>
      <c r="E1954" s="20" t="s">
        <v>192</v>
      </c>
      <c r="F1954" s="216">
        <v>9.9499999999999993</v>
      </c>
      <c r="G1954" s="190">
        <v>99.5</v>
      </c>
      <c r="H1954" s="20">
        <v>15.8</v>
      </c>
      <c r="I1954" s="20">
        <v>15.8</v>
      </c>
      <c r="J1954" s="20"/>
      <c r="L1954" s="3"/>
      <c r="M1954" s="3"/>
      <c r="N1954" s="3"/>
      <c r="O1954" s="3"/>
      <c r="P1954" s="3"/>
      <c r="Q1954" s="3"/>
      <c r="R1954" s="3"/>
      <c r="S1954" s="3"/>
    </row>
    <row r="1955" spans="3:19" ht="15.75" customHeight="1" x14ac:dyDescent="0.2">
      <c r="C1955" s="208">
        <v>39628</v>
      </c>
      <c r="D1955" s="19">
        <v>0.59375</v>
      </c>
      <c r="E1955" s="20" t="s">
        <v>194</v>
      </c>
      <c r="F1955" s="216">
        <v>9.76</v>
      </c>
      <c r="G1955" s="216">
        <v>98.2</v>
      </c>
      <c r="H1955" s="20">
        <v>15.3</v>
      </c>
      <c r="I1955" s="20">
        <v>15.3</v>
      </c>
      <c r="J1955" s="20"/>
      <c r="L1955" s="3"/>
      <c r="M1955" s="3"/>
      <c r="N1955" s="3"/>
      <c r="O1955" s="3"/>
      <c r="P1955" s="3"/>
      <c r="Q1955" s="3"/>
      <c r="R1955" s="3"/>
      <c r="S1955" s="3"/>
    </row>
    <row r="1956" spans="3:19" ht="15.75" customHeight="1" x14ac:dyDescent="0.2">
      <c r="C1956" s="208">
        <v>39628</v>
      </c>
      <c r="D1956" s="19">
        <v>0.59375</v>
      </c>
      <c r="E1956" s="20" t="s">
        <v>196</v>
      </c>
      <c r="F1956" s="216">
        <v>10.24</v>
      </c>
      <c r="G1956" s="216">
        <v>98.2</v>
      </c>
      <c r="H1956" s="20">
        <v>13.2</v>
      </c>
      <c r="I1956" s="17">
        <f>AVERAGE(I1949:I1955)</f>
        <v>16.957142857142856</v>
      </c>
      <c r="J1956" s="17"/>
      <c r="L1956" s="3"/>
      <c r="M1956" s="3"/>
      <c r="N1956" s="3"/>
      <c r="O1956" s="3"/>
      <c r="P1956" s="3"/>
      <c r="Q1956" s="3"/>
      <c r="R1956" s="3"/>
      <c r="S1956" s="3"/>
    </row>
    <row r="1957" spans="3:19" ht="15.75" customHeight="1" x14ac:dyDescent="0.2">
      <c r="C1957" s="208">
        <v>39628</v>
      </c>
      <c r="D1957" s="19">
        <v>0.59375</v>
      </c>
      <c r="E1957" s="20" t="s">
        <v>186</v>
      </c>
      <c r="F1957" s="216">
        <v>10.74</v>
      </c>
      <c r="G1957" s="216">
        <v>95.3</v>
      </c>
      <c r="H1957" s="20">
        <v>11.3</v>
      </c>
      <c r="I1957" s="7"/>
      <c r="J1957" s="7"/>
      <c r="L1957" s="3"/>
      <c r="M1957" s="3"/>
      <c r="N1957" s="3"/>
      <c r="O1957" s="3"/>
      <c r="P1957" s="3"/>
      <c r="Q1957" s="3"/>
      <c r="R1957" s="3"/>
      <c r="S1957" s="3"/>
    </row>
    <row r="1958" spans="3:19" ht="15.75" customHeight="1" x14ac:dyDescent="0.2">
      <c r="C1958" s="208">
        <v>39628</v>
      </c>
      <c r="D1958" s="19">
        <v>0.59375</v>
      </c>
      <c r="E1958" s="20" t="s">
        <v>182</v>
      </c>
      <c r="F1958" s="216">
        <v>10.85</v>
      </c>
      <c r="G1958" s="216">
        <v>94.1</v>
      </c>
      <c r="H1958" s="20">
        <v>8.9</v>
      </c>
      <c r="I1958" s="7"/>
      <c r="J1958" s="7"/>
      <c r="L1958" s="3"/>
      <c r="M1958" s="3"/>
      <c r="N1958" s="3"/>
      <c r="O1958" s="3"/>
      <c r="P1958" s="3"/>
      <c r="Q1958" s="3"/>
      <c r="R1958" s="3"/>
      <c r="S1958" s="3"/>
    </row>
    <row r="1959" spans="3:19" ht="15.75" customHeight="1" x14ac:dyDescent="0.2">
      <c r="C1959" s="208">
        <v>39628</v>
      </c>
      <c r="D1959" s="19">
        <v>0.59375</v>
      </c>
      <c r="E1959" s="20" t="s">
        <v>117</v>
      </c>
      <c r="F1959" s="216">
        <v>11.13</v>
      </c>
      <c r="G1959" s="190">
        <v>93.4</v>
      </c>
      <c r="H1959" s="20">
        <v>8</v>
      </c>
      <c r="I1959" s="7"/>
      <c r="J1959" s="7"/>
      <c r="L1959" s="3"/>
      <c r="M1959" s="3"/>
      <c r="N1959" s="3"/>
      <c r="O1959" s="3"/>
      <c r="P1959" s="3"/>
      <c r="Q1959" s="3"/>
      <c r="R1959" s="3"/>
      <c r="S1959" s="3"/>
    </row>
    <row r="1960" spans="3:19" ht="15.75" customHeight="1" x14ac:dyDescent="0.2">
      <c r="C1960" s="208">
        <v>39628</v>
      </c>
      <c r="D1960" s="19">
        <v>0.59375</v>
      </c>
      <c r="E1960" s="20" t="s">
        <v>200</v>
      </c>
      <c r="F1960" s="216">
        <v>11.11</v>
      </c>
      <c r="G1960" s="190">
        <v>92.8</v>
      </c>
      <c r="H1960" s="20">
        <v>7.6</v>
      </c>
      <c r="I1960" s="7"/>
      <c r="J1960" s="7"/>
      <c r="L1960" s="3"/>
      <c r="M1960" s="3"/>
      <c r="N1960" s="3"/>
      <c r="O1960" s="3"/>
      <c r="P1960" s="3"/>
      <c r="Q1960" s="3"/>
      <c r="R1960" s="3"/>
      <c r="S1960" s="3"/>
    </row>
    <row r="1961" spans="3:19" ht="15.75" customHeight="1" x14ac:dyDescent="0.2">
      <c r="C1961" s="208">
        <v>39628</v>
      </c>
      <c r="D1961" s="19">
        <v>0.59375</v>
      </c>
      <c r="E1961" s="20" t="s">
        <v>202</v>
      </c>
      <c r="F1961" s="216">
        <v>11.29</v>
      </c>
      <c r="G1961" s="190">
        <v>93.4</v>
      </c>
      <c r="H1961" s="20">
        <v>7.2</v>
      </c>
      <c r="I1961" s="7"/>
      <c r="J1961" s="7"/>
      <c r="L1961" s="3"/>
      <c r="M1961" s="3"/>
      <c r="N1961" s="3"/>
      <c r="O1961" s="3"/>
      <c r="P1961" s="3"/>
      <c r="Q1961" s="3"/>
      <c r="R1961" s="3"/>
      <c r="S1961" s="3"/>
    </row>
    <row r="1962" spans="3:19" ht="15.75" customHeight="1" x14ac:dyDescent="0.2">
      <c r="C1962" s="208">
        <v>39628</v>
      </c>
      <c r="D1962" s="19">
        <v>0.59375</v>
      </c>
      <c r="E1962" s="20" t="s">
        <v>204</v>
      </c>
      <c r="F1962" s="216">
        <v>11.33</v>
      </c>
      <c r="G1962" s="190">
        <v>93.2</v>
      </c>
      <c r="H1962" s="20">
        <v>6.8</v>
      </c>
      <c r="I1962" s="7"/>
      <c r="J1962" s="7"/>
      <c r="L1962" s="3"/>
      <c r="M1962" s="3"/>
      <c r="N1962" s="3"/>
      <c r="O1962" s="3"/>
      <c r="P1962" s="3"/>
      <c r="Q1962" s="3"/>
      <c r="R1962" s="3"/>
      <c r="S1962" s="3"/>
    </row>
    <row r="1963" spans="3:19" ht="15.75" customHeight="1" x14ac:dyDescent="0.2">
      <c r="C1963" s="208">
        <v>39628</v>
      </c>
      <c r="D1963" s="19">
        <v>0.59375</v>
      </c>
      <c r="E1963" s="20" t="s">
        <v>181</v>
      </c>
      <c r="F1963" s="216">
        <v>11.27</v>
      </c>
      <c r="G1963" s="190">
        <v>90.9</v>
      </c>
      <c r="H1963" s="20">
        <v>6.4</v>
      </c>
      <c r="I1963" s="7"/>
      <c r="J1963" s="7"/>
      <c r="L1963" s="3"/>
      <c r="M1963" s="3"/>
      <c r="N1963" s="3"/>
      <c r="O1963" s="3"/>
      <c r="P1963" s="3"/>
      <c r="Q1963" s="3"/>
      <c r="R1963" s="3"/>
      <c r="S1963" s="3"/>
    </row>
    <row r="1964" spans="3:19" ht="15.75" customHeight="1" x14ac:dyDescent="0.2">
      <c r="C1964" s="208">
        <v>39628</v>
      </c>
      <c r="D1964" s="19">
        <v>0.59375</v>
      </c>
      <c r="E1964" s="20" t="s">
        <v>207</v>
      </c>
      <c r="F1964" s="216">
        <v>11.17</v>
      </c>
      <c r="G1964" s="190">
        <v>90.1</v>
      </c>
      <c r="H1964" s="20">
        <v>6.2</v>
      </c>
      <c r="I1964" s="7"/>
      <c r="J1964" s="7"/>
      <c r="L1964" s="3"/>
      <c r="M1964" s="3"/>
      <c r="N1964" s="3"/>
      <c r="O1964" s="3"/>
      <c r="P1964" s="3"/>
      <c r="Q1964" s="3"/>
      <c r="R1964" s="3"/>
      <c r="S1964" s="3"/>
    </row>
    <row r="1965" spans="3:19" ht="15.75" customHeight="1" x14ac:dyDescent="0.2">
      <c r="C1965" s="208">
        <v>39628</v>
      </c>
      <c r="D1965" s="19">
        <v>0.59375</v>
      </c>
      <c r="E1965" s="20" t="s">
        <v>209</v>
      </c>
      <c r="F1965" s="216">
        <v>11.2</v>
      </c>
      <c r="G1965" s="190">
        <v>90.2</v>
      </c>
      <c r="H1965" s="20">
        <v>6.1</v>
      </c>
      <c r="I1965" s="3"/>
      <c r="L1965" s="3"/>
      <c r="M1965" s="3"/>
      <c r="N1965" s="3"/>
      <c r="O1965" s="3"/>
      <c r="P1965" s="3"/>
      <c r="Q1965" s="3"/>
      <c r="R1965" s="3"/>
      <c r="S1965" s="3"/>
    </row>
    <row r="1966" spans="3:19" ht="15.75" customHeight="1" x14ac:dyDescent="0.2">
      <c r="C1966" s="208">
        <v>39628</v>
      </c>
      <c r="D1966" s="19">
        <v>0.59375</v>
      </c>
      <c r="E1966" s="20" t="s">
        <v>210</v>
      </c>
      <c r="F1966" s="216">
        <v>11.22</v>
      </c>
      <c r="G1966" s="190">
        <v>90.1</v>
      </c>
      <c r="H1966" s="20">
        <v>6</v>
      </c>
      <c r="I1966" s="3"/>
      <c r="L1966" s="3"/>
      <c r="M1966" s="3"/>
      <c r="N1966" s="3"/>
      <c r="O1966" s="3"/>
      <c r="P1966" s="3"/>
      <c r="Q1966" s="3"/>
      <c r="R1966" s="3"/>
      <c r="S1966" s="3"/>
    </row>
    <row r="1967" spans="3:19" ht="15.75" customHeight="1" x14ac:dyDescent="0.2">
      <c r="C1967" s="208">
        <v>39628</v>
      </c>
      <c r="D1967" s="19">
        <v>0.59375</v>
      </c>
      <c r="E1967" s="20" t="s">
        <v>212</v>
      </c>
      <c r="F1967" s="216">
        <v>11.26</v>
      </c>
      <c r="G1967" s="190">
        <v>90.4</v>
      </c>
      <c r="H1967" s="20">
        <v>6</v>
      </c>
      <c r="I1967" s="3"/>
      <c r="L1967" s="3"/>
      <c r="M1967" s="3"/>
      <c r="N1967" s="3"/>
      <c r="O1967" s="3"/>
      <c r="P1967" s="3"/>
      <c r="Q1967" s="3"/>
      <c r="R1967" s="3"/>
      <c r="S1967" s="3"/>
    </row>
    <row r="1968" spans="3:19" ht="15.75" customHeight="1" x14ac:dyDescent="0.2">
      <c r="C1968" s="208">
        <v>39628</v>
      </c>
      <c r="D1968" s="19">
        <v>0.59375</v>
      </c>
      <c r="E1968" s="20" t="s">
        <v>214</v>
      </c>
      <c r="F1968" s="216">
        <v>11.3</v>
      </c>
      <c r="G1968" s="190">
        <v>90.5</v>
      </c>
      <c r="H1968" s="20">
        <v>5.9</v>
      </c>
      <c r="I1968" s="3"/>
      <c r="L1968" s="3"/>
      <c r="M1968" s="3"/>
      <c r="N1968" s="3"/>
      <c r="O1968" s="3"/>
      <c r="P1968" s="3"/>
      <c r="Q1968" s="3"/>
      <c r="R1968" s="3"/>
      <c r="S1968" s="3"/>
    </row>
    <row r="1969" spans="3:19" ht="15.75" customHeight="1" x14ac:dyDescent="0.2">
      <c r="C1969" s="208">
        <v>39628</v>
      </c>
      <c r="D1969" s="19">
        <v>0.59375</v>
      </c>
      <c r="E1969" s="20" t="s">
        <v>216</v>
      </c>
      <c r="F1969" s="216">
        <v>11.35</v>
      </c>
      <c r="G1969" s="190">
        <v>90.4</v>
      </c>
      <c r="H1969" s="20">
        <v>5.8</v>
      </c>
      <c r="I1969" s="3"/>
      <c r="L1969" s="3"/>
      <c r="M1969" s="3"/>
      <c r="N1969" s="3"/>
      <c r="O1969" s="3"/>
      <c r="P1969" s="3"/>
      <c r="Q1969" s="3"/>
      <c r="R1969" s="3"/>
      <c r="S1969" s="3"/>
    </row>
    <row r="1970" spans="3:19" ht="15.75" customHeight="1" x14ac:dyDescent="0.2">
      <c r="C1970" s="208">
        <v>39628</v>
      </c>
      <c r="D1970" s="19">
        <v>0.59375</v>
      </c>
      <c r="E1970" s="20" t="s">
        <v>218</v>
      </c>
      <c r="F1970" s="216">
        <v>11.35</v>
      </c>
      <c r="G1970" s="190">
        <v>90.4</v>
      </c>
      <c r="H1970" s="20">
        <v>5.6</v>
      </c>
      <c r="I1970" s="3"/>
      <c r="L1970" s="3"/>
      <c r="M1970" s="3"/>
      <c r="N1970" s="3"/>
      <c r="O1970" s="3"/>
      <c r="P1970" s="3"/>
      <c r="Q1970" s="3"/>
      <c r="R1970" s="3"/>
      <c r="S1970" s="3"/>
    </row>
    <row r="1971" spans="3:19" ht="15.75" customHeight="1" x14ac:dyDescent="0.2">
      <c r="C1971" s="208">
        <v>39628</v>
      </c>
      <c r="D1971" s="19">
        <v>0.59375</v>
      </c>
      <c r="E1971" s="20" t="s">
        <v>220</v>
      </c>
      <c r="F1971" s="216">
        <v>11.38</v>
      </c>
      <c r="G1971" s="216">
        <v>90.1</v>
      </c>
      <c r="H1971" s="20">
        <v>5.6</v>
      </c>
      <c r="I1971" s="3"/>
      <c r="L1971" s="3"/>
      <c r="M1971" s="3"/>
      <c r="N1971" s="3"/>
      <c r="O1971" s="3"/>
      <c r="P1971" s="3"/>
      <c r="Q1971" s="3"/>
      <c r="R1971" s="3"/>
      <c r="S1971" s="3"/>
    </row>
    <row r="1972" spans="3:19" ht="15.75" customHeight="1" x14ac:dyDescent="0.2">
      <c r="C1972" s="208">
        <v>39628</v>
      </c>
      <c r="D1972" s="19">
        <v>0.59375</v>
      </c>
      <c r="E1972" s="20" t="s">
        <v>221</v>
      </c>
      <c r="F1972" s="216">
        <v>11.55</v>
      </c>
      <c r="G1972" s="216">
        <v>90.1</v>
      </c>
      <c r="H1972" s="20">
        <v>5.5</v>
      </c>
      <c r="I1972" s="3"/>
      <c r="L1972" s="3"/>
      <c r="M1972" s="3"/>
      <c r="N1972" s="3"/>
      <c r="O1972" s="3"/>
      <c r="P1972" s="3"/>
      <c r="Q1972" s="3"/>
      <c r="R1972" s="3"/>
      <c r="S1972" s="3"/>
    </row>
    <row r="1973" spans="3:19" ht="15.75" customHeight="1" x14ac:dyDescent="0.2">
      <c r="C1973" s="208"/>
      <c r="D1973" s="19"/>
      <c r="E1973" s="20"/>
      <c r="H1973" s="20"/>
      <c r="I1973" s="17"/>
      <c r="J1973" s="17"/>
      <c r="L1973" s="3"/>
      <c r="M1973" s="3"/>
      <c r="N1973" s="3"/>
      <c r="O1973" s="3"/>
      <c r="P1973" s="3"/>
      <c r="Q1973" s="3"/>
      <c r="R1973" s="3"/>
      <c r="S1973" s="3"/>
    </row>
    <row r="1974" spans="3:19" ht="15.75" customHeight="1" x14ac:dyDescent="0.2">
      <c r="C1974" s="208"/>
      <c r="D1974" s="19"/>
      <c r="E1974" s="20"/>
      <c r="H1974" s="20"/>
      <c r="I1974" s="7"/>
      <c r="J1974" s="7"/>
      <c r="L1974" s="3"/>
      <c r="M1974" s="3"/>
      <c r="N1974" s="3"/>
      <c r="O1974" s="3"/>
      <c r="P1974" s="3"/>
      <c r="Q1974" s="3"/>
      <c r="R1974" s="3"/>
      <c r="S1974" s="3"/>
    </row>
    <row r="1975" spans="3:19" ht="15.75" customHeight="1" x14ac:dyDescent="0.2">
      <c r="C1975" s="208">
        <v>39663</v>
      </c>
      <c r="D1975" s="19">
        <v>0.56944444444444442</v>
      </c>
      <c r="E1975" s="20"/>
      <c r="H1975" s="20"/>
      <c r="I1975" s="7"/>
      <c r="J1975" s="7">
        <v>9</v>
      </c>
      <c r="K1975">
        <v>11</v>
      </c>
      <c r="L1975" s="3"/>
      <c r="M1975" s="3"/>
      <c r="N1975" s="3"/>
      <c r="O1975" s="3"/>
      <c r="P1975" s="3"/>
      <c r="Q1975" s="3"/>
      <c r="R1975" s="3"/>
      <c r="S1975" s="3"/>
    </row>
    <row r="1976" spans="3:19" ht="15.75" customHeight="1" x14ac:dyDescent="0.2">
      <c r="C1976" s="208">
        <v>39663</v>
      </c>
      <c r="D1976" s="19">
        <v>0.59375</v>
      </c>
      <c r="E1976" s="20" t="s">
        <v>105</v>
      </c>
      <c r="F1976" s="3">
        <v>7.54</v>
      </c>
      <c r="G1976" s="3">
        <v>84.5</v>
      </c>
      <c r="H1976" s="7">
        <v>20.5</v>
      </c>
      <c r="I1976" s="7">
        <v>20.5</v>
      </c>
      <c r="J1976" s="7"/>
      <c r="L1976" s="3"/>
      <c r="M1976" s="3"/>
      <c r="N1976" s="3"/>
      <c r="O1976" s="3"/>
      <c r="P1976" s="3"/>
      <c r="Q1976" s="3"/>
      <c r="R1976" s="3"/>
      <c r="S1976" s="3"/>
    </row>
    <row r="1977" spans="3:19" ht="15.75" customHeight="1" x14ac:dyDescent="0.2">
      <c r="C1977" s="208">
        <v>39663</v>
      </c>
      <c r="D1977" s="19">
        <v>0.59375</v>
      </c>
      <c r="E1977" s="20" t="s">
        <v>107</v>
      </c>
      <c r="F1977" s="3">
        <v>7.66</v>
      </c>
      <c r="G1977" s="3">
        <v>84.5</v>
      </c>
      <c r="H1977" s="7">
        <v>20.399999999999999</v>
      </c>
      <c r="I1977" s="7">
        <v>20.399999999999999</v>
      </c>
      <c r="J1977" s="7"/>
      <c r="L1977" s="3"/>
      <c r="M1977" s="3"/>
      <c r="N1977" s="3"/>
      <c r="O1977" s="3"/>
      <c r="P1977" s="3"/>
      <c r="Q1977" s="3"/>
      <c r="R1977" s="3"/>
      <c r="S1977" s="3"/>
    </row>
    <row r="1978" spans="3:19" ht="15.75" customHeight="1" x14ac:dyDescent="0.2">
      <c r="C1978" s="208">
        <v>39663</v>
      </c>
      <c r="D1978" s="19">
        <v>0.59375</v>
      </c>
      <c r="E1978" s="20" t="s">
        <v>132</v>
      </c>
      <c r="F1978" s="3">
        <v>7.61</v>
      </c>
      <c r="G1978" s="3">
        <v>84.7</v>
      </c>
      <c r="H1978" s="7">
        <v>20.3</v>
      </c>
      <c r="I1978" s="7">
        <v>20.3</v>
      </c>
      <c r="J1978" s="7"/>
      <c r="L1978" s="3"/>
      <c r="M1978" s="3"/>
      <c r="N1978" s="3"/>
      <c r="O1978" s="3"/>
      <c r="P1978" s="3"/>
      <c r="Q1978" s="3"/>
      <c r="R1978" s="3"/>
      <c r="S1978" s="3"/>
    </row>
    <row r="1979" spans="3:19" ht="15.75" customHeight="1" x14ac:dyDescent="0.2">
      <c r="C1979" s="208">
        <v>39663</v>
      </c>
      <c r="D1979" s="19">
        <v>0.59375</v>
      </c>
      <c r="E1979" s="20" t="s">
        <v>187</v>
      </c>
      <c r="F1979" s="3">
        <v>7.61</v>
      </c>
      <c r="G1979" s="3">
        <v>84.6</v>
      </c>
      <c r="H1979" s="7">
        <v>20.3</v>
      </c>
      <c r="I1979" s="7">
        <v>20.3</v>
      </c>
      <c r="J1979" s="7"/>
      <c r="L1979" s="3"/>
      <c r="M1979" s="3"/>
      <c r="N1979" s="3"/>
      <c r="O1979" s="3"/>
      <c r="P1979" s="3"/>
      <c r="Q1979" s="3"/>
      <c r="R1979" s="3"/>
      <c r="S1979" s="3"/>
    </row>
    <row r="1980" spans="3:19" ht="15.75" customHeight="1" x14ac:dyDescent="0.2">
      <c r="C1980" s="208">
        <v>39663</v>
      </c>
      <c r="D1980" s="19">
        <v>0.59375</v>
      </c>
      <c r="E1980" s="20" t="s">
        <v>188</v>
      </c>
      <c r="F1980" s="3">
        <v>7.62</v>
      </c>
      <c r="G1980" s="3">
        <v>84.1</v>
      </c>
      <c r="H1980" s="7">
        <v>20.2</v>
      </c>
      <c r="I1980" s="7">
        <v>20.2</v>
      </c>
      <c r="J1980" s="7"/>
      <c r="L1980" s="3"/>
      <c r="M1980" s="3"/>
      <c r="N1980" s="3"/>
      <c r="O1980" s="3"/>
      <c r="P1980" s="3"/>
      <c r="Q1980" s="3"/>
      <c r="R1980" s="3"/>
      <c r="S1980" s="3"/>
    </row>
    <row r="1981" spans="3:19" ht="15.75" customHeight="1" x14ac:dyDescent="0.2">
      <c r="C1981" s="208">
        <v>39663</v>
      </c>
      <c r="D1981" s="19">
        <v>0.59375</v>
      </c>
      <c r="E1981" s="20" t="s">
        <v>189</v>
      </c>
      <c r="F1981" s="3">
        <v>7.68</v>
      </c>
      <c r="G1981" s="3">
        <v>85.1</v>
      </c>
      <c r="H1981" s="7">
        <v>20.100000000000001</v>
      </c>
      <c r="I1981" s="7">
        <v>20.100000000000001</v>
      </c>
      <c r="J1981" s="7"/>
      <c r="L1981" s="3"/>
      <c r="M1981" s="3"/>
      <c r="N1981" s="3"/>
      <c r="O1981" s="3"/>
      <c r="P1981" s="3"/>
      <c r="Q1981" s="3"/>
      <c r="R1981" s="3"/>
      <c r="S1981" s="3"/>
    </row>
    <row r="1982" spans="3:19" ht="15.75" customHeight="1" x14ac:dyDescent="0.2">
      <c r="C1982" s="208">
        <v>39663</v>
      </c>
      <c r="D1982" s="19">
        <v>0.59375</v>
      </c>
      <c r="E1982" s="20" t="s">
        <v>190</v>
      </c>
      <c r="F1982" s="3">
        <v>7.75</v>
      </c>
      <c r="G1982" s="3">
        <v>84.6</v>
      </c>
      <c r="H1982" s="7">
        <v>20</v>
      </c>
      <c r="I1982" s="7">
        <v>20</v>
      </c>
      <c r="J1982" s="7"/>
      <c r="L1982" s="3"/>
      <c r="M1982" s="3"/>
      <c r="N1982" s="3"/>
      <c r="O1982" s="3"/>
      <c r="P1982" s="3"/>
      <c r="Q1982" s="3"/>
      <c r="R1982" s="3"/>
      <c r="S1982" s="3"/>
    </row>
    <row r="1983" spans="3:19" ht="15.75" customHeight="1" x14ac:dyDescent="0.2">
      <c r="C1983" s="208">
        <v>39663</v>
      </c>
      <c r="D1983" s="19">
        <v>0.59375</v>
      </c>
      <c r="E1983" s="20" t="s">
        <v>192</v>
      </c>
      <c r="F1983" s="3">
        <v>7.7</v>
      </c>
      <c r="G1983" s="3">
        <v>84.4</v>
      </c>
      <c r="H1983" s="7">
        <v>20.6</v>
      </c>
      <c r="I1983" s="7">
        <v>20.6</v>
      </c>
      <c r="J1983" s="7"/>
      <c r="L1983" s="3"/>
      <c r="M1983" s="3"/>
      <c r="N1983" s="3"/>
      <c r="O1983" s="3"/>
      <c r="P1983" s="3"/>
      <c r="Q1983" s="3"/>
      <c r="R1983" s="3"/>
      <c r="S1983" s="3"/>
    </row>
    <row r="1984" spans="3:19" ht="15.75" customHeight="1" x14ac:dyDescent="0.2">
      <c r="C1984" s="208">
        <v>39663</v>
      </c>
      <c r="D1984" s="19">
        <v>0.59375</v>
      </c>
      <c r="E1984" s="20" t="s">
        <v>194</v>
      </c>
      <c r="F1984" s="3">
        <v>7.7</v>
      </c>
      <c r="G1984" s="3">
        <v>84</v>
      </c>
      <c r="H1984" s="7">
        <v>20</v>
      </c>
      <c r="I1984" s="7">
        <v>20</v>
      </c>
      <c r="J1984" s="7"/>
      <c r="L1984" s="3"/>
      <c r="M1984" s="3"/>
      <c r="N1984" s="3"/>
      <c r="O1984" s="3"/>
      <c r="P1984" s="3"/>
      <c r="Q1984" s="3"/>
      <c r="R1984" s="3"/>
      <c r="S1984" s="3"/>
    </row>
    <row r="1985" spans="3:19" ht="15.75" customHeight="1" x14ac:dyDescent="0.2">
      <c r="C1985" s="208">
        <v>39663</v>
      </c>
      <c r="D1985" s="19">
        <v>0.59375</v>
      </c>
      <c r="E1985" s="20" t="s">
        <v>196</v>
      </c>
      <c r="F1985" s="3">
        <v>7.91</v>
      </c>
      <c r="G1985" s="3">
        <v>85.2</v>
      </c>
      <c r="H1985" s="3">
        <v>18.899999999999999</v>
      </c>
      <c r="I1985" s="17">
        <f>AVERAGE(I1976:I1984)</f>
        <v>20.266666666666666</v>
      </c>
      <c r="J1985" s="17"/>
      <c r="L1985" s="3"/>
      <c r="M1985" s="3"/>
      <c r="N1985" s="3"/>
      <c r="O1985" s="3"/>
      <c r="P1985" s="3"/>
      <c r="Q1985" s="3"/>
      <c r="R1985" s="3"/>
      <c r="S1985" s="3"/>
    </row>
    <row r="1986" spans="3:19" ht="15.75" customHeight="1" x14ac:dyDescent="0.2">
      <c r="C1986" s="208">
        <v>39663</v>
      </c>
      <c r="D1986" s="19">
        <v>0.59375</v>
      </c>
      <c r="E1986" s="20" t="s">
        <v>186</v>
      </c>
      <c r="F1986" s="3">
        <v>10.16</v>
      </c>
      <c r="G1986" s="3">
        <v>98.1</v>
      </c>
      <c r="H1986" s="3">
        <v>14.4</v>
      </c>
      <c r="I1986" s="17"/>
      <c r="J1986" s="17"/>
      <c r="L1986" s="3"/>
      <c r="M1986" s="3"/>
      <c r="N1986" s="3"/>
      <c r="O1986" s="3"/>
      <c r="P1986" s="3"/>
      <c r="Q1986" s="3"/>
      <c r="R1986" s="3"/>
      <c r="S1986" s="3"/>
    </row>
    <row r="1987" spans="3:19" ht="15.75" customHeight="1" x14ac:dyDescent="0.2">
      <c r="C1987" s="208">
        <v>39663</v>
      </c>
      <c r="D1987" s="19">
        <v>0.59375</v>
      </c>
      <c r="E1987" s="20" t="s">
        <v>182</v>
      </c>
      <c r="F1987" s="3">
        <v>10.050000000000001</v>
      </c>
      <c r="G1987" s="3">
        <v>99.6</v>
      </c>
      <c r="H1987" s="20" t="s">
        <v>245</v>
      </c>
      <c r="I1987" s="7"/>
      <c r="J1987" s="7"/>
      <c r="L1987" s="3"/>
      <c r="M1987" s="3"/>
      <c r="N1987" s="3"/>
      <c r="O1987" s="3"/>
      <c r="P1987" s="3"/>
      <c r="Q1987" s="3"/>
      <c r="R1987" s="3"/>
      <c r="S1987" s="3"/>
    </row>
    <row r="1988" spans="3:19" ht="15.75" customHeight="1" x14ac:dyDescent="0.2">
      <c r="C1988" s="208">
        <v>39663</v>
      </c>
      <c r="D1988" s="19">
        <v>0.59375</v>
      </c>
      <c r="E1988" s="20" t="s">
        <v>117</v>
      </c>
      <c r="F1988" s="3">
        <v>10.17</v>
      </c>
      <c r="G1988" s="3">
        <v>96</v>
      </c>
      <c r="H1988" s="20" t="s">
        <v>226</v>
      </c>
      <c r="I1988" s="7"/>
      <c r="J1988" s="7"/>
      <c r="L1988" s="3"/>
      <c r="M1988" s="3"/>
      <c r="N1988" s="3"/>
      <c r="O1988" s="3"/>
      <c r="P1988" s="3"/>
      <c r="Q1988" s="3"/>
      <c r="R1988" s="3"/>
      <c r="S1988" s="3"/>
    </row>
    <row r="1989" spans="3:19" ht="15.75" customHeight="1" x14ac:dyDescent="0.2">
      <c r="C1989" s="208">
        <v>39663</v>
      </c>
      <c r="D1989" s="19">
        <v>0.59375</v>
      </c>
      <c r="E1989" s="20" t="s">
        <v>200</v>
      </c>
      <c r="F1989" s="3">
        <v>11.05</v>
      </c>
      <c r="G1989" s="3">
        <v>95</v>
      </c>
      <c r="H1989" s="20" t="s">
        <v>238</v>
      </c>
      <c r="I1989" s="7"/>
      <c r="J1989" s="7"/>
      <c r="L1989" s="3"/>
      <c r="M1989" s="3"/>
      <c r="N1989" s="3"/>
      <c r="O1989" s="3"/>
      <c r="P1989" s="3"/>
      <c r="Q1989" s="3"/>
      <c r="R1989" s="3"/>
      <c r="S1989" s="3"/>
    </row>
    <row r="1990" spans="3:19" ht="15.75" customHeight="1" x14ac:dyDescent="0.2">
      <c r="C1990" s="208">
        <v>39663</v>
      </c>
      <c r="D1990" s="19">
        <v>0.59375</v>
      </c>
      <c r="E1990" s="20" t="s">
        <v>202</v>
      </c>
      <c r="F1990" s="3">
        <v>11.05</v>
      </c>
      <c r="G1990" s="3">
        <v>93.9</v>
      </c>
      <c r="H1990" s="20" t="s">
        <v>208</v>
      </c>
      <c r="I1990" s="7"/>
      <c r="J1990" s="7"/>
      <c r="L1990" s="3"/>
      <c r="M1990" s="3"/>
      <c r="N1990" s="3"/>
      <c r="O1990" s="3"/>
      <c r="P1990" s="3"/>
      <c r="Q1990" s="3"/>
      <c r="R1990" s="3"/>
      <c r="S1990" s="3"/>
    </row>
    <row r="1991" spans="3:19" ht="15.75" customHeight="1" x14ac:dyDescent="0.2">
      <c r="C1991" s="208">
        <v>39663</v>
      </c>
      <c r="D1991" s="19">
        <v>0.59375</v>
      </c>
      <c r="E1991" s="20" t="s">
        <v>204</v>
      </c>
      <c r="F1991" s="3">
        <v>10.92</v>
      </c>
      <c r="G1991" s="3">
        <v>89.9</v>
      </c>
      <c r="H1991" s="20" t="s">
        <v>241</v>
      </c>
      <c r="I1991" s="7"/>
      <c r="J1991" s="7"/>
      <c r="L1991" s="3"/>
      <c r="M1991" s="3"/>
      <c r="N1991" s="3"/>
      <c r="O1991" s="3"/>
      <c r="P1991" s="3"/>
      <c r="Q1991" s="3"/>
      <c r="R1991" s="3"/>
      <c r="S1991" s="3"/>
    </row>
    <row r="1992" spans="3:19" ht="15.75" customHeight="1" x14ac:dyDescent="0.2">
      <c r="C1992" s="208">
        <v>39663</v>
      </c>
      <c r="D1992" s="19">
        <v>0.59375</v>
      </c>
      <c r="E1992" s="20" t="s">
        <v>181</v>
      </c>
      <c r="F1992" s="3">
        <v>10.8</v>
      </c>
      <c r="G1992" s="3">
        <v>89.1</v>
      </c>
      <c r="H1992" s="20" t="s">
        <v>213</v>
      </c>
      <c r="I1992" s="7"/>
      <c r="J1992" s="7"/>
      <c r="L1992" s="3"/>
      <c r="M1992" s="3"/>
      <c r="N1992" s="3"/>
      <c r="O1992" s="3"/>
      <c r="P1992" s="3"/>
      <c r="Q1992" s="3"/>
      <c r="R1992" s="3"/>
      <c r="S1992" s="3"/>
    </row>
    <row r="1993" spans="3:19" ht="15.75" customHeight="1" x14ac:dyDescent="0.2">
      <c r="C1993" s="208">
        <v>39663</v>
      </c>
      <c r="D1993" s="19">
        <v>0.59375</v>
      </c>
      <c r="E1993" s="20" t="s">
        <v>207</v>
      </c>
      <c r="F1993" s="3">
        <v>10.58</v>
      </c>
      <c r="G1993" s="3">
        <v>85.7</v>
      </c>
      <c r="H1993" s="20" t="s">
        <v>215</v>
      </c>
      <c r="I1993" s="7"/>
      <c r="J1993" s="7"/>
      <c r="L1993" s="3"/>
      <c r="M1993" s="3"/>
      <c r="N1993" s="3"/>
      <c r="O1993" s="3"/>
      <c r="P1993" s="3"/>
      <c r="Q1993" s="3"/>
      <c r="R1993" s="3"/>
      <c r="S1993" s="3"/>
    </row>
    <row r="1994" spans="3:19" ht="15.75" customHeight="1" x14ac:dyDescent="0.2">
      <c r="C1994" s="208">
        <v>39663</v>
      </c>
      <c r="D1994" s="19">
        <v>0.59375</v>
      </c>
      <c r="E1994" s="20" t="s">
        <v>209</v>
      </c>
      <c r="F1994" s="3">
        <v>10.61</v>
      </c>
      <c r="G1994" s="3">
        <v>85.9</v>
      </c>
      <c r="H1994" s="20" t="s">
        <v>217</v>
      </c>
      <c r="I1994" s="7"/>
      <c r="J1994" s="7"/>
      <c r="L1994" s="3"/>
      <c r="M1994" s="3"/>
      <c r="N1994" s="3"/>
      <c r="O1994" s="3"/>
      <c r="P1994" s="3"/>
      <c r="Q1994" s="3"/>
      <c r="R1994" s="3"/>
      <c r="S1994" s="3"/>
    </row>
    <row r="1995" spans="3:19" ht="15.75" customHeight="1" x14ac:dyDescent="0.2">
      <c r="C1995" s="208">
        <v>39663</v>
      </c>
      <c r="D1995" s="19">
        <v>0.59375</v>
      </c>
      <c r="E1995" s="20" t="s">
        <v>210</v>
      </c>
      <c r="F1995" s="3">
        <v>10.51</v>
      </c>
      <c r="G1995" s="3">
        <v>84.7</v>
      </c>
      <c r="H1995" s="20" t="s">
        <v>219</v>
      </c>
      <c r="I1995" s="7"/>
      <c r="J1995" s="7"/>
      <c r="L1995" s="3"/>
      <c r="M1995" s="3"/>
      <c r="N1995" s="3"/>
      <c r="O1995" s="3"/>
      <c r="P1995" s="3"/>
      <c r="Q1995" s="3"/>
      <c r="R1995" s="3"/>
      <c r="S1995" s="3"/>
    </row>
    <row r="1996" spans="3:19" ht="15.75" customHeight="1" x14ac:dyDescent="0.2">
      <c r="C1996" s="208">
        <v>39663</v>
      </c>
      <c r="D1996" s="19">
        <v>0.59375</v>
      </c>
      <c r="E1996" s="20" t="s">
        <v>212</v>
      </c>
      <c r="F1996" s="3">
        <v>10.57</v>
      </c>
      <c r="G1996" s="3">
        <v>84.5</v>
      </c>
      <c r="H1996" s="20" t="s">
        <v>222</v>
      </c>
      <c r="I1996" s="7"/>
      <c r="J1996" s="7"/>
      <c r="L1996" s="3"/>
      <c r="M1996" s="3"/>
      <c r="N1996" s="3"/>
      <c r="O1996" s="3"/>
      <c r="P1996" s="3"/>
      <c r="Q1996" s="3"/>
      <c r="R1996" s="3"/>
      <c r="S1996" s="3"/>
    </row>
    <row r="1997" spans="3:19" ht="15.75" customHeight="1" x14ac:dyDescent="0.2">
      <c r="C1997" s="208">
        <v>39663</v>
      </c>
      <c r="D1997" s="19">
        <v>0.59375</v>
      </c>
      <c r="E1997" s="20" t="s">
        <v>214</v>
      </c>
      <c r="F1997" s="3">
        <v>10.57</v>
      </c>
      <c r="G1997" s="3">
        <v>84.2</v>
      </c>
      <c r="H1997" s="20" t="s">
        <v>246</v>
      </c>
      <c r="I1997" s="3"/>
      <c r="L1997" s="3"/>
      <c r="M1997" s="3"/>
      <c r="N1997" s="3"/>
      <c r="O1997" s="3"/>
      <c r="P1997" s="3"/>
      <c r="Q1997" s="3"/>
      <c r="R1997" s="3"/>
      <c r="S1997" s="3"/>
    </row>
    <row r="1998" spans="3:19" ht="15.75" customHeight="1" x14ac:dyDescent="0.2">
      <c r="C1998" s="208">
        <v>39663</v>
      </c>
      <c r="D1998" s="19">
        <v>0.59375</v>
      </c>
      <c r="E1998" s="20" t="s">
        <v>216</v>
      </c>
      <c r="F1998" s="3">
        <v>10.55</v>
      </c>
      <c r="G1998" s="3">
        <v>83.5</v>
      </c>
      <c r="H1998" s="20" t="s">
        <v>247</v>
      </c>
      <c r="I1998" s="3"/>
      <c r="L1998" s="3"/>
      <c r="M1998" s="3"/>
      <c r="N1998" s="3"/>
      <c r="O1998" s="3"/>
      <c r="P1998" s="3"/>
      <c r="Q1998" s="3"/>
      <c r="R1998" s="3"/>
      <c r="S1998" s="3"/>
    </row>
    <row r="1999" spans="3:19" ht="15.75" customHeight="1" x14ac:dyDescent="0.2">
      <c r="C1999" s="208">
        <v>39663</v>
      </c>
      <c r="D1999" s="19">
        <v>0.59375</v>
      </c>
      <c r="E1999" s="20" t="s">
        <v>218</v>
      </c>
      <c r="F1999" s="3">
        <v>10.5</v>
      </c>
      <c r="G1999" s="3">
        <v>83.1</v>
      </c>
      <c r="H1999" s="20" t="s">
        <v>248</v>
      </c>
      <c r="I1999" s="3"/>
      <c r="L1999" s="3"/>
      <c r="M1999" s="3"/>
      <c r="N1999" s="3"/>
      <c r="O1999" s="3"/>
      <c r="P1999" s="3"/>
      <c r="Q1999" s="3"/>
      <c r="R1999" s="3"/>
      <c r="S1999" s="3"/>
    </row>
    <row r="2000" spans="3:19" ht="15.75" customHeight="1" x14ac:dyDescent="0.2">
      <c r="C2000" s="208">
        <v>39663</v>
      </c>
      <c r="D2000" s="19">
        <v>0.59375</v>
      </c>
      <c r="E2000" s="20" t="s">
        <v>220</v>
      </c>
      <c r="F2000" s="3">
        <v>10.49</v>
      </c>
      <c r="G2000" s="3">
        <v>82.8</v>
      </c>
      <c r="H2000" s="20" t="s">
        <v>249</v>
      </c>
      <c r="I2000" s="3"/>
      <c r="L2000" s="3"/>
      <c r="M2000" s="3"/>
      <c r="N2000" s="3"/>
      <c r="O2000" s="3"/>
      <c r="P2000" s="3"/>
      <c r="Q2000" s="3"/>
      <c r="R2000" s="3"/>
      <c r="S2000" s="3"/>
    </row>
    <row r="2001" spans="3:19" ht="15.75" customHeight="1" x14ac:dyDescent="0.2">
      <c r="C2001" s="208">
        <v>39663</v>
      </c>
      <c r="D2001" s="19">
        <v>0.59375</v>
      </c>
      <c r="E2001" s="20" t="s">
        <v>221</v>
      </c>
      <c r="F2001" s="3">
        <v>10.47</v>
      </c>
      <c r="G2001" s="3">
        <v>82.3</v>
      </c>
      <c r="H2001" s="20" t="s">
        <v>250</v>
      </c>
      <c r="I2001" s="3"/>
      <c r="L2001" s="3"/>
      <c r="M2001" s="3"/>
      <c r="N2001" s="3"/>
      <c r="O2001" s="3"/>
      <c r="P2001" s="3"/>
      <c r="Q2001" s="3"/>
      <c r="R2001" s="3"/>
      <c r="S2001" s="3"/>
    </row>
    <row r="2002" spans="3:19" ht="15.75" customHeight="1" x14ac:dyDescent="0.2">
      <c r="C2002" s="208"/>
      <c r="D2002" s="3"/>
      <c r="E2002" s="3"/>
      <c r="F2002" s="3"/>
      <c r="G2002" s="3"/>
      <c r="H2002" s="3"/>
      <c r="I2002" s="3"/>
      <c r="L2002" s="3"/>
      <c r="M2002" s="3"/>
      <c r="N2002" s="3"/>
      <c r="O2002" s="3"/>
      <c r="P2002" s="3"/>
      <c r="Q2002" s="3"/>
      <c r="R2002" s="3"/>
      <c r="S2002" s="3"/>
    </row>
    <row r="2003" spans="3:19" ht="15.75" customHeight="1" x14ac:dyDescent="0.2">
      <c r="C2003" s="208">
        <v>39719</v>
      </c>
      <c r="D2003" s="19">
        <v>0.4375</v>
      </c>
      <c r="E2003" s="3"/>
      <c r="F2003" s="3"/>
      <c r="G2003" s="3"/>
      <c r="H2003" s="3"/>
      <c r="I2003" s="7"/>
      <c r="J2003" s="7">
        <v>9.5</v>
      </c>
      <c r="K2003">
        <v>11.5</v>
      </c>
      <c r="L2003" s="3"/>
      <c r="M2003" s="3"/>
      <c r="N2003" s="3"/>
      <c r="O2003" s="3"/>
      <c r="P2003" s="3"/>
      <c r="Q2003" s="3"/>
      <c r="R2003" s="3"/>
      <c r="S2003" s="3"/>
    </row>
    <row r="2004" spans="3:19" ht="15.75" customHeight="1" x14ac:dyDescent="0.2">
      <c r="C2004" s="208">
        <v>39719</v>
      </c>
      <c r="D2004" s="19">
        <v>0.4548611111111111</v>
      </c>
      <c r="E2004" s="20" t="s">
        <v>105</v>
      </c>
      <c r="F2004" s="3">
        <v>8.26</v>
      </c>
      <c r="G2004" s="3">
        <v>82.8</v>
      </c>
      <c r="H2004" s="3" t="s">
        <v>251</v>
      </c>
      <c r="I2004" s="3">
        <v>15.9</v>
      </c>
      <c r="J2004" s="3"/>
      <c r="K2004" s="1"/>
      <c r="L2004" s="3"/>
      <c r="M2004" s="3"/>
      <c r="N2004" s="3"/>
      <c r="O2004" s="3"/>
      <c r="P2004" s="3"/>
      <c r="Q2004" s="3"/>
      <c r="R2004" s="3"/>
      <c r="S2004" s="3"/>
    </row>
    <row r="2005" spans="3:19" ht="15.75" customHeight="1" x14ac:dyDescent="0.2">
      <c r="C2005" s="208">
        <v>39719</v>
      </c>
      <c r="D2005" s="19">
        <v>0.4548611111111111</v>
      </c>
      <c r="E2005" s="20" t="s">
        <v>107</v>
      </c>
      <c r="F2005" s="3">
        <v>7.8</v>
      </c>
      <c r="G2005" s="3">
        <v>80</v>
      </c>
      <c r="H2005" s="3" t="s">
        <v>251</v>
      </c>
      <c r="I2005" s="3">
        <v>15.9</v>
      </c>
      <c r="J2005" s="3"/>
      <c r="L2005" s="3"/>
      <c r="M2005" s="3"/>
      <c r="N2005" s="3"/>
      <c r="O2005" s="3"/>
      <c r="P2005" s="3"/>
      <c r="Q2005" s="3"/>
      <c r="R2005" s="3"/>
      <c r="S2005" s="3"/>
    </row>
    <row r="2006" spans="3:19" ht="15.75" customHeight="1" x14ac:dyDescent="0.2">
      <c r="C2006" s="208">
        <v>39719</v>
      </c>
      <c r="D2006" s="19">
        <v>0.4548611111111111</v>
      </c>
      <c r="E2006" s="20" t="s">
        <v>132</v>
      </c>
      <c r="F2006" s="3">
        <v>7.95</v>
      </c>
      <c r="G2006" s="3">
        <v>79.7</v>
      </c>
      <c r="H2006" s="3" t="s">
        <v>251</v>
      </c>
      <c r="I2006" s="3">
        <v>15.9</v>
      </c>
      <c r="J2006" s="3"/>
      <c r="L2006" s="3"/>
      <c r="M2006" s="3"/>
      <c r="N2006" s="3"/>
      <c r="O2006" s="3"/>
      <c r="P2006" s="3"/>
      <c r="Q2006" s="3"/>
      <c r="R2006" s="3"/>
      <c r="S2006" s="3"/>
    </row>
    <row r="2007" spans="3:19" ht="15.75" customHeight="1" x14ac:dyDescent="0.2">
      <c r="C2007" s="208">
        <v>39719</v>
      </c>
      <c r="D2007" s="19">
        <v>0.4548611111111111</v>
      </c>
      <c r="E2007" s="20" t="s">
        <v>187</v>
      </c>
      <c r="F2007" s="3">
        <v>7.96</v>
      </c>
      <c r="G2007" s="3">
        <v>83.4</v>
      </c>
      <c r="H2007" s="3" t="s">
        <v>251</v>
      </c>
      <c r="I2007" s="3">
        <v>15.9</v>
      </c>
      <c r="J2007" s="3"/>
      <c r="L2007" s="3"/>
      <c r="M2007" s="3"/>
      <c r="N2007" s="3"/>
      <c r="O2007" s="3"/>
      <c r="P2007" s="3"/>
      <c r="Q2007" s="3"/>
      <c r="R2007" s="3"/>
      <c r="S2007" s="3"/>
    </row>
    <row r="2008" spans="3:19" ht="15.75" customHeight="1" x14ac:dyDescent="0.2">
      <c r="C2008" s="208">
        <v>39719</v>
      </c>
      <c r="D2008" s="19">
        <v>0.4548611111111111</v>
      </c>
      <c r="E2008" s="20" t="s">
        <v>188</v>
      </c>
      <c r="F2008" s="3">
        <v>8.25</v>
      </c>
      <c r="G2008" s="3">
        <v>81.7</v>
      </c>
      <c r="H2008" s="3" t="s">
        <v>251</v>
      </c>
      <c r="I2008" s="3">
        <v>15.9</v>
      </c>
      <c r="J2008" s="3"/>
      <c r="L2008" s="3"/>
      <c r="M2008" s="3"/>
      <c r="N2008" s="3"/>
      <c r="O2008" s="3"/>
      <c r="P2008" s="3"/>
      <c r="Q2008" s="3"/>
      <c r="R2008" s="3"/>
      <c r="S2008" s="3"/>
    </row>
    <row r="2009" spans="3:19" ht="15.75" customHeight="1" x14ac:dyDescent="0.2">
      <c r="C2009" s="208">
        <v>39719</v>
      </c>
      <c r="D2009" s="19">
        <v>0.4548611111111111</v>
      </c>
      <c r="E2009" s="20" t="s">
        <v>189</v>
      </c>
      <c r="F2009" s="3">
        <v>8.07</v>
      </c>
      <c r="G2009" s="3">
        <v>82.5</v>
      </c>
      <c r="H2009" s="3" t="s">
        <v>251</v>
      </c>
      <c r="I2009" s="3">
        <v>15.9</v>
      </c>
      <c r="J2009" s="3"/>
      <c r="L2009" s="3"/>
      <c r="M2009" s="3"/>
      <c r="N2009" s="3"/>
      <c r="O2009" s="3"/>
      <c r="P2009" s="3"/>
      <c r="Q2009" s="3"/>
      <c r="R2009" s="3"/>
      <c r="S2009" s="3"/>
    </row>
    <row r="2010" spans="3:19" ht="15.75" customHeight="1" x14ac:dyDescent="0.2">
      <c r="C2010" s="208">
        <v>39719</v>
      </c>
      <c r="D2010" s="19">
        <v>0.4548611111111111</v>
      </c>
      <c r="E2010" s="20" t="s">
        <v>190</v>
      </c>
      <c r="F2010" s="3">
        <v>8.25</v>
      </c>
      <c r="G2010" s="3">
        <v>82.7</v>
      </c>
      <c r="H2010" s="20" t="s">
        <v>251</v>
      </c>
      <c r="I2010" s="3">
        <v>15.9</v>
      </c>
      <c r="J2010" s="3"/>
      <c r="L2010" s="3"/>
      <c r="M2010" s="3"/>
      <c r="N2010" s="3"/>
      <c r="O2010" s="3"/>
      <c r="P2010" s="3"/>
      <c r="Q2010" s="3"/>
      <c r="R2010" s="3"/>
      <c r="S2010" s="3"/>
    </row>
    <row r="2011" spans="3:19" ht="15.75" customHeight="1" x14ac:dyDescent="0.2">
      <c r="C2011" s="208">
        <v>39719</v>
      </c>
      <c r="D2011" s="19">
        <v>0.4548611111111111</v>
      </c>
      <c r="E2011" s="20" t="s">
        <v>192</v>
      </c>
      <c r="F2011" s="3">
        <v>8.1300000000000008</v>
      </c>
      <c r="G2011" s="3">
        <v>82.7</v>
      </c>
      <c r="H2011" s="20" t="s">
        <v>251</v>
      </c>
      <c r="I2011" s="3">
        <v>15.9</v>
      </c>
      <c r="J2011" s="3"/>
      <c r="L2011" s="3"/>
      <c r="M2011" s="3"/>
      <c r="N2011" s="3"/>
      <c r="O2011" s="3"/>
      <c r="P2011" s="3"/>
      <c r="Q2011" s="3"/>
      <c r="R2011" s="3"/>
      <c r="S2011" s="3"/>
    </row>
    <row r="2012" spans="3:19" ht="15.75" customHeight="1" x14ac:dyDescent="0.2">
      <c r="C2012" s="208">
        <v>39719</v>
      </c>
      <c r="D2012" s="19">
        <v>0.4548611111111111</v>
      </c>
      <c r="E2012" s="20" t="s">
        <v>194</v>
      </c>
      <c r="F2012" s="3">
        <v>8.0500000000000007</v>
      </c>
      <c r="G2012" s="3">
        <v>81</v>
      </c>
      <c r="H2012" s="20" t="s">
        <v>251</v>
      </c>
      <c r="I2012" s="3">
        <v>15.9</v>
      </c>
      <c r="J2012" s="3"/>
      <c r="L2012" s="3"/>
      <c r="M2012" s="3"/>
      <c r="N2012" s="3"/>
      <c r="O2012" s="3"/>
      <c r="P2012" s="3"/>
      <c r="Q2012" s="3"/>
      <c r="R2012" s="3"/>
      <c r="S2012" s="3"/>
    </row>
    <row r="2013" spans="3:19" ht="15.75" customHeight="1" x14ac:dyDescent="0.2">
      <c r="C2013" s="208">
        <v>39719</v>
      </c>
      <c r="D2013" s="19">
        <v>0.4548611111111111</v>
      </c>
      <c r="E2013" s="20" t="s">
        <v>196</v>
      </c>
      <c r="F2013" s="3">
        <v>8.2899999999999991</v>
      </c>
      <c r="G2013" s="3">
        <v>83.9</v>
      </c>
      <c r="H2013" s="20" t="s">
        <v>251</v>
      </c>
      <c r="I2013" s="3">
        <v>15.9</v>
      </c>
      <c r="J2013" s="3"/>
      <c r="L2013" s="3"/>
      <c r="M2013" s="3"/>
      <c r="N2013" s="3"/>
      <c r="O2013" s="3"/>
      <c r="P2013" s="3"/>
      <c r="Q2013" s="3"/>
      <c r="R2013" s="3"/>
      <c r="S2013" s="3"/>
    </row>
    <row r="2014" spans="3:19" ht="15.75" customHeight="1" x14ac:dyDescent="0.2">
      <c r="C2014" s="208">
        <v>39719</v>
      </c>
      <c r="D2014" s="19">
        <v>0.4548611111111111</v>
      </c>
      <c r="E2014" s="20" t="s">
        <v>186</v>
      </c>
      <c r="F2014" s="3">
        <v>8.3000000000000007</v>
      </c>
      <c r="G2014" s="3">
        <v>83.4</v>
      </c>
      <c r="H2014" s="20" t="s">
        <v>252</v>
      </c>
      <c r="I2014" s="20">
        <v>15.8</v>
      </c>
      <c r="J2014" s="20"/>
      <c r="L2014" s="3"/>
      <c r="M2014" s="3"/>
      <c r="N2014" s="3"/>
      <c r="O2014" s="3"/>
      <c r="P2014" s="3"/>
      <c r="Q2014" s="3"/>
      <c r="R2014" s="3"/>
      <c r="S2014" s="3"/>
    </row>
    <row r="2015" spans="3:19" ht="15.75" customHeight="1" x14ac:dyDescent="0.2">
      <c r="C2015" s="208">
        <v>39719</v>
      </c>
      <c r="D2015" s="19">
        <v>0.4548611111111111</v>
      </c>
      <c r="E2015" s="20" t="s">
        <v>182</v>
      </c>
      <c r="F2015" s="3">
        <v>8.25</v>
      </c>
      <c r="G2015" s="3">
        <v>83.5</v>
      </c>
      <c r="H2015" s="20" t="s">
        <v>252</v>
      </c>
      <c r="I2015" s="20">
        <v>15.8</v>
      </c>
      <c r="J2015" s="20"/>
      <c r="L2015" s="3"/>
      <c r="M2015" s="3"/>
      <c r="N2015" s="3"/>
      <c r="O2015" s="3"/>
      <c r="P2015" s="3"/>
      <c r="Q2015" s="3"/>
      <c r="R2015" s="3"/>
      <c r="S2015" s="3"/>
    </row>
    <row r="2016" spans="3:19" ht="15.75" customHeight="1" x14ac:dyDescent="0.2">
      <c r="C2016" s="208">
        <v>39719</v>
      </c>
      <c r="D2016" s="19">
        <v>0.4548611111111111</v>
      </c>
      <c r="E2016" s="20" t="s">
        <v>117</v>
      </c>
      <c r="F2016" s="3">
        <v>8.15</v>
      </c>
      <c r="G2016" s="3">
        <v>82.1</v>
      </c>
      <c r="H2016" s="20" t="s">
        <v>252</v>
      </c>
      <c r="I2016" s="20">
        <v>15.8</v>
      </c>
      <c r="J2016" s="20"/>
      <c r="L2016" s="3"/>
      <c r="M2016" s="3"/>
      <c r="N2016" s="3"/>
      <c r="O2016" s="3"/>
      <c r="P2016" s="3"/>
      <c r="Q2016" s="3"/>
      <c r="R2016" s="3"/>
      <c r="S2016" s="3"/>
    </row>
    <row r="2017" spans="2:19" ht="15.75" customHeight="1" x14ac:dyDescent="0.2">
      <c r="C2017" s="208">
        <v>39719</v>
      </c>
      <c r="D2017" s="19">
        <v>0.4548611111111111</v>
      </c>
      <c r="E2017" s="20" t="s">
        <v>200</v>
      </c>
      <c r="F2017" s="3">
        <v>8.1300000000000008</v>
      </c>
      <c r="G2017" s="3">
        <v>82.8</v>
      </c>
      <c r="H2017" s="20" t="s">
        <v>252</v>
      </c>
      <c r="I2017" s="20">
        <v>15.8</v>
      </c>
      <c r="J2017" s="20"/>
      <c r="L2017" s="3"/>
      <c r="M2017" s="3"/>
      <c r="N2017" s="3"/>
      <c r="O2017" s="3"/>
      <c r="P2017" s="3"/>
      <c r="Q2017" s="3"/>
      <c r="R2017" s="3"/>
      <c r="S2017" s="3"/>
    </row>
    <row r="2018" spans="2:19" ht="15.75" customHeight="1" x14ac:dyDescent="0.2">
      <c r="C2018" s="208">
        <v>39719</v>
      </c>
      <c r="D2018" s="19">
        <v>0.4548611111111111</v>
      </c>
      <c r="E2018" s="20" t="s">
        <v>202</v>
      </c>
      <c r="F2018" s="3">
        <v>8.16</v>
      </c>
      <c r="G2018" s="3">
        <v>80.900000000000006</v>
      </c>
      <c r="H2018" s="20" t="s">
        <v>253</v>
      </c>
      <c r="I2018" s="20">
        <v>15.6</v>
      </c>
      <c r="J2018" s="20"/>
      <c r="L2018" s="3"/>
      <c r="M2018" s="3"/>
      <c r="N2018" s="3"/>
      <c r="O2018" s="3"/>
      <c r="P2018" s="3"/>
      <c r="Q2018" s="3"/>
      <c r="R2018" s="3"/>
      <c r="S2018" s="3"/>
    </row>
    <row r="2019" spans="2:19" ht="15.75" customHeight="1" x14ac:dyDescent="0.2">
      <c r="C2019" s="208">
        <v>39719</v>
      </c>
      <c r="D2019" s="19">
        <v>0.4548611111111111</v>
      </c>
      <c r="E2019" s="20" t="s">
        <v>204</v>
      </c>
      <c r="F2019" s="3">
        <v>8.93</v>
      </c>
      <c r="G2019" s="3">
        <v>83</v>
      </c>
      <c r="H2019" s="20" t="s">
        <v>224</v>
      </c>
      <c r="I2019" s="17">
        <f>AVERAGE(I2004:I2018)</f>
        <v>15.853333333333337</v>
      </c>
      <c r="J2019" s="17"/>
      <c r="L2019" s="3"/>
      <c r="M2019" s="3"/>
      <c r="N2019" s="3"/>
      <c r="O2019" s="3"/>
      <c r="P2019" s="3"/>
      <c r="Q2019" s="3"/>
      <c r="R2019" s="3"/>
      <c r="S2019" s="3"/>
    </row>
    <row r="2020" spans="2:19" ht="15.75" customHeight="1" x14ac:dyDescent="0.2">
      <c r="C2020" s="208">
        <v>39719</v>
      </c>
      <c r="D2020" s="19">
        <v>0.4548611111111111</v>
      </c>
      <c r="E2020" s="20" t="s">
        <v>181</v>
      </c>
      <c r="F2020" s="3">
        <v>10.199999999999999</v>
      </c>
      <c r="G2020" s="3">
        <v>87.2</v>
      </c>
      <c r="H2020" s="20" t="s">
        <v>199</v>
      </c>
      <c r="I2020" s="3"/>
      <c r="L2020" s="3"/>
      <c r="M2020" s="3"/>
      <c r="N2020" s="3"/>
      <c r="O2020" s="3"/>
      <c r="P2020" s="3"/>
      <c r="Q2020" s="3"/>
      <c r="R2020" s="3"/>
      <c r="S2020" s="3"/>
    </row>
    <row r="2021" spans="2:19" ht="15.75" customHeight="1" x14ac:dyDescent="0.2">
      <c r="C2021" s="208">
        <v>39719</v>
      </c>
      <c r="D2021" s="19">
        <v>0.4548611111111111</v>
      </c>
      <c r="E2021" s="20" t="s">
        <v>207</v>
      </c>
      <c r="F2021" s="3">
        <v>10</v>
      </c>
      <c r="G2021" s="3">
        <v>86</v>
      </c>
      <c r="H2021" s="20" t="s">
        <v>205</v>
      </c>
      <c r="I2021" s="3"/>
      <c r="L2021" s="3"/>
      <c r="M2021" s="3"/>
      <c r="N2021" s="3"/>
      <c r="O2021" s="3"/>
      <c r="P2021" s="3"/>
      <c r="Q2021" s="3"/>
      <c r="R2021" s="3"/>
      <c r="S2021" s="3"/>
    </row>
    <row r="2022" spans="2:19" ht="15.75" customHeight="1" x14ac:dyDescent="0.2">
      <c r="C2022" s="208">
        <v>39719</v>
      </c>
      <c r="D2022" s="19">
        <v>0.4548611111111111</v>
      </c>
      <c r="E2022" s="20" t="s">
        <v>209</v>
      </c>
      <c r="F2022" s="3">
        <v>9.93</v>
      </c>
      <c r="G2022" s="3">
        <v>83.1</v>
      </c>
      <c r="H2022" s="20" t="s">
        <v>254</v>
      </c>
      <c r="I2022" s="3"/>
      <c r="L2022" s="3"/>
      <c r="M2022" s="3"/>
      <c r="N2022" s="3"/>
      <c r="O2022" s="3"/>
      <c r="P2022" s="3"/>
      <c r="Q2022" s="3"/>
      <c r="R2022" s="3"/>
      <c r="S2022" s="3"/>
    </row>
    <row r="2023" spans="2:19" ht="15.75" customHeight="1" x14ac:dyDescent="0.2">
      <c r="C2023" s="208">
        <v>39719</v>
      </c>
      <c r="D2023" s="19">
        <v>0.4548611111111111</v>
      </c>
      <c r="E2023" s="20" t="s">
        <v>210</v>
      </c>
      <c r="F2023" s="3">
        <v>9.84</v>
      </c>
      <c r="G2023" s="3">
        <v>82.2</v>
      </c>
      <c r="H2023" s="20" t="s">
        <v>241</v>
      </c>
      <c r="I2023" s="3"/>
      <c r="L2023" s="3"/>
      <c r="M2023" s="3"/>
      <c r="N2023" s="3"/>
      <c r="O2023" s="3"/>
      <c r="P2023" s="3"/>
      <c r="Q2023" s="3"/>
      <c r="R2023" s="3"/>
      <c r="S2023" s="3"/>
    </row>
    <row r="2024" spans="2:19" ht="15.75" customHeight="1" x14ac:dyDescent="0.2">
      <c r="C2024" s="208">
        <v>39719</v>
      </c>
      <c r="D2024" s="19">
        <v>0.4548611111111111</v>
      </c>
      <c r="E2024" s="20" t="s">
        <v>212</v>
      </c>
      <c r="F2024" s="3">
        <v>9.6999999999999993</v>
      </c>
      <c r="G2024" s="3">
        <v>78.099999999999994</v>
      </c>
      <c r="H2024" s="20" t="s">
        <v>229</v>
      </c>
      <c r="I2024" s="3"/>
      <c r="L2024" s="3"/>
      <c r="M2024" s="3"/>
      <c r="N2024" s="3"/>
      <c r="O2024" s="3"/>
      <c r="P2024" s="3"/>
      <c r="Q2024" s="3"/>
      <c r="R2024" s="3"/>
      <c r="S2024" s="3"/>
    </row>
    <row r="2025" spans="2:19" ht="15.75" customHeight="1" x14ac:dyDescent="0.2">
      <c r="C2025" s="208">
        <v>39719</v>
      </c>
      <c r="D2025" s="19">
        <v>0.4548611111111111</v>
      </c>
      <c r="E2025" s="20" t="s">
        <v>214</v>
      </c>
      <c r="F2025" s="3">
        <v>9.2799999999999994</v>
      </c>
      <c r="G2025" s="3">
        <v>76.5</v>
      </c>
      <c r="H2025" s="20" t="s">
        <v>255</v>
      </c>
      <c r="I2025" s="3"/>
      <c r="L2025" s="3"/>
      <c r="M2025" s="3"/>
      <c r="N2025" s="3"/>
      <c r="O2025" s="3"/>
      <c r="P2025" s="3"/>
      <c r="Q2025" s="3"/>
      <c r="R2025" s="3"/>
      <c r="S2025" s="3"/>
    </row>
    <row r="2026" spans="2:19" ht="15.75" customHeight="1" x14ac:dyDescent="0.2">
      <c r="C2026" s="208">
        <v>39719</v>
      </c>
      <c r="D2026" s="19">
        <v>0.4548611111111111</v>
      </c>
      <c r="E2026" s="20" t="s">
        <v>216</v>
      </c>
      <c r="F2026" s="3">
        <v>9.15</v>
      </c>
      <c r="G2026" s="3">
        <v>74</v>
      </c>
      <c r="H2026" s="20" t="s">
        <v>213</v>
      </c>
      <c r="I2026" s="3"/>
      <c r="L2026" s="3"/>
      <c r="M2026" s="3"/>
      <c r="N2026" s="3"/>
      <c r="O2026" s="3"/>
      <c r="P2026" s="3"/>
      <c r="Q2026" s="3"/>
      <c r="R2026" s="3"/>
      <c r="S2026" s="3"/>
    </row>
    <row r="2027" spans="2:19" ht="15.75" customHeight="1" x14ac:dyDescent="0.2">
      <c r="C2027" s="208">
        <v>39719</v>
      </c>
      <c r="D2027" s="19">
        <v>0.4548611111111111</v>
      </c>
      <c r="E2027" s="20" t="s">
        <v>218</v>
      </c>
      <c r="F2027" s="3">
        <v>9.1300000000000008</v>
      </c>
      <c r="G2027" s="3">
        <v>74.2</v>
      </c>
      <c r="H2027" s="20" t="s">
        <v>217</v>
      </c>
      <c r="I2027" s="3"/>
      <c r="L2027" s="3"/>
      <c r="M2027" s="3"/>
      <c r="N2027" s="3"/>
      <c r="O2027" s="3"/>
      <c r="P2027" s="3"/>
      <c r="Q2027" s="3"/>
      <c r="R2027" s="3"/>
      <c r="S2027" s="3"/>
    </row>
    <row r="2028" spans="2:19" ht="15.75" customHeight="1" x14ac:dyDescent="0.2">
      <c r="C2028" s="208">
        <v>39719</v>
      </c>
      <c r="D2028" s="19">
        <v>0.4548611111111111</v>
      </c>
      <c r="E2028" s="20" t="s">
        <v>220</v>
      </c>
      <c r="F2028" s="3">
        <v>9.2100000000000009</v>
      </c>
      <c r="G2028" s="3">
        <v>74</v>
      </c>
      <c r="H2028" s="20" t="s">
        <v>256</v>
      </c>
      <c r="I2028" s="3"/>
      <c r="L2028" s="3"/>
      <c r="M2028" s="3"/>
      <c r="N2028" s="3"/>
      <c r="O2028" s="3"/>
      <c r="P2028" s="3"/>
      <c r="Q2028" s="3"/>
      <c r="R2028" s="3"/>
      <c r="S2028" s="3"/>
    </row>
    <row r="2029" spans="2:19" ht="15.75" customHeight="1" x14ac:dyDescent="0.2">
      <c r="C2029" s="208">
        <v>39719</v>
      </c>
      <c r="D2029" s="19">
        <v>0.4548611111111111</v>
      </c>
      <c r="E2029" s="20" t="s">
        <v>221</v>
      </c>
      <c r="F2029" s="3">
        <v>9.27</v>
      </c>
      <c r="G2029" s="3">
        <v>74.3</v>
      </c>
      <c r="H2029" s="20" t="s">
        <v>222</v>
      </c>
      <c r="I2029" s="20"/>
      <c r="L2029" s="3"/>
      <c r="M2029" s="3"/>
      <c r="N2029" s="3"/>
      <c r="O2029" s="3"/>
      <c r="P2029" s="3"/>
      <c r="Q2029" s="3"/>
      <c r="R2029" s="3"/>
      <c r="S2029" s="3"/>
    </row>
    <row r="2030" spans="2:19" ht="15.75" customHeight="1" x14ac:dyDescent="0.2">
      <c r="C2030" s="208"/>
      <c r="D2030" s="19"/>
      <c r="E2030" s="20"/>
      <c r="F2030" s="3"/>
      <c r="G2030" s="3"/>
      <c r="H2030" s="63"/>
      <c r="I2030" s="63"/>
      <c r="L2030" s="3"/>
      <c r="M2030" s="3"/>
      <c r="N2030" s="3"/>
      <c r="O2030" s="3"/>
      <c r="P2030" s="3"/>
      <c r="Q2030" s="3"/>
      <c r="R2030" s="3"/>
      <c r="S2030" s="3"/>
    </row>
    <row r="2031" spans="2:19" ht="16" x14ac:dyDescent="0.2">
      <c r="B2031">
        <v>47.6</v>
      </c>
      <c r="C2031" s="240">
        <v>37525</v>
      </c>
      <c r="D2031" s="225">
        <v>0.47916666666666669</v>
      </c>
      <c r="E2031" s="198"/>
      <c r="H2031" s="198"/>
      <c r="I2031" s="198"/>
      <c r="J2031">
        <v>12.6</v>
      </c>
      <c r="K2031">
        <v>12.6</v>
      </c>
      <c r="L2031" s="190"/>
      <c r="M2031" s="190"/>
      <c r="N2031" s="190"/>
      <c r="O2031" s="190"/>
      <c r="P2031" s="190"/>
      <c r="Q2031" s="190"/>
      <c r="R2031" s="190"/>
      <c r="S2031" s="190"/>
    </row>
    <row r="2032" spans="2:19" ht="16" x14ac:dyDescent="0.2">
      <c r="C2032" s="240">
        <v>37525</v>
      </c>
      <c r="D2032" s="225">
        <v>0.47916666666666669</v>
      </c>
      <c r="E2032" s="198">
        <v>0.5</v>
      </c>
      <c r="F2032" s="190">
        <v>9.3000000000000007</v>
      </c>
      <c r="G2032" s="190">
        <v>102.4</v>
      </c>
      <c r="H2032" s="198">
        <v>16.399999999999999</v>
      </c>
      <c r="I2032" s="198"/>
      <c r="L2032" s="190"/>
      <c r="M2032" s="190"/>
      <c r="N2032" s="190"/>
      <c r="O2032" s="190"/>
      <c r="P2032" s="190"/>
      <c r="Q2032" s="190"/>
      <c r="R2032" s="190"/>
      <c r="S2032" s="190"/>
    </row>
    <row r="2033" spans="3:19" ht="16" x14ac:dyDescent="0.2">
      <c r="C2033" s="240">
        <v>37525</v>
      </c>
      <c r="D2033" s="225">
        <v>0.47916666666666669</v>
      </c>
      <c r="E2033" s="198">
        <v>2</v>
      </c>
      <c r="F2033" s="190">
        <v>8.9</v>
      </c>
      <c r="G2033" s="190">
        <v>99.3</v>
      </c>
      <c r="H2033" s="198">
        <v>16.399999999999999</v>
      </c>
      <c r="I2033" s="198"/>
      <c r="L2033" s="190"/>
      <c r="M2033" s="190"/>
      <c r="N2033" s="190"/>
      <c r="O2033" s="190"/>
      <c r="P2033" s="190"/>
      <c r="Q2033" s="190"/>
      <c r="R2033" s="190"/>
      <c r="S2033" s="190"/>
    </row>
    <row r="2034" spans="3:19" ht="16" x14ac:dyDescent="0.2">
      <c r="C2034" s="240">
        <v>37525</v>
      </c>
      <c r="D2034" s="225">
        <v>0.47916666666666669</v>
      </c>
      <c r="E2034" s="198">
        <v>4</v>
      </c>
      <c r="F2034" s="190">
        <v>8.8000000000000007</v>
      </c>
      <c r="G2034" s="190">
        <v>97.8</v>
      </c>
      <c r="H2034" s="198">
        <v>16.399999999999999</v>
      </c>
      <c r="I2034" s="198"/>
      <c r="L2034" s="190"/>
      <c r="M2034" s="190"/>
      <c r="N2034" s="190"/>
      <c r="O2034" s="190"/>
      <c r="P2034" s="190"/>
      <c r="Q2034" s="190"/>
      <c r="R2034" s="190"/>
      <c r="S2034" s="190"/>
    </row>
    <row r="2035" spans="3:19" ht="16" x14ac:dyDescent="0.2">
      <c r="C2035" s="240">
        <v>37525</v>
      </c>
      <c r="D2035" s="225">
        <v>0.47916666666666669</v>
      </c>
      <c r="E2035" s="198">
        <v>6</v>
      </c>
      <c r="F2035" s="190">
        <v>8.6999999999999993</v>
      </c>
      <c r="G2035" s="190">
        <v>97.4</v>
      </c>
      <c r="H2035" s="198">
        <v>16.399999999999999</v>
      </c>
      <c r="I2035" s="198"/>
      <c r="L2035" s="190"/>
      <c r="M2035" s="190"/>
      <c r="N2035" s="190"/>
      <c r="O2035" s="190"/>
      <c r="P2035" s="190"/>
      <c r="Q2035" s="190"/>
      <c r="R2035" s="190"/>
      <c r="S2035" s="190"/>
    </row>
    <row r="2036" spans="3:19" ht="16" x14ac:dyDescent="0.2">
      <c r="C2036" s="240">
        <v>37525</v>
      </c>
      <c r="D2036" s="225">
        <v>0.47916666666666669</v>
      </c>
      <c r="E2036" s="198">
        <v>8</v>
      </c>
      <c r="F2036" s="190">
        <v>8.6999999999999993</v>
      </c>
      <c r="G2036" s="190">
        <v>97</v>
      </c>
      <c r="H2036" s="198">
        <v>16.399999999999999</v>
      </c>
      <c r="I2036" s="198"/>
      <c r="L2036" s="190"/>
      <c r="M2036" s="190"/>
      <c r="N2036" s="190"/>
      <c r="O2036" s="190"/>
      <c r="P2036" s="190"/>
      <c r="Q2036" s="190"/>
      <c r="R2036" s="190"/>
      <c r="S2036" s="190"/>
    </row>
    <row r="2037" spans="3:19" ht="16" x14ac:dyDescent="0.2">
      <c r="C2037" s="240">
        <v>37525</v>
      </c>
      <c r="D2037" s="225">
        <v>0.47916666666666669</v>
      </c>
      <c r="E2037" s="198">
        <v>10</v>
      </c>
      <c r="F2037" s="190">
        <v>8.6999999999999993</v>
      </c>
      <c r="G2037" s="190">
        <v>96.3</v>
      </c>
      <c r="H2037" s="198">
        <v>16.3</v>
      </c>
      <c r="I2037" s="198"/>
      <c r="L2037" s="190"/>
      <c r="M2037" s="190"/>
      <c r="N2037" s="190"/>
      <c r="O2037" s="190"/>
      <c r="P2037" s="190"/>
      <c r="Q2037" s="190"/>
      <c r="R2037" s="190"/>
      <c r="S2037" s="190"/>
    </row>
    <row r="2038" spans="3:19" ht="16" x14ac:dyDescent="0.2">
      <c r="C2038" s="240">
        <v>37525</v>
      </c>
      <c r="D2038" s="225">
        <v>0.47916666666666669</v>
      </c>
      <c r="E2038" s="198">
        <v>11</v>
      </c>
      <c r="F2038" s="190">
        <v>8.6999999999999993</v>
      </c>
      <c r="G2038" s="190">
        <v>96.1</v>
      </c>
      <c r="H2038" s="198">
        <v>16.3</v>
      </c>
      <c r="I2038" s="198"/>
      <c r="L2038" s="190"/>
      <c r="M2038" s="190"/>
      <c r="N2038" s="190"/>
      <c r="O2038" s="190"/>
      <c r="P2038" s="190"/>
      <c r="Q2038" s="190"/>
      <c r="R2038" s="190"/>
      <c r="S2038" s="190"/>
    </row>
    <row r="2039" spans="3:19" ht="16" x14ac:dyDescent="0.2">
      <c r="C2039" s="240">
        <v>37525</v>
      </c>
      <c r="D2039" s="225">
        <v>0.47916666666666669</v>
      </c>
      <c r="E2039" s="198">
        <v>12</v>
      </c>
      <c r="F2039" s="190">
        <v>8.6999999999999993</v>
      </c>
      <c r="G2039" s="190">
        <v>95.8</v>
      </c>
      <c r="H2039" s="198">
        <v>16.2</v>
      </c>
      <c r="I2039" s="198"/>
      <c r="L2039" s="190"/>
      <c r="M2039" s="190"/>
      <c r="N2039" s="190"/>
      <c r="O2039" s="190"/>
      <c r="P2039" s="190"/>
      <c r="Q2039" s="190"/>
      <c r="R2039" s="190"/>
      <c r="S2039" s="190"/>
    </row>
    <row r="2040" spans="3:19" ht="16" x14ac:dyDescent="0.2">
      <c r="C2040" s="240">
        <v>37525</v>
      </c>
      <c r="D2040" s="225">
        <v>0.47916666666666669</v>
      </c>
      <c r="E2040" s="198">
        <v>13</v>
      </c>
      <c r="F2040" s="190">
        <v>9.6999999999999993</v>
      </c>
      <c r="G2040" s="190">
        <v>101.1</v>
      </c>
      <c r="H2040" s="198">
        <v>13.6</v>
      </c>
      <c r="I2040" s="198"/>
      <c r="L2040" s="190"/>
      <c r="M2040" s="190"/>
      <c r="N2040" s="190"/>
      <c r="O2040" s="190"/>
      <c r="P2040" s="190"/>
      <c r="Q2040" s="190"/>
      <c r="R2040" s="190"/>
      <c r="S2040" s="190"/>
    </row>
    <row r="2041" spans="3:19" ht="16" x14ac:dyDescent="0.2">
      <c r="C2041" s="240">
        <v>37525</v>
      </c>
      <c r="D2041" s="225">
        <v>0.47916666666666669</v>
      </c>
      <c r="E2041" s="198">
        <v>14</v>
      </c>
      <c r="F2041" s="190">
        <v>10.5</v>
      </c>
      <c r="G2041" s="190">
        <v>101.8</v>
      </c>
      <c r="H2041" s="198">
        <v>10.199999999999999</v>
      </c>
      <c r="I2041" s="198"/>
      <c r="L2041" s="190"/>
      <c r="M2041" s="190"/>
      <c r="N2041" s="190"/>
      <c r="O2041" s="190"/>
      <c r="P2041" s="190"/>
      <c r="Q2041" s="190"/>
      <c r="R2041" s="190"/>
      <c r="S2041" s="190"/>
    </row>
    <row r="2042" spans="3:19" ht="16" x14ac:dyDescent="0.2">
      <c r="C2042" s="240">
        <v>37525</v>
      </c>
      <c r="D2042" s="225">
        <v>0.47916666666666669</v>
      </c>
      <c r="E2042" s="198">
        <v>15</v>
      </c>
      <c r="F2042" s="190">
        <v>10.7</v>
      </c>
      <c r="G2042" s="190">
        <v>100.7</v>
      </c>
      <c r="H2042" s="198">
        <v>8.9</v>
      </c>
      <c r="I2042" s="198"/>
      <c r="L2042" s="190"/>
      <c r="M2042" s="190"/>
      <c r="N2042" s="190"/>
      <c r="O2042" s="190"/>
      <c r="P2042" s="190"/>
      <c r="Q2042" s="190"/>
      <c r="R2042" s="190"/>
      <c r="S2042" s="190"/>
    </row>
    <row r="2043" spans="3:19" ht="16" x14ac:dyDescent="0.2">
      <c r="C2043" s="240">
        <v>37525</v>
      </c>
      <c r="D2043" s="225">
        <v>0.47916666666666669</v>
      </c>
      <c r="E2043" s="198">
        <v>16</v>
      </c>
      <c r="F2043" s="190">
        <v>10.8</v>
      </c>
      <c r="G2043" s="190">
        <v>99.6</v>
      </c>
      <c r="H2043" s="198">
        <v>8.1999999999999993</v>
      </c>
      <c r="I2043" s="198"/>
      <c r="L2043" s="190"/>
      <c r="M2043" s="190"/>
      <c r="N2043" s="190"/>
      <c r="O2043" s="190"/>
      <c r="P2043" s="190"/>
      <c r="Q2043" s="190"/>
      <c r="R2043" s="190"/>
      <c r="S2043" s="190"/>
    </row>
    <row r="2044" spans="3:19" ht="16" x14ac:dyDescent="0.2">
      <c r="C2044" s="240">
        <v>37525</v>
      </c>
      <c r="D2044" s="225">
        <v>0.47916666666666669</v>
      </c>
      <c r="E2044" s="198">
        <v>17</v>
      </c>
      <c r="F2044" s="190">
        <v>10.7</v>
      </c>
      <c r="G2044" s="190">
        <v>98.9</v>
      </c>
      <c r="H2044" s="198">
        <v>7.9</v>
      </c>
      <c r="I2044" s="198"/>
      <c r="L2044" s="190"/>
      <c r="M2044" s="190"/>
      <c r="N2044" s="190"/>
      <c r="O2044" s="190"/>
      <c r="P2044" s="190"/>
      <c r="Q2044" s="190"/>
      <c r="R2044" s="190"/>
      <c r="S2044" s="190"/>
    </row>
    <row r="2045" spans="3:19" ht="16" x14ac:dyDescent="0.2">
      <c r="C2045" s="240">
        <v>37525</v>
      </c>
      <c r="D2045" s="225">
        <v>0.47916666666666669</v>
      </c>
      <c r="E2045" s="198">
        <v>18</v>
      </c>
      <c r="F2045" s="190">
        <v>10.6</v>
      </c>
      <c r="G2045" s="190">
        <v>95.5</v>
      </c>
      <c r="H2045" s="198">
        <v>7.3</v>
      </c>
      <c r="I2045" s="198"/>
      <c r="L2045" s="190"/>
      <c r="M2045" s="190"/>
      <c r="N2045" s="190"/>
      <c r="O2045" s="190"/>
      <c r="P2045" s="190"/>
      <c r="Q2045" s="190"/>
      <c r="R2045" s="190"/>
      <c r="S2045" s="190"/>
    </row>
    <row r="2046" spans="3:19" ht="16" x14ac:dyDescent="0.2">
      <c r="C2046" s="240">
        <v>37525</v>
      </c>
      <c r="D2046" s="225">
        <v>0.47916666666666669</v>
      </c>
      <c r="E2046" s="198">
        <v>20</v>
      </c>
      <c r="F2046" s="190">
        <v>10.3</v>
      </c>
      <c r="G2046" s="190">
        <v>91.5</v>
      </c>
      <c r="H2046" s="198">
        <v>6.6</v>
      </c>
      <c r="I2046" s="198"/>
      <c r="L2046" s="190"/>
      <c r="M2046" s="190"/>
      <c r="N2046" s="190"/>
      <c r="O2046" s="190"/>
      <c r="P2046" s="190"/>
      <c r="Q2046" s="190"/>
      <c r="R2046" s="190"/>
      <c r="S2046" s="190"/>
    </row>
    <row r="2047" spans="3:19" ht="16" x14ac:dyDescent="0.2">
      <c r="C2047" s="240">
        <v>37525</v>
      </c>
      <c r="D2047" s="225">
        <v>0.47916666666666669</v>
      </c>
      <c r="E2047" s="198">
        <v>25</v>
      </c>
      <c r="F2047" s="190">
        <v>10.1</v>
      </c>
      <c r="G2047" s="190">
        <v>88.4</v>
      </c>
      <c r="H2047" s="198">
        <v>6.2</v>
      </c>
      <c r="I2047" s="198"/>
      <c r="L2047" s="190"/>
      <c r="M2047" s="190"/>
      <c r="N2047" s="190"/>
      <c r="O2047" s="190"/>
      <c r="P2047" s="190"/>
      <c r="Q2047" s="190"/>
      <c r="R2047" s="190"/>
      <c r="S2047" s="190"/>
    </row>
    <row r="2048" spans="3:19" ht="16" x14ac:dyDescent="0.2">
      <c r="C2048" s="240">
        <v>37525</v>
      </c>
      <c r="D2048" s="225">
        <v>0.47916666666666669</v>
      </c>
      <c r="E2048" s="198">
        <v>30</v>
      </c>
      <c r="F2048" s="190">
        <v>9.9</v>
      </c>
      <c r="G2048" s="190">
        <v>86.5</v>
      </c>
      <c r="H2048" s="198">
        <v>5.8</v>
      </c>
      <c r="I2048" s="198"/>
      <c r="L2048" s="190"/>
      <c r="M2048" s="190"/>
      <c r="N2048" s="190"/>
      <c r="O2048" s="190"/>
      <c r="P2048" s="190"/>
      <c r="Q2048" s="190"/>
      <c r="R2048" s="190"/>
      <c r="S2048" s="190"/>
    </row>
    <row r="2049" spans="2:19" ht="16" x14ac:dyDescent="0.2">
      <c r="C2049" s="240">
        <v>37525</v>
      </c>
      <c r="D2049" s="225">
        <v>0.47916666666666669</v>
      </c>
      <c r="E2049" s="198">
        <v>40</v>
      </c>
      <c r="F2049" s="190">
        <v>9.8000000000000007</v>
      </c>
      <c r="G2049" s="190">
        <v>84.6</v>
      </c>
      <c r="H2049" s="198">
        <v>5.6</v>
      </c>
      <c r="I2049" s="198"/>
      <c r="L2049" s="190"/>
      <c r="M2049" s="190"/>
      <c r="N2049" s="190"/>
      <c r="O2049" s="190"/>
      <c r="P2049" s="190"/>
      <c r="Q2049" s="190"/>
      <c r="R2049" s="190"/>
      <c r="S2049" s="190"/>
    </row>
    <row r="2050" spans="2:19" ht="16" x14ac:dyDescent="0.2">
      <c r="C2050" s="240">
        <v>37525</v>
      </c>
      <c r="D2050" s="225">
        <v>0.47916666666666669</v>
      </c>
      <c r="E2050" s="198">
        <v>46.7</v>
      </c>
      <c r="F2050" s="190">
        <v>9.5</v>
      </c>
      <c r="G2050" s="190">
        <v>81.900000000000006</v>
      </c>
      <c r="H2050" s="198">
        <v>5.3</v>
      </c>
      <c r="I2050" s="198"/>
      <c r="L2050" s="190"/>
      <c r="M2050" s="190"/>
      <c r="N2050" s="190"/>
      <c r="O2050" s="190"/>
      <c r="P2050" s="190"/>
      <c r="Q2050" s="190"/>
      <c r="R2050" s="190"/>
      <c r="S2050" s="190"/>
    </row>
    <row r="2051" spans="2:19" ht="16" x14ac:dyDescent="0.2">
      <c r="C2051" s="240"/>
      <c r="D2051" s="225"/>
      <c r="E2051" s="190"/>
      <c r="H2051" s="198"/>
      <c r="I2051" s="198"/>
      <c r="L2051" s="190"/>
      <c r="M2051" s="190"/>
      <c r="N2051" s="190"/>
      <c r="O2051" s="190"/>
      <c r="P2051" s="190"/>
      <c r="Q2051" s="190"/>
      <c r="R2051" s="190"/>
      <c r="S2051" s="190"/>
    </row>
    <row r="2052" spans="2:19" ht="16" x14ac:dyDescent="0.2">
      <c r="B2052">
        <v>40.4</v>
      </c>
      <c r="C2052" s="240">
        <v>37467</v>
      </c>
      <c r="D2052" s="225">
        <v>0.58333333333333337</v>
      </c>
      <c r="E2052" s="198"/>
      <c r="H2052" s="198"/>
      <c r="I2052" s="198"/>
      <c r="J2052">
        <v>8.6999999999999993</v>
      </c>
      <c r="K2052">
        <v>10.1</v>
      </c>
      <c r="L2052" s="190"/>
      <c r="M2052" s="190"/>
      <c r="N2052" s="190"/>
      <c r="O2052" s="190"/>
      <c r="P2052" s="190"/>
      <c r="Q2052" s="190"/>
      <c r="R2052" s="190"/>
      <c r="S2052" s="190"/>
    </row>
    <row r="2053" spans="2:19" ht="16" x14ac:dyDescent="0.2">
      <c r="C2053" s="240">
        <v>37467</v>
      </c>
      <c r="D2053" s="225">
        <v>0.58333333333333337</v>
      </c>
      <c r="E2053" s="198">
        <v>0.5</v>
      </c>
      <c r="F2053" s="190">
        <v>8.1</v>
      </c>
      <c r="G2053" s="190">
        <v>100</v>
      </c>
      <c r="H2053" s="198">
        <v>21.9</v>
      </c>
      <c r="I2053" s="198"/>
      <c r="L2053" s="190"/>
      <c r="M2053" s="190"/>
      <c r="N2053" s="190"/>
      <c r="O2053" s="190"/>
      <c r="P2053" s="190"/>
      <c r="Q2053" s="190"/>
      <c r="R2053" s="190"/>
      <c r="S2053" s="190"/>
    </row>
    <row r="2054" spans="2:19" ht="16" x14ac:dyDescent="0.2">
      <c r="C2054" s="240">
        <v>37467</v>
      </c>
      <c r="D2054" s="225">
        <v>0.58333333333333337</v>
      </c>
      <c r="E2054" s="198">
        <v>2</v>
      </c>
      <c r="F2054" s="190">
        <v>8</v>
      </c>
      <c r="G2054" s="190">
        <v>99.3</v>
      </c>
      <c r="H2054" s="198">
        <v>21.8</v>
      </c>
      <c r="I2054" s="198"/>
      <c r="L2054" s="190"/>
      <c r="M2054" s="190"/>
      <c r="N2054" s="190"/>
      <c r="O2054" s="190"/>
      <c r="P2054" s="190"/>
      <c r="Q2054" s="190"/>
      <c r="R2054" s="190"/>
      <c r="S2054" s="190"/>
    </row>
    <row r="2055" spans="2:19" ht="16" x14ac:dyDescent="0.2">
      <c r="C2055" s="240">
        <v>37467</v>
      </c>
      <c r="D2055" s="225">
        <v>0.58333333333333337</v>
      </c>
      <c r="E2055" s="198">
        <v>4</v>
      </c>
      <c r="F2055" s="190">
        <v>8</v>
      </c>
      <c r="G2055" s="190">
        <v>99.2</v>
      </c>
      <c r="H2055" s="198">
        <v>21.7</v>
      </c>
      <c r="I2055" s="198"/>
      <c r="L2055" s="190"/>
      <c r="M2055" s="190"/>
      <c r="N2055" s="190"/>
      <c r="O2055" s="190"/>
      <c r="P2055" s="190"/>
      <c r="Q2055" s="190"/>
      <c r="R2055" s="190"/>
      <c r="S2055" s="190"/>
    </row>
    <row r="2056" spans="2:19" ht="16" x14ac:dyDescent="0.2">
      <c r="C2056" s="240">
        <v>37467</v>
      </c>
      <c r="D2056" s="225">
        <v>0.58333333333333337</v>
      </c>
      <c r="E2056" s="198">
        <v>6</v>
      </c>
      <c r="F2056" s="190">
        <v>8</v>
      </c>
      <c r="G2056" s="190">
        <v>98.7</v>
      </c>
      <c r="H2056" s="198">
        <v>21.7</v>
      </c>
      <c r="I2056" s="198"/>
      <c r="L2056" s="190"/>
      <c r="M2056" s="190"/>
      <c r="N2056" s="190"/>
      <c r="O2056" s="190"/>
      <c r="P2056" s="190"/>
      <c r="Q2056" s="190"/>
      <c r="R2056" s="190"/>
      <c r="S2056" s="190"/>
    </row>
    <row r="2057" spans="2:19" ht="16" x14ac:dyDescent="0.2">
      <c r="C2057" s="240">
        <v>37467</v>
      </c>
      <c r="D2057" s="225">
        <v>0.58333333333333337</v>
      </c>
      <c r="E2057" s="198">
        <v>8</v>
      </c>
      <c r="F2057" s="190">
        <v>8</v>
      </c>
      <c r="G2057" s="190">
        <v>98.4</v>
      </c>
      <c r="H2057" s="198">
        <v>21.7</v>
      </c>
      <c r="I2057" s="198"/>
      <c r="L2057" s="190"/>
      <c r="M2057" s="190"/>
      <c r="N2057" s="190"/>
      <c r="O2057" s="190"/>
      <c r="P2057" s="190"/>
      <c r="Q2057" s="190"/>
      <c r="R2057" s="190"/>
      <c r="S2057" s="190"/>
    </row>
    <row r="2058" spans="2:19" ht="16" x14ac:dyDescent="0.2">
      <c r="C2058" s="240">
        <v>37467</v>
      </c>
      <c r="D2058" s="225">
        <v>0.58333333333333337</v>
      </c>
      <c r="E2058" s="198">
        <v>9</v>
      </c>
      <c r="F2058" s="190">
        <v>8.6</v>
      </c>
      <c r="G2058" s="190">
        <v>101.6</v>
      </c>
      <c r="H2058" s="198">
        <v>19.100000000000001</v>
      </c>
      <c r="I2058" s="198"/>
      <c r="L2058" s="190"/>
      <c r="M2058" s="190"/>
      <c r="N2058" s="190"/>
      <c r="O2058" s="190"/>
      <c r="P2058" s="190"/>
      <c r="Q2058" s="190"/>
      <c r="R2058" s="190"/>
      <c r="S2058" s="190"/>
    </row>
    <row r="2059" spans="2:19" ht="16" x14ac:dyDescent="0.2">
      <c r="C2059" s="240">
        <v>37467</v>
      </c>
      <c r="D2059" s="225">
        <v>0.58333333333333337</v>
      </c>
      <c r="E2059" s="198">
        <v>10</v>
      </c>
      <c r="F2059" s="190">
        <v>9.6999999999999993</v>
      </c>
      <c r="G2059" s="190">
        <v>103.5</v>
      </c>
      <c r="H2059" s="198">
        <v>14.6</v>
      </c>
      <c r="I2059" s="198"/>
      <c r="L2059" s="190"/>
      <c r="M2059" s="190"/>
      <c r="N2059" s="190"/>
      <c r="O2059" s="190"/>
      <c r="P2059" s="190"/>
      <c r="Q2059" s="190"/>
      <c r="R2059" s="190"/>
      <c r="S2059" s="190"/>
    </row>
    <row r="2060" spans="2:19" ht="16" x14ac:dyDescent="0.2">
      <c r="C2060" s="240">
        <v>37467</v>
      </c>
      <c r="D2060" s="225">
        <v>0.58333333333333337</v>
      </c>
      <c r="E2060" s="198">
        <v>11</v>
      </c>
      <c r="F2060" s="190">
        <v>10</v>
      </c>
      <c r="G2060" s="190">
        <v>102.4</v>
      </c>
      <c r="H2060" s="198">
        <v>12.7</v>
      </c>
      <c r="I2060" s="198"/>
      <c r="L2060" s="190"/>
      <c r="M2060" s="190"/>
      <c r="N2060" s="190"/>
      <c r="O2060" s="190"/>
      <c r="P2060" s="190"/>
      <c r="Q2060" s="190"/>
      <c r="R2060" s="190"/>
      <c r="S2060" s="190"/>
    </row>
    <row r="2061" spans="2:19" ht="16" x14ac:dyDescent="0.2">
      <c r="C2061" s="240">
        <v>37467</v>
      </c>
      <c r="D2061" s="225">
        <v>0.58333333333333337</v>
      </c>
      <c r="E2061" s="198">
        <v>12</v>
      </c>
      <c r="F2061" s="190">
        <v>10.199999999999999</v>
      </c>
      <c r="G2061" s="190">
        <v>100.3</v>
      </c>
      <c r="H2061" s="198">
        <v>10.6</v>
      </c>
      <c r="I2061" s="198"/>
      <c r="L2061" s="190"/>
      <c r="M2061" s="190"/>
      <c r="N2061" s="190"/>
      <c r="O2061" s="190"/>
      <c r="P2061" s="190"/>
      <c r="Q2061" s="190"/>
      <c r="R2061" s="190"/>
      <c r="S2061" s="190"/>
    </row>
    <row r="2062" spans="2:19" ht="16" x14ac:dyDescent="0.2">
      <c r="C2062" s="240">
        <v>37467</v>
      </c>
      <c r="D2062" s="225">
        <v>0.58333333333333337</v>
      </c>
      <c r="E2062" s="198">
        <v>13</v>
      </c>
      <c r="F2062" s="190">
        <v>10.4</v>
      </c>
      <c r="G2062" s="190">
        <v>99.7</v>
      </c>
      <c r="H2062" s="198">
        <v>9.6</v>
      </c>
      <c r="I2062" s="198"/>
      <c r="L2062" s="190"/>
      <c r="M2062" s="190"/>
      <c r="N2062" s="190"/>
      <c r="O2062" s="190"/>
      <c r="P2062" s="190"/>
      <c r="Q2062" s="190"/>
      <c r="R2062" s="190"/>
      <c r="S2062" s="190"/>
    </row>
    <row r="2063" spans="2:19" ht="16" x14ac:dyDescent="0.2">
      <c r="C2063" s="240">
        <v>37467</v>
      </c>
      <c r="D2063" s="225">
        <v>0.58333333333333337</v>
      </c>
      <c r="E2063" s="198">
        <v>14</v>
      </c>
      <c r="F2063" s="190">
        <v>10.3</v>
      </c>
      <c r="G2063" s="190">
        <v>95.5</v>
      </c>
      <c r="H2063" s="198">
        <v>8.3000000000000007</v>
      </c>
      <c r="I2063" s="198"/>
      <c r="L2063" s="190"/>
      <c r="M2063" s="190"/>
      <c r="N2063" s="190"/>
      <c r="O2063" s="190"/>
      <c r="P2063" s="190"/>
      <c r="Q2063" s="190"/>
      <c r="R2063" s="190"/>
      <c r="S2063" s="190"/>
    </row>
    <row r="2064" spans="2:19" ht="16" x14ac:dyDescent="0.2">
      <c r="C2064" s="240">
        <v>37467</v>
      </c>
      <c r="D2064" s="225">
        <v>0.58333333333333337</v>
      </c>
      <c r="E2064" s="198">
        <v>15</v>
      </c>
      <c r="F2064" s="190">
        <v>10.4</v>
      </c>
      <c r="G2064" s="190">
        <v>94.2</v>
      </c>
      <c r="H2064" s="198">
        <v>7.6</v>
      </c>
      <c r="I2064" s="198"/>
      <c r="L2064" s="190"/>
      <c r="M2064" s="190"/>
      <c r="N2064" s="190"/>
      <c r="O2064" s="190"/>
      <c r="P2064" s="190"/>
      <c r="Q2064" s="190"/>
      <c r="R2064" s="190"/>
      <c r="S2064" s="190"/>
    </row>
    <row r="2065" spans="2:19" ht="16" x14ac:dyDescent="0.2">
      <c r="C2065" s="240">
        <v>37467</v>
      </c>
      <c r="D2065" s="225">
        <v>0.58333333333333337</v>
      </c>
      <c r="E2065" s="198">
        <v>16</v>
      </c>
      <c r="F2065" s="190">
        <v>10.199999999999999</v>
      </c>
      <c r="G2065" s="190">
        <v>91.9</v>
      </c>
      <c r="H2065" s="198">
        <v>7.2</v>
      </c>
      <c r="I2065" s="198"/>
      <c r="L2065" s="190"/>
      <c r="M2065" s="190"/>
      <c r="N2065" s="190"/>
      <c r="O2065" s="190"/>
      <c r="P2065" s="190"/>
      <c r="Q2065" s="190"/>
      <c r="R2065" s="190"/>
      <c r="S2065" s="190"/>
    </row>
    <row r="2066" spans="2:19" ht="16" x14ac:dyDescent="0.2">
      <c r="C2066" s="240">
        <v>37467</v>
      </c>
      <c r="D2066" s="225">
        <v>0.58333333333333337</v>
      </c>
      <c r="E2066" s="198">
        <v>18</v>
      </c>
      <c r="F2066" s="190">
        <v>10.1</v>
      </c>
      <c r="G2066" s="190">
        <v>89.5</v>
      </c>
      <c r="H2066" s="198">
        <v>6.6</v>
      </c>
      <c r="I2066" s="198"/>
      <c r="L2066" s="190"/>
      <c r="M2066" s="190"/>
      <c r="N2066" s="190"/>
      <c r="O2066" s="190"/>
      <c r="P2066" s="190"/>
      <c r="Q2066" s="190"/>
      <c r="R2066" s="190"/>
      <c r="S2066" s="190"/>
    </row>
    <row r="2067" spans="2:19" ht="16" x14ac:dyDescent="0.2">
      <c r="C2067" s="240">
        <v>37467</v>
      </c>
      <c r="D2067" s="225">
        <v>0.58333333333333337</v>
      </c>
      <c r="E2067" s="198">
        <v>20</v>
      </c>
      <c r="F2067" s="190">
        <v>10</v>
      </c>
      <c r="G2067" s="190">
        <v>88.1</v>
      </c>
      <c r="H2067" s="198">
        <v>6.3</v>
      </c>
      <c r="I2067" s="198"/>
      <c r="L2067" s="190"/>
      <c r="M2067" s="190"/>
      <c r="N2067" s="190"/>
      <c r="O2067" s="190"/>
      <c r="P2067" s="190"/>
      <c r="Q2067" s="190"/>
      <c r="R2067" s="190"/>
      <c r="S2067" s="190"/>
    </row>
    <row r="2068" spans="2:19" ht="16" x14ac:dyDescent="0.2">
      <c r="C2068" s="240">
        <v>37467</v>
      </c>
      <c r="D2068" s="225">
        <v>0.58333333333333337</v>
      </c>
      <c r="E2068" s="198">
        <v>25</v>
      </c>
      <c r="F2068" s="190">
        <v>10</v>
      </c>
      <c r="G2068" s="190">
        <v>87.7</v>
      </c>
      <c r="H2068" s="198">
        <v>5.9</v>
      </c>
      <c r="I2068" s="198"/>
      <c r="L2068" s="190"/>
      <c r="M2068" s="190"/>
      <c r="N2068" s="190"/>
      <c r="O2068" s="190"/>
      <c r="P2068" s="190"/>
      <c r="Q2068" s="190"/>
      <c r="R2068" s="190"/>
      <c r="S2068" s="190"/>
    </row>
    <row r="2069" spans="2:19" ht="16" x14ac:dyDescent="0.2">
      <c r="C2069" s="240">
        <v>37467</v>
      </c>
      <c r="D2069" s="225">
        <v>0.58333333333333337</v>
      </c>
      <c r="E2069" s="198">
        <v>30</v>
      </c>
      <c r="F2069" s="190">
        <v>10.1</v>
      </c>
      <c r="G2069" s="190">
        <v>87.8</v>
      </c>
      <c r="H2069" s="198">
        <v>5.5</v>
      </c>
      <c r="I2069" s="198"/>
      <c r="L2069" s="190"/>
      <c r="M2069" s="190"/>
      <c r="N2069" s="190"/>
      <c r="O2069" s="190"/>
      <c r="P2069" s="190"/>
      <c r="Q2069" s="190"/>
      <c r="R2069" s="190"/>
      <c r="S2069" s="190"/>
    </row>
    <row r="2070" spans="2:19" ht="16" x14ac:dyDescent="0.2">
      <c r="C2070" s="240">
        <v>37467</v>
      </c>
      <c r="D2070" s="225">
        <v>0.58333333333333337</v>
      </c>
      <c r="E2070" s="198">
        <v>35</v>
      </c>
      <c r="F2070" s="190">
        <v>10.199999999999999</v>
      </c>
      <c r="G2070" s="190">
        <v>87.4</v>
      </c>
      <c r="H2070" s="198">
        <v>5.4</v>
      </c>
      <c r="I2070" s="198"/>
      <c r="L2070" s="190"/>
      <c r="M2070" s="190"/>
      <c r="N2070" s="190"/>
      <c r="O2070" s="190"/>
      <c r="P2070" s="190"/>
      <c r="Q2070" s="190"/>
      <c r="R2070" s="190"/>
      <c r="S2070" s="190"/>
    </row>
    <row r="2071" spans="2:19" ht="16" x14ac:dyDescent="0.2">
      <c r="C2071" s="240">
        <v>37467</v>
      </c>
      <c r="D2071" s="225">
        <v>0.58333333333333337</v>
      </c>
      <c r="E2071" s="198">
        <v>40</v>
      </c>
      <c r="F2071" s="190">
        <v>10.1</v>
      </c>
      <c r="G2071" s="190">
        <v>86.7</v>
      </c>
      <c r="H2071" s="198">
        <v>5.3</v>
      </c>
      <c r="I2071" s="198"/>
      <c r="L2071" s="190"/>
      <c r="M2071" s="190"/>
      <c r="N2071" s="190"/>
      <c r="O2071" s="190"/>
      <c r="P2071" s="190"/>
      <c r="Q2071" s="190"/>
      <c r="R2071" s="190"/>
      <c r="S2071" s="190"/>
    </row>
    <row r="2072" spans="2:19" ht="16" x14ac:dyDescent="0.2">
      <c r="C2072" s="240"/>
      <c r="D2072" s="225"/>
      <c r="E2072" s="198"/>
      <c r="H2072" s="198"/>
      <c r="I2072" s="198"/>
      <c r="L2072" s="190"/>
      <c r="M2072" s="190"/>
      <c r="N2072" s="190"/>
      <c r="O2072" s="190"/>
      <c r="P2072" s="190"/>
      <c r="Q2072" s="190"/>
      <c r="R2072" s="190"/>
      <c r="S2072" s="190"/>
    </row>
    <row r="2073" spans="2:19" ht="16" x14ac:dyDescent="0.2">
      <c r="B2073">
        <v>45.9</v>
      </c>
      <c r="C2073" s="240">
        <v>36060</v>
      </c>
      <c r="D2073" s="225">
        <v>0.54861111111111116</v>
      </c>
      <c r="E2073" s="198"/>
      <c r="H2073" s="198"/>
      <c r="I2073" s="198"/>
      <c r="J2073">
        <v>9.5</v>
      </c>
      <c r="L2073" s="190"/>
      <c r="M2073" s="190"/>
      <c r="N2073" s="190"/>
      <c r="O2073" s="190"/>
      <c r="P2073" s="190"/>
      <c r="Q2073" s="190"/>
      <c r="R2073" s="190"/>
      <c r="S2073" s="190"/>
    </row>
    <row r="2074" spans="2:19" ht="16" x14ac:dyDescent="0.2">
      <c r="C2074" s="240">
        <v>36060</v>
      </c>
      <c r="D2074" s="225">
        <v>0.54861111111111116</v>
      </c>
      <c r="E2074" s="198">
        <v>0.5</v>
      </c>
      <c r="F2074" s="190">
        <v>8.6</v>
      </c>
      <c r="H2074" s="198">
        <v>19.5</v>
      </c>
      <c r="I2074" s="198"/>
      <c r="L2074" s="190"/>
      <c r="M2074" s="190"/>
      <c r="N2074" s="190"/>
      <c r="O2074" s="190"/>
      <c r="P2074" s="190"/>
      <c r="Q2074" s="190"/>
      <c r="R2074" s="190"/>
      <c r="S2074" s="190"/>
    </row>
    <row r="2075" spans="2:19" ht="16" x14ac:dyDescent="0.2">
      <c r="C2075" s="240">
        <v>36060</v>
      </c>
      <c r="D2075" s="225">
        <v>0.54861111111111116</v>
      </c>
      <c r="E2075" s="198">
        <v>2</v>
      </c>
      <c r="F2075" s="190">
        <v>8.5</v>
      </c>
      <c r="H2075" s="198">
        <v>19.5</v>
      </c>
      <c r="I2075" s="198"/>
      <c r="L2075" s="190"/>
      <c r="M2075" s="190"/>
      <c r="N2075" s="190"/>
      <c r="O2075" s="190"/>
      <c r="P2075" s="190"/>
      <c r="Q2075" s="190"/>
      <c r="R2075" s="190"/>
      <c r="S2075" s="190"/>
    </row>
    <row r="2076" spans="2:19" ht="16" x14ac:dyDescent="0.2">
      <c r="C2076" s="240"/>
      <c r="D2076" s="225"/>
      <c r="E2076" s="198"/>
      <c r="H2076" s="198"/>
      <c r="I2076" s="198"/>
      <c r="L2076" s="190"/>
      <c r="M2076" s="190"/>
      <c r="N2076" s="190"/>
      <c r="O2076" s="190"/>
      <c r="P2076" s="190"/>
      <c r="Q2076" s="190"/>
      <c r="R2076" s="190"/>
      <c r="S2076" s="190"/>
    </row>
    <row r="2077" spans="2:19" ht="16" x14ac:dyDescent="0.2">
      <c r="B2077">
        <v>43.5</v>
      </c>
      <c r="C2077" s="240">
        <v>36032</v>
      </c>
      <c r="D2077" s="225">
        <v>0.53125</v>
      </c>
      <c r="E2077" s="198"/>
      <c r="H2077" s="198"/>
      <c r="I2077" s="198"/>
      <c r="J2077">
        <v>10</v>
      </c>
      <c r="L2077" s="190"/>
      <c r="M2077" s="190"/>
      <c r="N2077" s="190"/>
      <c r="O2077" s="190"/>
      <c r="P2077" s="190"/>
      <c r="Q2077" s="190"/>
      <c r="R2077" s="190"/>
      <c r="S2077" s="190"/>
    </row>
    <row r="2078" spans="2:19" ht="16" x14ac:dyDescent="0.2">
      <c r="C2078" s="240">
        <v>36032</v>
      </c>
      <c r="D2078" s="225">
        <v>0.53125</v>
      </c>
      <c r="E2078" s="198">
        <v>0.5</v>
      </c>
      <c r="F2078" s="190">
        <v>8.1</v>
      </c>
      <c r="H2078" s="198">
        <v>21.6</v>
      </c>
      <c r="I2078" s="198"/>
      <c r="L2078" s="190"/>
      <c r="M2078" s="190"/>
      <c r="N2078" s="190"/>
      <c r="O2078" s="190"/>
      <c r="P2078" s="190"/>
      <c r="Q2078" s="190"/>
      <c r="R2078" s="190"/>
      <c r="S2078" s="190"/>
    </row>
    <row r="2079" spans="2:19" ht="16" x14ac:dyDescent="0.2">
      <c r="C2079" s="240">
        <v>36032</v>
      </c>
      <c r="D2079" s="225">
        <v>0.53125</v>
      </c>
      <c r="E2079" s="198">
        <v>2</v>
      </c>
      <c r="F2079" s="190">
        <v>8</v>
      </c>
      <c r="H2079" s="198">
        <v>21.6</v>
      </c>
      <c r="I2079" s="198"/>
      <c r="L2079" s="190"/>
      <c r="M2079" s="190"/>
      <c r="N2079" s="190"/>
      <c r="O2079" s="190"/>
      <c r="P2079" s="190"/>
      <c r="Q2079" s="190"/>
      <c r="R2079" s="190"/>
      <c r="S2079" s="190"/>
    </row>
    <row r="2080" spans="2:19" ht="16" x14ac:dyDescent="0.2">
      <c r="C2080" s="240"/>
      <c r="D2080" s="225"/>
      <c r="E2080" s="198"/>
      <c r="H2080" s="198"/>
      <c r="I2080" s="198"/>
      <c r="L2080" s="190"/>
      <c r="M2080" s="190"/>
      <c r="N2080" s="190"/>
      <c r="O2080" s="190"/>
      <c r="P2080" s="190"/>
      <c r="Q2080" s="190"/>
      <c r="R2080" s="190"/>
      <c r="S2080" s="190"/>
    </row>
    <row r="2081" spans="2:19" ht="16" x14ac:dyDescent="0.2">
      <c r="B2081">
        <v>39.6</v>
      </c>
      <c r="C2081" s="240">
        <v>35983</v>
      </c>
      <c r="D2081" s="225">
        <v>0.53125</v>
      </c>
      <c r="E2081" s="198"/>
      <c r="H2081" s="198"/>
      <c r="I2081" s="198"/>
      <c r="J2081">
        <v>7</v>
      </c>
      <c r="L2081" s="190"/>
      <c r="M2081" s="190"/>
      <c r="N2081" s="190"/>
      <c r="O2081" s="190"/>
      <c r="P2081" s="190"/>
      <c r="Q2081" s="190"/>
      <c r="R2081" s="190"/>
      <c r="S2081" s="190"/>
    </row>
    <row r="2082" spans="2:19" ht="16" x14ac:dyDescent="0.2">
      <c r="C2082" s="240">
        <v>35983</v>
      </c>
      <c r="D2082" s="225">
        <v>0.53125</v>
      </c>
      <c r="E2082" s="198">
        <v>0.5</v>
      </c>
      <c r="F2082" s="190">
        <v>9.1999999999999993</v>
      </c>
      <c r="H2082" s="198">
        <v>21.3</v>
      </c>
      <c r="I2082" s="198"/>
      <c r="L2082" s="190"/>
      <c r="M2082" s="190"/>
      <c r="N2082" s="190"/>
      <c r="O2082" s="190"/>
      <c r="P2082" s="190"/>
      <c r="Q2082" s="190"/>
      <c r="R2082" s="190"/>
      <c r="S2082" s="190"/>
    </row>
    <row r="2083" spans="2:19" ht="16" x14ac:dyDescent="0.2">
      <c r="C2083" s="240">
        <v>35983</v>
      </c>
      <c r="D2083" s="225">
        <v>0.53125</v>
      </c>
      <c r="E2083" s="198">
        <v>2</v>
      </c>
      <c r="F2083" s="190">
        <v>9</v>
      </c>
      <c r="H2083" s="198">
        <v>19.899999999999999</v>
      </c>
      <c r="I2083" s="198"/>
      <c r="L2083" s="190"/>
      <c r="M2083" s="190"/>
      <c r="N2083" s="190"/>
      <c r="O2083" s="190"/>
      <c r="P2083" s="190"/>
      <c r="Q2083" s="190"/>
      <c r="R2083" s="190"/>
      <c r="S2083" s="190"/>
    </row>
    <row r="2084" spans="2:19" ht="16" x14ac:dyDescent="0.2">
      <c r="C2084" s="240">
        <v>35983</v>
      </c>
      <c r="D2084" s="225">
        <v>0.53125</v>
      </c>
      <c r="E2084" s="198">
        <v>4</v>
      </c>
      <c r="F2084" s="190">
        <v>9.1</v>
      </c>
      <c r="H2084" s="198">
        <v>18.899999999999999</v>
      </c>
      <c r="I2084" s="198"/>
      <c r="L2084" s="190"/>
      <c r="M2084" s="190"/>
      <c r="N2084" s="190"/>
      <c r="O2084" s="190"/>
      <c r="P2084" s="190"/>
      <c r="Q2084" s="190"/>
      <c r="R2084" s="190"/>
      <c r="S2084" s="190"/>
    </row>
    <row r="2085" spans="2:19" ht="16" x14ac:dyDescent="0.2">
      <c r="C2085" s="240">
        <v>35983</v>
      </c>
      <c r="D2085" s="225">
        <v>0.53125</v>
      </c>
      <c r="E2085" s="198">
        <v>6</v>
      </c>
      <c r="F2085" s="190">
        <v>9.5</v>
      </c>
      <c r="H2085" s="198">
        <v>16.7</v>
      </c>
      <c r="I2085" s="198"/>
      <c r="L2085" s="190"/>
      <c r="M2085" s="190"/>
      <c r="N2085" s="190"/>
      <c r="O2085" s="190"/>
      <c r="P2085" s="190"/>
      <c r="Q2085" s="190"/>
      <c r="R2085" s="190"/>
      <c r="S2085" s="190"/>
    </row>
    <row r="2086" spans="2:19" ht="16" x14ac:dyDescent="0.2">
      <c r="C2086" s="240"/>
      <c r="D2086" s="225"/>
      <c r="E2086" s="198"/>
      <c r="H2086" s="198"/>
      <c r="I2086" s="198"/>
      <c r="L2086" s="190"/>
      <c r="M2086" s="190"/>
      <c r="N2086" s="190"/>
      <c r="O2086" s="190"/>
      <c r="P2086" s="190"/>
      <c r="Q2086" s="190"/>
      <c r="R2086" s="190"/>
      <c r="S2086" s="190"/>
    </row>
    <row r="2087" spans="2:19" ht="16" x14ac:dyDescent="0.2">
      <c r="B2087">
        <v>42</v>
      </c>
      <c r="C2087" s="240">
        <v>35934</v>
      </c>
      <c r="D2087" s="225">
        <v>0.54861111111111116</v>
      </c>
      <c r="E2087" s="198"/>
      <c r="H2087" s="198"/>
      <c r="I2087" s="198"/>
      <c r="J2087">
        <v>6</v>
      </c>
      <c r="L2087" s="190"/>
      <c r="M2087" s="190"/>
      <c r="N2087" s="190"/>
      <c r="O2087" s="190"/>
      <c r="P2087" s="190"/>
      <c r="Q2087" s="190"/>
      <c r="R2087" s="190"/>
      <c r="S2087" s="190"/>
    </row>
    <row r="2088" spans="2:19" ht="16" x14ac:dyDescent="0.2">
      <c r="C2088" s="240">
        <v>35934</v>
      </c>
      <c r="D2088" s="225">
        <v>0.54861111111111116</v>
      </c>
      <c r="E2088" s="198">
        <v>0.5</v>
      </c>
      <c r="F2088" s="190">
        <v>10.5</v>
      </c>
      <c r="H2088" s="198">
        <v>12.7</v>
      </c>
      <c r="I2088" s="198"/>
      <c r="L2088" s="190"/>
      <c r="M2088" s="190"/>
      <c r="N2088" s="190"/>
      <c r="O2088" s="190"/>
      <c r="P2088" s="190"/>
      <c r="Q2088" s="190"/>
      <c r="R2088" s="190"/>
      <c r="S2088" s="190"/>
    </row>
    <row r="2089" spans="2:19" ht="16" x14ac:dyDescent="0.2">
      <c r="C2089" s="240">
        <v>35934</v>
      </c>
      <c r="D2089" s="225">
        <v>0.54861111111111116</v>
      </c>
      <c r="E2089" s="198">
        <v>5</v>
      </c>
      <c r="F2089" s="190">
        <v>10.5</v>
      </c>
      <c r="H2089" s="198">
        <v>11.4</v>
      </c>
      <c r="I2089" s="198"/>
      <c r="L2089" s="190"/>
      <c r="M2089" s="190"/>
      <c r="N2089" s="190"/>
      <c r="O2089" s="190"/>
      <c r="P2089" s="190"/>
      <c r="Q2089" s="190"/>
      <c r="R2089" s="190"/>
      <c r="S2089" s="190"/>
    </row>
    <row r="2090" spans="2:19" ht="16" x14ac:dyDescent="0.2">
      <c r="C2090" s="240">
        <v>35934</v>
      </c>
      <c r="D2090" s="225">
        <v>0.54861111111111116</v>
      </c>
      <c r="E2090" s="198">
        <v>10</v>
      </c>
      <c r="F2090" s="190">
        <v>10.5</v>
      </c>
      <c r="H2090" s="198">
        <v>11.3</v>
      </c>
      <c r="I2090" s="198"/>
      <c r="L2090" s="190"/>
      <c r="M2090" s="190"/>
      <c r="N2090" s="190"/>
      <c r="O2090" s="190"/>
      <c r="P2090" s="190"/>
      <c r="Q2090" s="190"/>
      <c r="R2090" s="190"/>
      <c r="S2090" s="190"/>
    </row>
    <row r="2091" spans="2:19" ht="16" x14ac:dyDescent="0.2">
      <c r="C2091" s="240">
        <v>35934</v>
      </c>
      <c r="D2091" s="225">
        <v>0.54861111111111116</v>
      </c>
      <c r="E2091" s="198">
        <v>15</v>
      </c>
      <c r="F2091" s="190">
        <v>10.3</v>
      </c>
      <c r="H2091" s="198">
        <v>11.2</v>
      </c>
      <c r="I2091" s="198"/>
      <c r="L2091" s="190"/>
      <c r="M2091" s="190"/>
      <c r="N2091" s="190"/>
      <c r="O2091" s="190"/>
      <c r="P2091" s="190"/>
      <c r="Q2091" s="190"/>
      <c r="R2091" s="190"/>
      <c r="S2091" s="190"/>
    </row>
    <row r="2092" spans="2:19" ht="16" x14ac:dyDescent="0.2">
      <c r="C2092" s="240">
        <v>35934</v>
      </c>
      <c r="D2092" s="225">
        <v>0.54861111111111116</v>
      </c>
      <c r="E2092" s="198">
        <v>20</v>
      </c>
      <c r="F2092" s="190">
        <v>11.1</v>
      </c>
      <c r="H2092" s="198">
        <v>6.7</v>
      </c>
      <c r="I2092" s="198"/>
      <c r="L2092" s="190"/>
      <c r="M2092" s="190"/>
      <c r="N2092" s="190"/>
      <c r="O2092" s="190"/>
      <c r="P2092" s="190"/>
      <c r="Q2092" s="190"/>
      <c r="R2092" s="190"/>
      <c r="S2092" s="190"/>
    </row>
    <row r="2093" spans="2:19" ht="16" x14ac:dyDescent="0.2">
      <c r="C2093" s="240">
        <v>35934</v>
      </c>
      <c r="D2093" s="225">
        <v>0.54861111111111116</v>
      </c>
      <c r="E2093" s="198">
        <v>25</v>
      </c>
      <c r="F2093" s="190">
        <v>11.1</v>
      </c>
      <c r="H2093" s="198">
        <v>5.6</v>
      </c>
      <c r="I2093" s="198"/>
      <c r="L2093" s="190"/>
      <c r="M2093" s="190"/>
      <c r="N2093" s="190"/>
      <c r="O2093" s="190"/>
      <c r="P2093" s="190"/>
      <c r="Q2093" s="190"/>
      <c r="R2093" s="190"/>
      <c r="S2093" s="190"/>
    </row>
    <row r="2094" spans="2:19" ht="16" x14ac:dyDescent="0.2">
      <c r="C2094" s="240">
        <v>35934</v>
      </c>
      <c r="D2094" s="225">
        <v>0.54861111111111116</v>
      </c>
      <c r="E2094" s="198">
        <v>30</v>
      </c>
      <c r="F2094" s="190">
        <v>11.3</v>
      </c>
      <c r="H2094" s="198">
        <v>5.0999999999999996</v>
      </c>
      <c r="I2094" s="198"/>
      <c r="L2094" s="190"/>
      <c r="M2094" s="190"/>
      <c r="N2094" s="190"/>
      <c r="O2094" s="190"/>
      <c r="P2094" s="190"/>
      <c r="Q2094" s="190"/>
      <c r="R2094" s="190"/>
      <c r="S2094" s="190"/>
    </row>
    <row r="2095" spans="2:19" ht="16" x14ac:dyDescent="0.2">
      <c r="C2095" s="240">
        <v>35934</v>
      </c>
      <c r="D2095" s="225">
        <v>0.54861111111111116</v>
      </c>
      <c r="E2095" s="198">
        <v>35</v>
      </c>
      <c r="F2095" s="190">
        <v>11.2</v>
      </c>
      <c r="H2095" s="198">
        <v>5</v>
      </c>
      <c r="I2095" s="198"/>
      <c r="L2095" s="190"/>
      <c r="M2095" s="190"/>
      <c r="N2095" s="190"/>
      <c r="O2095" s="190"/>
      <c r="P2095" s="190"/>
      <c r="Q2095" s="190"/>
      <c r="R2095" s="190"/>
      <c r="S2095" s="190"/>
    </row>
    <row r="2096" spans="2:19" ht="16" x14ac:dyDescent="0.2">
      <c r="C2096" s="240">
        <v>35934</v>
      </c>
      <c r="D2096" s="225">
        <v>0.54861111111111116</v>
      </c>
      <c r="E2096" s="198">
        <v>40</v>
      </c>
      <c r="F2096" s="190">
        <v>11.1</v>
      </c>
      <c r="H2096" s="198">
        <v>5</v>
      </c>
      <c r="I2096" s="198"/>
      <c r="L2096" s="190"/>
      <c r="M2096" s="190"/>
      <c r="N2096" s="190"/>
      <c r="O2096" s="190"/>
      <c r="P2096" s="190"/>
      <c r="Q2096" s="190"/>
      <c r="R2096" s="190"/>
      <c r="S2096" s="190"/>
    </row>
    <row r="2097" spans="2:19" ht="16" x14ac:dyDescent="0.2">
      <c r="C2097" s="240"/>
      <c r="D2097" s="225"/>
      <c r="E2097" s="198"/>
      <c r="H2097" s="198"/>
      <c r="I2097" s="198"/>
      <c r="L2097" s="190"/>
      <c r="M2097" s="190"/>
      <c r="N2097" s="190"/>
      <c r="O2097" s="190"/>
      <c r="P2097" s="190"/>
      <c r="Q2097" s="190"/>
      <c r="R2097" s="190"/>
      <c r="S2097" s="190"/>
    </row>
    <row r="2098" spans="2:19" ht="16" x14ac:dyDescent="0.2">
      <c r="B2098">
        <v>43</v>
      </c>
      <c r="C2098" s="240">
        <v>35913</v>
      </c>
      <c r="D2098" s="225"/>
      <c r="E2098" s="198"/>
      <c r="H2098" s="198"/>
      <c r="I2098" s="198"/>
      <c r="J2098">
        <v>7.5</v>
      </c>
      <c r="L2098" s="190"/>
      <c r="M2098" s="190"/>
      <c r="N2098" s="190"/>
      <c r="O2098" s="190"/>
      <c r="P2098" s="190"/>
      <c r="Q2098" s="190"/>
      <c r="R2098" s="190"/>
      <c r="S2098" s="190"/>
    </row>
    <row r="2099" spans="2:19" ht="16" x14ac:dyDescent="0.2">
      <c r="C2099" s="240"/>
      <c r="D2099" s="225"/>
      <c r="E2099" s="198"/>
      <c r="H2099" s="198"/>
      <c r="I2099" s="198"/>
      <c r="L2099" s="190"/>
      <c r="M2099" s="190"/>
      <c r="N2099" s="190"/>
      <c r="O2099" s="190"/>
      <c r="P2099" s="190"/>
      <c r="Q2099" s="190"/>
      <c r="R2099" s="190"/>
      <c r="S2099" s="190"/>
    </row>
    <row r="2100" spans="2:19" ht="16" x14ac:dyDescent="0.2">
      <c r="B2100">
        <v>36.4</v>
      </c>
      <c r="C2100" s="240">
        <v>35683</v>
      </c>
      <c r="D2100" s="225">
        <v>0.54166666666666663</v>
      </c>
      <c r="E2100" s="198"/>
      <c r="H2100" s="198"/>
      <c r="I2100" s="198"/>
      <c r="J2100" s="186">
        <v>7</v>
      </c>
      <c r="L2100" s="190"/>
      <c r="M2100" s="190"/>
      <c r="N2100" s="190"/>
      <c r="O2100" s="190"/>
      <c r="P2100" s="190"/>
      <c r="Q2100" s="190"/>
      <c r="R2100" s="190"/>
      <c r="S2100" s="190"/>
    </row>
    <row r="2101" spans="2:19" ht="16" x14ac:dyDescent="0.2">
      <c r="C2101" s="240">
        <v>35683</v>
      </c>
      <c r="D2101" s="225">
        <v>0.54166666666666663</v>
      </c>
      <c r="E2101" s="198">
        <v>0.5</v>
      </c>
      <c r="F2101" s="190">
        <v>7.9</v>
      </c>
      <c r="H2101" s="198">
        <v>19.5</v>
      </c>
      <c r="I2101" s="198">
        <v>19.5</v>
      </c>
      <c r="L2101" s="190"/>
      <c r="M2101" s="190"/>
      <c r="N2101" s="190"/>
      <c r="O2101" s="190"/>
      <c r="P2101" s="190"/>
      <c r="Q2101" s="190"/>
      <c r="R2101" s="190"/>
      <c r="S2101" s="190"/>
    </row>
    <row r="2102" spans="2:19" ht="16" x14ac:dyDescent="0.2">
      <c r="C2102" s="240">
        <v>35683</v>
      </c>
      <c r="D2102" s="225">
        <v>0.54166666666666663</v>
      </c>
      <c r="E2102" s="198">
        <v>2</v>
      </c>
      <c r="F2102" s="190">
        <v>7.7</v>
      </c>
      <c r="H2102" s="198">
        <v>19.5</v>
      </c>
      <c r="I2102" s="198">
        <v>19.5</v>
      </c>
      <c r="L2102" s="190"/>
      <c r="M2102" s="190"/>
      <c r="N2102" s="190"/>
      <c r="O2102" s="190"/>
      <c r="P2102" s="190"/>
      <c r="Q2102" s="190"/>
      <c r="R2102" s="190"/>
      <c r="S2102" s="190"/>
    </row>
    <row r="2103" spans="2:19" ht="16" x14ac:dyDescent="0.2">
      <c r="C2103" s="240">
        <v>35683</v>
      </c>
      <c r="D2103" s="225">
        <v>0.54166666666666663</v>
      </c>
      <c r="E2103" s="198">
        <v>4</v>
      </c>
      <c r="F2103" s="190">
        <v>7.7</v>
      </c>
      <c r="H2103" s="198">
        <v>19.399999999999999</v>
      </c>
      <c r="I2103" s="198">
        <v>19.399999999999999</v>
      </c>
      <c r="L2103" s="190"/>
      <c r="M2103" s="190"/>
      <c r="N2103" s="190"/>
      <c r="O2103" s="190"/>
      <c r="P2103" s="190"/>
      <c r="Q2103" s="190"/>
      <c r="R2103" s="190"/>
      <c r="S2103" s="190"/>
    </row>
    <row r="2104" spans="2:19" ht="16" x14ac:dyDescent="0.2">
      <c r="C2104" s="240">
        <v>35683</v>
      </c>
      <c r="D2104" s="225">
        <v>0.54166666666666663</v>
      </c>
      <c r="E2104" s="198">
        <v>6</v>
      </c>
      <c r="F2104" s="190">
        <v>7.6</v>
      </c>
      <c r="H2104" s="198">
        <v>19.399999999999999</v>
      </c>
      <c r="I2104" s="198">
        <v>19.399999999999999</v>
      </c>
      <c r="L2104" s="190"/>
      <c r="M2104" s="190"/>
      <c r="N2104" s="190"/>
      <c r="O2104" s="190"/>
      <c r="P2104" s="190"/>
      <c r="Q2104" s="190"/>
      <c r="R2104" s="190"/>
      <c r="S2104" s="190"/>
    </row>
    <row r="2105" spans="2:19" ht="16" x14ac:dyDescent="0.2">
      <c r="C2105" s="240">
        <v>35683</v>
      </c>
      <c r="D2105" s="225">
        <v>0.54166666666666663</v>
      </c>
      <c r="E2105" s="198">
        <v>7</v>
      </c>
      <c r="F2105" s="190">
        <v>7.6</v>
      </c>
      <c r="H2105" s="198">
        <v>19.3</v>
      </c>
      <c r="I2105" s="198">
        <v>19.3</v>
      </c>
      <c r="L2105" s="190"/>
      <c r="M2105" s="190"/>
      <c r="N2105" s="190"/>
      <c r="O2105" s="190"/>
      <c r="P2105" s="190"/>
      <c r="Q2105" s="190"/>
      <c r="R2105" s="190"/>
      <c r="S2105" s="190"/>
    </row>
    <row r="2106" spans="2:19" ht="16" x14ac:dyDescent="0.2">
      <c r="C2106" s="240">
        <v>35683</v>
      </c>
      <c r="D2106" s="225">
        <v>0.54166666666666663</v>
      </c>
      <c r="E2106" s="198">
        <v>8</v>
      </c>
      <c r="F2106" s="190">
        <v>7.5</v>
      </c>
      <c r="H2106" s="198">
        <v>19.3</v>
      </c>
      <c r="I2106" s="198">
        <v>19.3</v>
      </c>
      <c r="L2106" s="190"/>
      <c r="M2106" s="190"/>
      <c r="N2106" s="190"/>
      <c r="O2106" s="190"/>
      <c r="P2106" s="190"/>
      <c r="Q2106" s="190"/>
      <c r="R2106" s="190"/>
      <c r="S2106" s="190"/>
    </row>
    <row r="2107" spans="2:19" ht="16" x14ac:dyDescent="0.2">
      <c r="C2107" s="240">
        <v>35683</v>
      </c>
      <c r="D2107" s="225">
        <v>0.54166666666666663</v>
      </c>
      <c r="E2107" s="198">
        <v>9</v>
      </c>
      <c r="F2107" s="190">
        <v>7.5</v>
      </c>
      <c r="H2107" s="198">
        <v>18.899999999999999</v>
      </c>
      <c r="I2107" s="198">
        <v>18.899999999999999</v>
      </c>
      <c r="L2107" s="190"/>
      <c r="M2107" s="190"/>
      <c r="N2107" s="190"/>
      <c r="O2107" s="190"/>
      <c r="P2107" s="190"/>
      <c r="Q2107" s="190"/>
      <c r="R2107" s="190"/>
      <c r="S2107" s="190"/>
    </row>
    <row r="2108" spans="2:19" ht="16" x14ac:dyDescent="0.2">
      <c r="C2108" s="240">
        <v>35683</v>
      </c>
      <c r="D2108" s="225">
        <v>0.54166666666666663</v>
      </c>
      <c r="E2108" s="198">
        <v>10</v>
      </c>
      <c r="F2108" s="190">
        <v>7</v>
      </c>
      <c r="H2108" s="198">
        <v>17.2</v>
      </c>
      <c r="I2108" s="243">
        <f>AVERAGE(I2101:I2107)</f>
        <v>19.328571428571426</v>
      </c>
      <c r="L2108" s="190"/>
      <c r="M2108" s="190"/>
      <c r="N2108" s="190"/>
      <c r="O2108" s="190"/>
      <c r="P2108" s="190"/>
      <c r="Q2108" s="190"/>
      <c r="R2108" s="190"/>
      <c r="S2108" s="190"/>
    </row>
    <row r="2109" spans="2:19" ht="16" x14ac:dyDescent="0.2">
      <c r="C2109" s="240">
        <v>35683</v>
      </c>
      <c r="D2109" s="225">
        <v>0.54166666666666663</v>
      </c>
      <c r="E2109" s="198">
        <v>11</v>
      </c>
      <c r="F2109" s="190">
        <v>7.5</v>
      </c>
      <c r="H2109" s="198">
        <v>17.399999999999999</v>
      </c>
      <c r="I2109" s="198"/>
      <c r="L2109" s="190"/>
      <c r="M2109" s="190"/>
      <c r="N2109" s="190"/>
      <c r="O2109" s="190"/>
      <c r="P2109" s="190"/>
      <c r="Q2109" s="190"/>
      <c r="R2109" s="190"/>
      <c r="S2109" s="190"/>
    </row>
    <row r="2110" spans="2:19" ht="16" x14ac:dyDescent="0.2">
      <c r="C2110" s="240">
        <v>35683</v>
      </c>
      <c r="D2110" s="225">
        <v>0.54166666666666663</v>
      </c>
      <c r="E2110" s="198">
        <v>12</v>
      </c>
      <c r="F2110" s="190">
        <v>8.1999999999999993</v>
      </c>
      <c r="H2110" s="198">
        <v>12</v>
      </c>
      <c r="I2110" s="198"/>
      <c r="L2110" s="190"/>
      <c r="M2110" s="190"/>
      <c r="N2110" s="190"/>
      <c r="O2110" s="190"/>
      <c r="P2110" s="190"/>
      <c r="Q2110" s="190"/>
      <c r="R2110" s="190"/>
      <c r="S2110" s="190"/>
    </row>
    <row r="2111" spans="2:19" ht="16" x14ac:dyDescent="0.2">
      <c r="C2111" s="240">
        <v>35683</v>
      </c>
      <c r="D2111" s="225">
        <v>0.54166666666666663</v>
      </c>
      <c r="E2111" s="198">
        <v>13</v>
      </c>
      <c r="F2111" s="190">
        <v>8.9</v>
      </c>
      <c r="H2111" s="198">
        <v>9.1</v>
      </c>
      <c r="I2111" s="198"/>
      <c r="L2111" s="190"/>
      <c r="M2111" s="190"/>
      <c r="N2111" s="190"/>
      <c r="O2111" s="190"/>
      <c r="P2111" s="190"/>
      <c r="Q2111" s="190"/>
      <c r="R2111" s="190"/>
      <c r="S2111" s="190"/>
    </row>
    <row r="2112" spans="2:19" ht="16" x14ac:dyDescent="0.2">
      <c r="C2112" s="240">
        <v>35683</v>
      </c>
      <c r="D2112" s="225">
        <v>0.54166666666666663</v>
      </c>
      <c r="E2112" s="198">
        <v>14</v>
      </c>
      <c r="F2112" s="190">
        <v>8.6</v>
      </c>
      <c r="H2112" s="198">
        <v>8.6</v>
      </c>
      <c r="I2112" s="198"/>
      <c r="L2112" s="190"/>
      <c r="M2112" s="190"/>
      <c r="N2112" s="190"/>
      <c r="O2112" s="190"/>
      <c r="P2112" s="190"/>
      <c r="Q2112" s="190"/>
      <c r="R2112" s="190"/>
      <c r="S2112" s="190"/>
    </row>
    <row r="2113" spans="2:19" ht="16" x14ac:dyDescent="0.2">
      <c r="C2113" s="240">
        <v>35683</v>
      </c>
      <c r="D2113" s="225">
        <v>0.54166666666666663</v>
      </c>
      <c r="E2113" s="198">
        <v>15</v>
      </c>
      <c r="F2113" s="190">
        <v>8.8000000000000007</v>
      </c>
      <c r="H2113" s="198">
        <v>8.1</v>
      </c>
      <c r="I2113" s="198"/>
      <c r="L2113" s="190"/>
      <c r="M2113" s="190"/>
      <c r="N2113" s="190"/>
      <c r="O2113" s="190"/>
      <c r="P2113" s="190"/>
      <c r="Q2113" s="190"/>
      <c r="R2113" s="190"/>
      <c r="S2113" s="190"/>
    </row>
    <row r="2114" spans="2:19" ht="16" x14ac:dyDescent="0.2">
      <c r="C2114" s="240">
        <v>35683</v>
      </c>
      <c r="D2114" s="225">
        <v>0.54166666666666663</v>
      </c>
      <c r="E2114" s="198">
        <v>16</v>
      </c>
      <c r="F2114" s="190">
        <v>8.6</v>
      </c>
      <c r="H2114" s="198">
        <v>6.4</v>
      </c>
      <c r="I2114" s="198"/>
      <c r="L2114" s="190"/>
      <c r="M2114" s="190"/>
      <c r="N2114" s="190"/>
      <c r="O2114" s="190"/>
      <c r="P2114" s="190"/>
      <c r="Q2114" s="190"/>
      <c r="R2114" s="190"/>
      <c r="S2114" s="190"/>
    </row>
    <row r="2115" spans="2:19" ht="16" x14ac:dyDescent="0.2">
      <c r="C2115" s="240">
        <v>35683</v>
      </c>
      <c r="D2115" s="225">
        <v>0.54166666666666663</v>
      </c>
      <c r="E2115" s="198">
        <v>17</v>
      </c>
      <c r="F2115" s="190">
        <v>8.6</v>
      </c>
      <c r="H2115" s="198">
        <v>6.1</v>
      </c>
      <c r="I2115" s="198"/>
      <c r="L2115" s="190"/>
      <c r="M2115" s="190"/>
      <c r="N2115" s="190"/>
      <c r="O2115" s="190"/>
      <c r="P2115" s="190"/>
      <c r="Q2115" s="190"/>
      <c r="R2115" s="190"/>
      <c r="S2115" s="190"/>
    </row>
    <row r="2116" spans="2:19" ht="16" x14ac:dyDescent="0.2">
      <c r="C2116" s="240">
        <v>35683</v>
      </c>
      <c r="D2116" s="225">
        <v>0.54166666666666663</v>
      </c>
      <c r="E2116" s="198">
        <v>18</v>
      </c>
      <c r="F2116" s="190">
        <v>8.6</v>
      </c>
      <c r="H2116" s="198">
        <v>6</v>
      </c>
      <c r="I2116" s="198"/>
      <c r="L2116" s="190"/>
      <c r="M2116" s="190"/>
      <c r="N2116" s="190"/>
      <c r="O2116" s="190"/>
      <c r="P2116" s="190"/>
      <c r="Q2116" s="190"/>
      <c r="R2116" s="190"/>
      <c r="S2116" s="190"/>
    </row>
    <row r="2117" spans="2:19" ht="16" x14ac:dyDescent="0.2">
      <c r="C2117" s="240">
        <v>35683</v>
      </c>
      <c r="D2117" s="225">
        <v>0.54166666666666663</v>
      </c>
      <c r="E2117" s="198">
        <v>19</v>
      </c>
      <c r="F2117" s="190">
        <v>8.5</v>
      </c>
      <c r="H2117" s="198">
        <v>5.9</v>
      </c>
      <c r="I2117" s="198"/>
      <c r="L2117" s="190"/>
      <c r="M2117" s="190"/>
      <c r="N2117" s="190"/>
      <c r="O2117" s="190"/>
      <c r="P2117" s="190"/>
      <c r="Q2117" s="190"/>
      <c r="R2117" s="190"/>
      <c r="S2117" s="190"/>
    </row>
    <row r="2118" spans="2:19" ht="16" x14ac:dyDescent="0.2">
      <c r="C2118" s="240">
        <v>35683</v>
      </c>
      <c r="D2118" s="225">
        <v>0.54166666666666663</v>
      </c>
      <c r="E2118" s="198">
        <v>20</v>
      </c>
      <c r="F2118" s="190">
        <v>8.6</v>
      </c>
      <c r="H2118" s="198">
        <v>6</v>
      </c>
      <c r="I2118" s="198"/>
      <c r="L2118" s="190"/>
      <c r="M2118" s="190"/>
      <c r="N2118" s="190"/>
      <c r="O2118" s="190"/>
      <c r="P2118" s="190"/>
      <c r="Q2118" s="190"/>
      <c r="R2118" s="190"/>
      <c r="S2118" s="190"/>
    </row>
    <row r="2119" spans="2:19" ht="16" x14ac:dyDescent="0.2">
      <c r="C2119" s="240">
        <v>35683</v>
      </c>
      <c r="D2119" s="225">
        <v>0.54166666666666663</v>
      </c>
      <c r="E2119" s="198">
        <v>25</v>
      </c>
      <c r="F2119" s="190">
        <v>8.6</v>
      </c>
      <c r="H2119" s="198">
        <v>5.7</v>
      </c>
      <c r="I2119" s="198"/>
      <c r="L2119" s="190"/>
      <c r="M2119" s="190"/>
      <c r="N2119" s="190"/>
      <c r="O2119" s="190"/>
      <c r="P2119" s="190"/>
      <c r="Q2119" s="190"/>
      <c r="R2119" s="190"/>
      <c r="S2119" s="190"/>
    </row>
    <row r="2120" spans="2:19" ht="16" x14ac:dyDescent="0.2">
      <c r="C2120" s="240">
        <v>35683</v>
      </c>
      <c r="D2120" s="225">
        <v>0.54166666666666663</v>
      </c>
      <c r="E2120" s="198">
        <v>30</v>
      </c>
      <c r="F2120" s="190">
        <v>8.6</v>
      </c>
      <c r="H2120" s="198">
        <v>5.5</v>
      </c>
      <c r="I2120" s="198"/>
      <c r="L2120" s="190"/>
      <c r="M2120" s="190"/>
      <c r="N2120" s="190"/>
      <c r="O2120" s="190"/>
      <c r="P2120" s="190"/>
      <c r="Q2120" s="190"/>
      <c r="R2120" s="190"/>
      <c r="S2120" s="190"/>
    </row>
    <row r="2121" spans="2:19" ht="16" x14ac:dyDescent="0.2">
      <c r="C2121" s="240">
        <v>35683</v>
      </c>
      <c r="D2121" s="225">
        <v>0.54166666666666663</v>
      </c>
      <c r="E2121" s="198">
        <v>35</v>
      </c>
      <c r="F2121" s="190">
        <v>8.6999999999999993</v>
      </c>
      <c r="H2121" s="198">
        <v>5.3</v>
      </c>
      <c r="I2121" s="198"/>
      <c r="L2121" s="190"/>
      <c r="M2121" s="190"/>
      <c r="N2121" s="190"/>
      <c r="O2121" s="190"/>
      <c r="P2121" s="190"/>
      <c r="Q2121" s="190"/>
      <c r="R2121" s="190"/>
      <c r="S2121" s="190"/>
    </row>
    <row r="2122" spans="2:19" ht="16" x14ac:dyDescent="0.2">
      <c r="C2122" s="240"/>
      <c r="D2122" s="225"/>
      <c r="E2122" s="198"/>
      <c r="H2122" s="198"/>
      <c r="I2122" s="198"/>
      <c r="L2122" s="190"/>
      <c r="M2122" s="190"/>
      <c r="N2122" s="190"/>
      <c r="O2122" s="190"/>
      <c r="P2122" s="190"/>
      <c r="Q2122" s="190"/>
      <c r="R2122" s="190"/>
      <c r="S2122" s="190"/>
    </row>
    <row r="2123" spans="2:19" ht="16" x14ac:dyDescent="0.2">
      <c r="B2123">
        <v>44.8</v>
      </c>
      <c r="C2123" s="240">
        <v>35627</v>
      </c>
      <c r="D2123" s="225">
        <v>0.55208333333333337</v>
      </c>
      <c r="E2123" s="198"/>
      <c r="H2123" s="198"/>
      <c r="I2123" s="198"/>
      <c r="J2123" t="s">
        <v>257</v>
      </c>
      <c r="L2123" s="190"/>
      <c r="M2123" s="190"/>
      <c r="N2123" s="190"/>
      <c r="O2123" s="190"/>
      <c r="P2123" s="190"/>
      <c r="Q2123" s="190"/>
      <c r="R2123" s="190"/>
      <c r="S2123" s="190"/>
    </row>
    <row r="2124" spans="2:19" ht="16" x14ac:dyDescent="0.2">
      <c r="C2124" s="240">
        <v>35627</v>
      </c>
      <c r="D2124" s="225">
        <v>0.55208333333333337</v>
      </c>
      <c r="E2124" s="198">
        <v>0.5</v>
      </c>
      <c r="F2124" s="190">
        <v>9.1</v>
      </c>
      <c r="H2124" s="198">
        <v>19</v>
      </c>
      <c r="I2124" s="198">
        <v>19</v>
      </c>
      <c r="L2124" s="190"/>
      <c r="M2124" s="190"/>
      <c r="N2124" s="190"/>
      <c r="O2124" s="190"/>
      <c r="P2124" s="190"/>
      <c r="Q2124" s="190"/>
      <c r="R2124" s="190"/>
      <c r="S2124" s="190"/>
    </row>
    <row r="2125" spans="2:19" ht="16" x14ac:dyDescent="0.2">
      <c r="C2125" s="240">
        <v>35627</v>
      </c>
      <c r="D2125" s="225">
        <v>0.55208333333333337</v>
      </c>
      <c r="E2125" s="198">
        <v>2</v>
      </c>
      <c r="F2125" s="190">
        <v>9</v>
      </c>
      <c r="H2125" s="198">
        <v>18.8</v>
      </c>
      <c r="I2125" s="198">
        <v>18.8</v>
      </c>
      <c r="L2125" s="190"/>
      <c r="M2125" s="190"/>
      <c r="N2125" s="190"/>
      <c r="O2125" s="190"/>
      <c r="P2125" s="190"/>
      <c r="Q2125" s="190"/>
      <c r="R2125" s="190"/>
      <c r="S2125" s="190"/>
    </row>
    <row r="2126" spans="2:19" ht="16" x14ac:dyDescent="0.2">
      <c r="C2126" s="240">
        <v>35627</v>
      </c>
      <c r="D2126" s="225">
        <v>0.55208333333333337</v>
      </c>
      <c r="E2126" s="198">
        <v>4</v>
      </c>
      <c r="F2126" s="190">
        <v>9.1999999999999993</v>
      </c>
      <c r="H2126" s="198">
        <v>18.5</v>
      </c>
      <c r="I2126" s="198">
        <v>18.5</v>
      </c>
      <c r="L2126" s="190"/>
      <c r="M2126" s="190"/>
      <c r="N2126" s="190"/>
      <c r="O2126" s="190"/>
      <c r="P2126" s="190"/>
      <c r="Q2126" s="190"/>
      <c r="R2126" s="190"/>
      <c r="S2126" s="190"/>
    </row>
    <row r="2127" spans="2:19" ht="16" x14ac:dyDescent="0.2">
      <c r="C2127" s="240">
        <v>35627</v>
      </c>
      <c r="D2127" s="225">
        <v>0.55208333333333337</v>
      </c>
      <c r="E2127" s="198">
        <v>6</v>
      </c>
      <c r="F2127" s="190">
        <v>9.3000000000000007</v>
      </c>
      <c r="H2127" s="198">
        <v>18.100000000000001</v>
      </c>
      <c r="I2127" s="198">
        <v>18.100000000000001</v>
      </c>
      <c r="L2127" s="190"/>
      <c r="M2127" s="190"/>
      <c r="N2127" s="190"/>
      <c r="O2127" s="190"/>
      <c r="P2127" s="190"/>
      <c r="Q2127" s="190"/>
      <c r="R2127" s="190"/>
      <c r="S2127" s="190"/>
    </row>
    <row r="2128" spans="2:19" ht="16" x14ac:dyDescent="0.2">
      <c r="C2128" s="240">
        <v>35627</v>
      </c>
      <c r="D2128" s="225">
        <v>0.55208333333333337</v>
      </c>
      <c r="E2128" s="198">
        <v>7</v>
      </c>
      <c r="F2128" s="190">
        <v>9.4</v>
      </c>
      <c r="H2128" s="198">
        <v>17.899999999999999</v>
      </c>
      <c r="I2128" s="198">
        <v>17.899999999999999</v>
      </c>
      <c r="L2128" s="190"/>
      <c r="M2128" s="190"/>
      <c r="N2128" s="190"/>
      <c r="O2128" s="190"/>
      <c r="P2128" s="190"/>
      <c r="Q2128" s="190"/>
      <c r="R2128" s="190"/>
      <c r="S2128" s="190"/>
    </row>
    <row r="2129" spans="2:19" ht="16" x14ac:dyDescent="0.2">
      <c r="C2129" s="240">
        <v>35627</v>
      </c>
      <c r="D2129" s="225">
        <v>0.55208333333333337</v>
      </c>
      <c r="E2129" s="198">
        <v>9</v>
      </c>
      <c r="F2129" s="190">
        <v>9.4</v>
      </c>
      <c r="H2129" s="198">
        <v>16.899999999999999</v>
      </c>
      <c r="I2129" s="243">
        <f>AVERAGE(I2124:I2128)</f>
        <v>18.46</v>
      </c>
      <c r="L2129" s="190"/>
      <c r="M2129" s="190"/>
      <c r="N2129" s="190"/>
      <c r="O2129" s="190"/>
      <c r="P2129" s="190"/>
      <c r="Q2129" s="190"/>
      <c r="R2129" s="190"/>
      <c r="S2129" s="190"/>
    </row>
    <row r="2130" spans="2:19" ht="16" x14ac:dyDescent="0.2">
      <c r="C2130" s="240">
        <v>35627</v>
      </c>
      <c r="D2130" s="225">
        <v>0.55208333333333337</v>
      </c>
      <c r="E2130" s="198">
        <v>10</v>
      </c>
      <c r="F2130" s="190">
        <v>9.6999999999999993</v>
      </c>
      <c r="H2130" s="198">
        <v>15.2</v>
      </c>
      <c r="I2130" s="198"/>
      <c r="L2130" s="190"/>
      <c r="M2130" s="190"/>
      <c r="N2130" s="190"/>
      <c r="O2130" s="190"/>
      <c r="P2130" s="190"/>
      <c r="Q2130" s="190"/>
      <c r="R2130" s="190"/>
      <c r="S2130" s="190"/>
    </row>
    <row r="2131" spans="2:19" ht="16" x14ac:dyDescent="0.2">
      <c r="C2131" s="240">
        <v>35627</v>
      </c>
      <c r="D2131" s="225">
        <v>0.55208333333333337</v>
      </c>
      <c r="E2131" s="198">
        <v>11</v>
      </c>
      <c r="F2131" s="190">
        <v>10.199999999999999</v>
      </c>
      <c r="H2131" s="198">
        <v>11.9</v>
      </c>
      <c r="I2131" s="198"/>
      <c r="L2131" s="190"/>
      <c r="M2131" s="190"/>
      <c r="N2131" s="190"/>
      <c r="O2131" s="190"/>
      <c r="P2131" s="190"/>
      <c r="Q2131" s="190"/>
      <c r="R2131" s="190"/>
      <c r="S2131" s="190"/>
    </row>
    <row r="2132" spans="2:19" ht="16" x14ac:dyDescent="0.2">
      <c r="C2132" s="240">
        <v>35627</v>
      </c>
      <c r="D2132" s="225">
        <v>0.55208333333333337</v>
      </c>
      <c r="E2132" s="198">
        <v>12</v>
      </c>
      <c r="F2132" s="190">
        <v>10.4</v>
      </c>
      <c r="H2132" s="198">
        <v>10.199999999999999</v>
      </c>
      <c r="I2132" s="198"/>
      <c r="L2132" s="190"/>
      <c r="M2132" s="190"/>
      <c r="N2132" s="190"/>
      <c r="O2132" s="190"/>
      <c r="P2132" s="190"/>
      <c r="Q2132" s="190"/>
      <c r="R2132" s="190"/>
      <c r="S2132" s="190"/>
    </row>
    <row r="2133" spans="2:19" ht="16" x14ac:dyDescent="0.2">
      <c r="C2133" s="240">
        <v>35627</v>
      </c>
      <c r="D2133" s="225">
        <v>0.55208333333333337</v>
      </c>
      <c r="E2133" s="198">
        <v>13</v>
      </c>
      <c r="F2133" s="190">
        <v>10.7</v>
      </c>
      <c r="H2133" s="198">
        <v>9.1</v>
      </c>
      <c r="I2133" s="198"/>
      <c r="L2133" s="190"/>
      <c r="M2133" s="190"/>
      <c r="N2133" s="190"/>
      <c r="O2133" s="190"/>
      <c r="P2133" s="190"/>
      <c r="Q2133" s="190"/>
      <c r="R2133" s="190"/>
      <c r="S2133" s="190"/>
    </row>
    <row r="2134" spans="2:19" ht="16" x14ac:dyDescent="0.2">
      <c r="C2134" s="240">
        <v>35627</v>
      </c>
      <c r="D2134" s="225">
        <v>0.55208333333333337</v>
      </c>
      <c r="E2134" s="198">
        <v>14</v>
      </c>
      <c r="F2134" s="190">
        <v>10.7</v>
      </c>
      <c r="H2134" s="198">
        <v>7.8</v>
      </c>
      <c r="I2134" s="198"/>
      <c r="L2134" s="190"/>
      <c r="M2134" s="190"/>
      <c r="N2134" s="190"/>
      <c r="O2134" s="190"/>
      <c r="P2134" s="190"/>
      <c r="Q2134" s="190"/>
      <c r="R2134" s="190"/>
      <c r="S2134" s="190"/>
    </row>
    <row r="2135" spans="2:19" ht="16" x14ac:dyDescent="0.2">
      <c r="C2135" s="240">
        <v>35627</v>
      </c>
      <c r="D2135" s="225">
        <v>0.55208333333333337</v>
      </c>
      <c r="E2135" s="198">
        <v>16</v>
      </c>
      <c r="F2135" s="190">
        <v>11</v>
      </c>
      <c r="H2135" s="198">
        <v>6.9</v>
      </c>
      <c r="I2135" s="198"/>
      <c r="L2135" s="190"/>
      <c r="M2135" s="190"/>
      <c r="N2135" s="190"/>
      <c r="O2135" s="190"/>
      <c r="P2135" s="190"/>
      <c r="Q2135" s="190"/>
      <c r="R2135" s="190"/>
      <c r="S2135" s="190"/>
    </row>
    <row r="2136" spans="2:19" ht="16" x14ac:dyDescent="0.2">
      <c r="C2136" s="240">
        <v>35627</v>
      </c>
      <c r="D2136" s="225">
        <v>0.55208333333333337</v>
      </c>
      <c r="E2136" s="198">
        <v>18</v>
      </c>
      <c r="F2136" s="190">
        <v>11</v>
      </c>
      <c r="H2136" s="198">
        <v>6.2</v>
      </c>
      <c r="I2136" s="198"/>
      <c r="L2136" s="190"/>
      <c r="M2136" s="190"/>
      <c r="N2136" s="190"/>
      <c r="O2136" s="190"/>
      <c r="P2136" s="190"/>
      <c r="Q2136" s="190"/>
      <c r="R2136" s="190"/>
      <c r="S2136" s="190"/>
    </row>
    <row r="2137" spans="2:19" ht="16" x14ac:dyDescent="0.2">
      <c r="C2137" s="240">
        <v>35627</v>
      </c>
      <c r="D2137" s="225">
        <v>0.55208333333333337</v>
      </c>
      <c r="E2137" s="198">
        <v>20</v>
      </c>
      <c r="F2137" s="190">
        <v>11.1</v>
      </c>
      <c r="H2137" s="198">
        <v>6</v>
      </c>
      <c r="I2137" s="198"/>
      <c r="L2137" s="190"/>
      <c r="M2137" s="190"/>
      <c r="N2137" s="190"/>
      <c r="O2137" s="190"/>
      <c r="P2137" s="190"/>
      <c r="Q2137" s="190"/>
      <c r="R2137" s="190"/>
      <c r="S2137" s="190"/>
    </row>
    <row r="2138" spans="2:19" ht="16" x14ac:dyDescent="0.2">
      <c r="C2138" s="240">
        <v>35627</v>
      </c>
      <c r="D2138" s="225">
        <v>0.55208333333333337</v>
      </c>
      <c r="E2138" s="198">
        <v>30</v>
      </c>
      <c r="F2138" s="190">
        <v>11.1</v>
      </c>
      <c r="H2138" s="198">
        <v>5.5</v>
      </c>
      <c r="I2138" s="198"/>
      <c r="L2138" s="190"/>
      <c r="M2138" s="190"/>
      <c r="N2138" s="190"/>
      <c r="O2138" s="190"/>
      <c r="P2138" s="190"/>
      <c r="Q2138" s="190"/>
      <c r="R2138" s="190"/>
      <c r="S2138" s="190"/>
    </row>
    <row r="2139" spans="2:19" ht="16" x14ac:dyDescent="0.2">
      <c r="C2139" s="240">
        <v>35627</v>
      </c>
      <c r="D2139" s="225">
        <v>0.55208333333333337</v>
      </c>
      <c r="E2139" s="198">
        <v>40</v>
      </c>
      <c r="F2139" s="190">
        <v>11.2</v>
      </c>
      <c r="H2139" s="198">
        <v>5.0999999999999996</v>
      </c>
      <c r="I2139" s="198"/>
      <c r="L2139" s="190"/>
      <c r="M2139" s="190"/>
      <c r="N2139" s="190"/>
      <c r="O2139" s="190"/>
      <c r="P2139" s="190"/>
      <c r="Q2139" s="190"/>
      <c r="R2139" s="190"/>
      <c r="S2139" s="190"/>
    </row>
    <row r="2140" spans="2:19" ht="16" x14ac:dyDescent="0.2">
      <c r="C2140" s="240">
        <v>35627</v>
      </c>
      <c r="D2140" s="225">
        <v>0.55208333333333337</v>
      </c>
      <c r="E2140" s="198">
        <v>44</v>
      </c>
      <c r="F2140" s="190">
        <v>11</v>
      </c>
      <c r="H2140" s="198">
        <v>5</v>
      </c>
      <c r="I2140" s="198"/>
      <c r="L2140" s="190"/>
      <c r="M2140" s="190"/>
      <c r="N2140" s="190"/>
      <c r="O2140" s="190"/>
      <c r="P2140" s="190"/>
      <c r="Q2140" s="190"/>
      <c r="R2140" s="190"/>
      <c r="S2140" s="190"/>
    </row>
    <row r="2141" spans="2:19" ht="16" x14ac:dyDescent="0.2">
      <c r="C2141" s="240"/>
      <c r="D2141" s="225"/>
      <c r="E2141" s="198"/>
      <c r="H2141" s="198"/>
      <c r="I2141" s="198"/>
      <c r="L2141" s="190"/>
      <c r="M2141" s="190"/>
      <c r="N2141" s="190"/>
      <c r="O2141" s="190"/>
      <c r="P2141" s="190"/>
      <c r="Q2141" s="190"/>
      <c r="R2141" s="190"/>
      <c r="S2141" s="190"/>
    </row>
    <row r="2142" spans="2:19" ht="16" x14ac:dyDescent="0.2">
      <c r="B2142">
        <v>41.5</v>
      </c>
      <c r="C2142" s="240">
        <v>35584</v>
      </c>
      <c r="D2142" s="225">
        <v>0.58333333333333337</v>
      </c>
      <c r="E2142" s="198"/>
      <c r="H2142" s="198"/>
      <c r="I2142" s="198"/>
      <c r="J2142">
        <f>(2.7+3.1)/2</f>
        <v>2.9000000000000004</v>
      </c>
      <c r="K2142" t="s">
        <v>609</v>
      </c>
      <c r="L2142" s="190"/>
      <c r="M2142" s="190"/>
      <c r="N2142" s="190"/>
      <c r="O2142" s="190"/>
      <c r="P2142" s="190"/>
      <c r="Q2142" s="190"/>
      <c r="R2142" s="190"/>
      <c r="S2142" s="190"/>
    </row>
    <row r="2143" spans="2:19" ht="16" x14ac:dyDescent="0.2">
      <c r="C2143" s="240">
        <v>35584</v>
      </c>
      <c r="D2143" s="225">
        <v>0.58333333333333337</v>
      </c>
      <c r="E2143" s="198">
        <v>0.5</v>
      </c>
      <c r="F2143" s="190">
        <v>11.4</v>
      </c>
      <c r="H2143" s="198">
        <v>9.8000000000000007</v>
      </c>
      <c r="I2143" s="198">
        <v>9.8000000000000007</v>
      </c>
      <c r="L2143" s="190"/>
      <c r="M2143" s="190"/>
      <c r="N2143" s="190"/>
      <c r="O2143" s="190"/>
      <c r="P2143" s="190"/>
      <c r="Q2143" s="190"/>
      <c r="R2143" s="190"/>
      <c r="S2143" s="190"/>
    </row>
    <row r="2144" spans="2:19" ht="16" x14ac:dyDescent="0.2">
      <c r="C2144" s="240">
        <v>35584</v>
      </c>
      <c r="D2144" s="225">
        <v>0.58333333333333337</v>
      </c>
      <c r="E2144" s="198">
        <v>10</v>
      </c>
      <c r="F2144" s="190">
        <v>11.2</v>
      </c>
      <c r="H2144" s="198">
        <v>8.4</v>
      </c>
      <c r="I2144" s="198">
        <v>8.4</v>
      </c>
      <c r="L2144" s="190"/>
      <c r="M2144" s="190"/>
      <c r="N2144" s="190"/>
      <c r="O2144" s="190"/>
      <c r="P2144" s="190"/>
      <c r="Q2144" s="190"/>
      <c r="R2144" s="190"/>
      <c r="S2144" s="190"/>
    </row>
    <row r="2145" spans="2:19" ht="16" x14ac:dyDescent="0.2">
      <c r="C2145" s="240">
        <v>35584</v>
      </c>
      <c r="D2145" s="225">
        <v>0.58333333333333337</v>
      </c>
      <c r="E2145" s="198">
        <v>20</v>
      </c>
      <c r="F2145" s="190">
        <v>11.6</v>
      </c>
      <c r="H2145" s="198">
        <v>5.3</v>
      </c>
      <c r="I2145" s="198">
        <f>AVERAGE(I2143:I2144)</f>
        <v>9.1000000000000014</v>
      </c>
      <c r="L2145" s="190"/>
      <c r="M2145" s="190"/>
      <c r="N2145" s="190"/>
      <c r="O2145" s="190"/>
      <c r="P2145" s="190"/>
      <c r="Q2145" s="190"/>
      <c r="R2145" s="190"/>
      <c r="S2145" s="190"/>
    </row>
    <row r="2146" spans="2:19" ht="16" x14ac:dyDescent="0.2">
      <c r="C2146" s="240">
        <v>35584</v>
      </c>
      <c r="D2146" s="225">
        <v>0.58333333333333337</v>
      </c>
      <c r="E2146" s="198">
        <v>30</v>
      </c>
      <c r="F2146" s="190">
        <v>11.7</v>
      </c>
      <c r="H2146" s="198">
        <v>4.9000000000000004</v>
      </c>
      <c r="I2146" s="198"/>
      <c r="L2146" s="190"/>
      <c r="M2146" s="190"/>
      <c r="N2146" s="190"/>
      <c r="O2146" s="190"/>
      <c r="P2146" s="190"/>
      <c r="Q2146" s="190"/>
      <c r="R2146" s="190"/>
      <c r="S2146" s="190"/>
    </row>
    <row r="2147" spans="2:19" ht="16" x14ac:dyDescent="0.2">
      <c r="C2147" s="240">
        <v>35584</v>
      </c>
      <c r="D2147" s="225">
        <v>0.58333333333333337</v>
      </c>
      <c r="E2147" s="198">
        <v>40</v>
      </c>
      <c r="F2147" s="190">
        <v>11.4</v>
      </c>
      <c r="H2147" s="198">
        <v>4.3</v>
      </c>
      <c r="I2147" s="198"/>
      <c r="L2147" s="190"/>
      <c r="M2147" s="190"/>
      <c r="N2147" s="190"/>
      <c r="O2147" s="190"/>
      <c r="P2147" s="190"/>
      <c r="Q2147" s="190"/>
      <c r="R2147" s="190"/>
      <c r="S2147" s="190"/>
    </row>
    <row r="2148" spans="2:19" ht="16" x14ac:dyDescent="0.2">
      <c r="C2148" s="190"/>
      <c r="D2148" s="190"/>
      <c r="E2148" s="190"/>
      <c r="H2148" s="190"/>
      <c r="I2148" s="190"/>
      <c r="L2148" s="190"/>
      <c r="M2148" s="190"/>
      <c r="N2148" s="190"/>
      <c r="O2148" s="190"/>
      <c r="P2148" s="190"/>
      <c r="Q2148" s="190"/>
      <c r="R2148" s="190"/>
      <c r="S2148" s="190"/>
    </row>
    <row r="2149" spans="2:19" ht="16" x14ac:dyDescent="0.2">
      <c r="B2149">
        <v>49.5</v>
      </c>
      <c r="C2149" s="240">
        <v>35562</v>
      </c>
      <c r="D2149" s="225">
        <v>0.55208333333333337</v>
      </c>
      <c r="E2149" s="198"/>
      <c r="H2149" s="198"/>
      <c r="I2149" s="198"/>
      <c r="J2149" s="186">
        <v>6</v>
      </c>
      <c r="L2149" s="190"/>
      <c r="M2149" s="190"/>
      <c r="N2149" s="190"/>
      <c r="O2149" s="190"/>
      <c r="P2149" s="190"/>
      <c r="Q2149" s="190"/>
      <c r="R2149" s="190"/>
      <c r="S2149" s="190"/>
    </row>
    <row r="2150" spans="2:19" ht="16" x14ac:dyDescent="0.2">
      <c r="C2150" s="240">
        <v>35562</v>
      </c>
      <c r="D2150" s="225">
        <v>0.55208333333333337</v>
      </c>
      <c r="E2150" s="198">
        <v>0.5</v>
      </c>
      <c r="F2150" s="190">
        <v>10.9</v>
      </c>
      <c r="H2150" s="190">
        <v>9</v>
      </c>
      <c r="I2150" s="198"/>
      <c r="L2150" s="190"/>
      <c r="M2150" s="190"/>
      <c r="N2150" s="190"/>
      <c r="O2150" s="190"/>
      <c r="P2150" s="190"/>
      <c r="Q2150" s="190"/>
      <c r="R2150" s="190"/>
      <c r="S2150" s="190"/>
    </row>
    <row r="2151" spans="2:19" ht="16" x14ac:dyDescent="0.2">
      <c r="C2151" s="240">
        <v>35562</v>
      </c>
      <c r="D2151" s="225">
        <v>0.55208333333333337</v>
      </c>
      <c r="E2151" s="198">
        <v>10</v>
      </c>
      <c r="F2151" s="190">
        <v>11</v>
      </c>
      <c r="H2151" s="190">
        <v>6</v>
      </c>
      <c r="I2151" s="198"/>
      <c r="L2151" s="190"/>
      <c r="M2151" s="190"/>
      <c r="N2151" s="190"/>
      <c r="O2151" s="190"/>
      <c r="P2151" s="190"/>
      <c r="Q2151" s="190"/>
      <c r="R2151" s="190"/>
      <c r="S2151" s="190"/>
    </row>
    <row r="2152" spans="2:19" ht="16" x14ac:dyDescent="0.2">
      <c r="C2152" s="240">
        <v>35562</v>
      </c>
      <c r="D2152" s="225">
        <v>0.55208333333333337</v>
      </c>
      <c r="E2152" s="198">
        <v>20</v>
      </c>
      <c r="F2152" s="190">
        <v>11</v>
      </c>
      <c r="H2152" s="190">
        <v>5.0999999999999996</v>
      </c>
      <c r="I2152" s="198"/>
      <c r="L2152" s="190"/>
      <c r="M2152" s="190"/>
      <c r="N2152" s="190"/>
      <c r="O2152" s="190"/>
      <c r="P2152" s="190"/>
      <c r="Q2152" s="190"/>
      <c r="R2152" s="190"/>
      <c r="S2152" s="190"/>
    </row>
    <row r="2153" spans="2:19" ht="16" x14ac:dyDescent="0.2">
      <c r="C2153" s="240">
        <v>35562</v>
      </c>
      <c r="D2153" s="225">
        <v>0.55208333333333337</v>
      </c>
      <c r="E2153" s="198">
        <v>30</v>
      </c>
      <c r="F2153" s="190">
        <v>11.1</v>
      </c>
      <c r="H2153" s="190">
        <v>4.8</v>
      </c>
      <c r="I2153" s="198"/>
      <c r="L2153" s="190"/>
      <c r="M2153" s="190"/>
      <c r="N2153" s="190"/>
      <c r="O2153" s="190"/>
      <c r="P2153" s="190"/>
      <c r="Q2153" s="190"/>
      <c r="R2153" s="190"/>
      <c r="S2153" s="190"/>
    </row>
    <row r="2154" spans="2:19" ht="16" x14ac:dyDescent="0.2">
      <c r="C2154" s="240">
        <v>35562</v>
      </c>
      <c r="D2154" s="225">
        <v>0.55208333333333337</v>
      </c>
      <c r="E2154" s="198">
        <v>40</v>
      </c>
      <c r="F2154" s="190">
        <v>11.1</v>
      </c>
      <c r="H2154" s="190">
        <v>4.2</v>
      </c>
      <c r="I2154" s="198"/>
      <c r="L2154" s="190"/>
      <c r="M2154" s="190"/>
      <c r="N2154" s="190"/>
      <c r="O2154" s="190"/>
      <c r="P2154" s="190"/>
      <c r="Q2154" s="190"/>
      <c r="R2154" s="190"/>
      <c r="S2154" s="190"/>
    </row>
    <row r="2155" spans="2:19" ht="16" x14ac:dyDescent="0.2">
      <c r="C2155" s="240">
        <v>35562</v>
      </c>
      <c r="D2155" s="225">
        <v>0.55208333333333337</v>
      </c>
      <c r="E2155" s="198">
        <v>48</v>
      </c>
      <c r="F2155" s="190">
        <v>11.2</v>
      </c>
      <c r="H2155" s="190">
        <v>4.2</v>
      </c>
      <c r="I2155" s="198"/>
      <c r="L2155" s="190"/>
      <c r="M2155" s="190"/>
      <c r="N2155" s="190"/>
      <c r="O2155" s="190"/>
      <c r="P2155" s="190"/>
      <c r="Q2155" s="190"/>
      <c r="R2155" s="190"/>
      <c r="S2155" s="190"/>
    </row>
    <row r="2156" spans="2:19" ht="16" x14ac:dyDescent="0.2">
      <c r="C2156" s="240"/>
      <c r="D2156" s="225"/>
      <c r="E2156" s="198"/>
      <c r="H2156" s="198"/>
      <c r="I2156" s="198"/>
      <c r="L2156" s="190"/>
      <c r="M2156" s="190"/>
      <c r="N2156" s="190"/>
      <c r="O2156" s="190"/>
      <c r="P2156" s="190"/>
      <c r="Q2156" s="190"/>
      <c r="R2156" s="190"/>
      <c r="S2156" s="190"/>
    </row>
    <row r="2157" spans="2:19" ht="16" x14ac:dyDescent="0.2">
      <c r="B2157">
        <v>43.4</v>
      </c>
      <c r="C2157" s="240">
        <v>35544</v>
      </c>
      <c r="D2157" s="225">
        <v>0.48958333333333331</v>
      </c>
      <c r="E2157" s="198"/>
      <c r="H2157" s="198"/>
      <c r="I2157" s="198"/>
      <c r="J2157" s="186">
        <v>8</v>
      </c>
      <c r="L2157" s="190"/>
      <c r="M2157" s="190"/>
      <c r="N2157" s="190"/>
      <c r="O2157" s="190"/>
      <c r="P2157" s="190"/>
      <c r="Q2157" s="190"/>
      <c r="R2157" s="190"/>
      <c r="S2157" s="190"/>
    </row>
    <row r="2158" spans="2:19" ht="16" x14ac:dyDescent="0.2">
      <c r="C2158" s="240">
        <v>35544</v>
      </c>
      <c r="D2158" s="225">
        <v>0.48958333333333331</v>
      </c>
      <c r="E2158" s="198">
        <v>0.05</v>
      </c>
      <c r="F2158" s="190">
        <v>11.37</v>
      </c>
      <c r="H2158" s="190">
        <v>3.55</v>
      </c>
      <c r="I2158" s="198"/>
      <c r="L2158" s="251" t="s">
        <v>613</v>
      </c>
      <c r="M2158" s="190"/>
      <c r="N2158" s="190"/>
      <c r="O2158" s="190"/>
      <c r="P2158" s="190"/>
      <c r="Q2158" s="190"/>
      <c r="R2158" s="190"/>
      <c r="S2158" s="190"/>
    </row>
    <row r="2159" spans="2:19" ht="16" x14ac:dyDescent="0.2">
      <c r="C2159" s="240">
        <v>35544</v>
      </c>
      <c r="D2159" s="225">
        <v>0.48958333333333331</v>
      </c>
      <c r="E2159" s="198">
        <v>10</v>
      </c>
      <c r="F2159" s="190">
        <v>11.56</v>
      </c>
      <c r="H2159" s="190">
        <v>3.42</v>
      </c>
      <c r="I2159" s="198"/>
      <c r="L2159" s="190"/>
      <c r="M2159" s="190"/>
      <c r="N2159" s="190"/>
      <c r="O2159" s="190"/>
      <c r="P2159" s="190"/>
      <c r="Q2159" s="190"/>
      <c r="R2159" s="190"/>
      <c r="S2159" s="190"/>
    </row>
    <row r="2160" spans="2:19" ht="16" x14ac:dyDescent="0.2">
      <c r="C2160" s="240">
        <v>35544</v>
      </c>
      <c r="D2160" s="225">
        <v>0.48958333333333331</v>
      </c>
      <c r="E2160" s="198">
        <v>20</v>
      </c>
      <c r="F2160" s="190">
        <v>11.59</v>
      </c>
      <c r="H2160" s="190">
        <v>3.4</v>
      </c>
      <c r="I2160" s="198"/>
      <c r="L2160" s="190"/>
      <c r="M2160" s="190"/>
      <c r="N2160" s="190"/>
      <c r="O2160" s="190"/>
      <c r="P2160" s="190"/>
      <c r="Q2160" s="190"/>
      <c r="R2160" s="190"/>
      <c r="S2160" s="190"/>
    </row>
    <row r="2161" spans="2:19" ht="16" x14ac:dyDescent="0.2">
      <c r="C2161" s="240">
        <v>35544</v>
      </c>
      <c r="D2161" s="225">
        <v>0.48958333333333331</v>
      </c>
      <c r="E2161" s="198">
        <v>30</v>
      </c>
      <c r="F2161" s="190">
        <v>11.59</v>
      </c>
      <c r="H2161" s="190">
        <v>3.39</v>
      </c>
      <c r="I2161" s="198"/>
      <c r="L2161" s="190"/>
      <c r="M2161" s="190"/>
      <c r="N2161" s="190"/>
      <c r="O2161" s="190"/>
      <c r="P2161" s="190"/>
      <c r="Q2161" s="190"/>
      <c r="R2161" s="190"/>
      <c r="S2161" s="190"/>
    </row>
    <row r="2162" spans="2:19" ht="16" x14ac:dyDescent="0.2">
      <c r="C2162" s="240">
        <v>35544</v>
      </c>
      <c r="D2162" s="225">
        <v>0.48958333333333331</v>
      </c>
      <c r="E2162" s="198">
        <v>40</v>
      </c>
      <c r="F2162" s="190">
        <v>11.71</v>
      </c>
      <c r="H2162" s="190">
        <v>3.36</v>
      </c>
      <c r="I2162" s="198"/>
      <c r="L2162" s="190"/>
      <c r="M2162" s="190"/>
      <c r="N2162" s="190"/>
      <c r="O2162" s="190"/>
      <c r="P2162" s="190"/>
      <c r="Q2162" s="190"/>
      <c r="R2162" s="190"/>
      <c r="S2162" s="190"/>
    </row>
    <row r="2163" spans="2:19" ht="16" x14ac:dyDescent="0.2">
      <c r="C2163" s="240">
        <v>35544</v>
      </c>
      <c r="D2163" s="225">
        <v>0.48958333333333331</v>
      </c>
      <c r="E2163" s="198">
        <v>42.4</v>
      </c>
      <c r="F2163" s="190">
        <v>11.8</v>
      </c>
      <c r="H2163" s="190">
        <v>3.36</v>
      </c>
      <c r="I2163" s="198"/>
      <c r="L2163" s="190"/>
      <c r="M2163" s="190"/>
      <c r="N2163" s="190"/>
      <c r="O2163" s="190"/>
      <c r="P2163" s="190"/>
      <c r="Q2163" s="190"/>
      <c r="R2163" s="190"/>
      <c r="S2163" s="190"/>
    </row>
    <row r="2164" spans="2:19" ht="16" x14ac:dyDescent="0.2">
      <c r="C2164" s="240"/>
      <c r="D2164" s="225"/>
      <c r="E2164" s="198"/>
      <c r="H2164" s="198"/>
      <c r="I2164" s="198"/>
      <c r="L2164" s="190"/>
      <c r="M2164" s="190"/>
      <c r="N2164" s="190"/>
      <c r="O2164" s="190"/>
      <c r="P2164" s="190"/>
      <c r="Q2164" s="190"/>
      <c r="R2164" s="190"/>
      <c r="S2164" s="190"/>
    </row>
    <row r="2165" spans="2:19" ht="16" x14ac:dyDescent="0.2">
      <c r="B2165">
        <v>44.1</v>
      </c>
      <c r="C2165" s="240">
        <v>34995</v>
      </c>
      <c r="D2165" s="225">
        <v>0.58333333333333337</v>
      </c>
      <c r="E2165" s="198"/>
      <c r="H2165" s="198"/>
      <c r="I2165" s="198"/>
      <c r="J2165">
        <v>11.6</v>
      </c>
      <c r="L2165" s="190"/>
      <c r="M2165" s="190"/>
      <c r="N2165" s="190"/>
      <c r="O2165" s="190"/>
      <c r="P2165" s="190"/>
      <c r="Q2165" s="190"/>
      <c r="R2165" s="190"/>
      <c r="S2165" s="190"/>
    </row>
    <row r="2166" spans="2:19" ht="16" x14ac:dyDescent="0.2">
      <c r="C2166" s="240">
        <v>34995</v>
      </c>
      <c r="D2166" s="225">
        <v>0.58333333333333337</v>
      </c>
      <c r="E2166" s="190">
        <v>0.5</v>
      </c>
      <c r="F2166" s="190">
        <v>10.8</v>
      </c>
      <c r="G2166" s="190">
        <v>109</v>
      </c>
      <c r="H2166" s="191">
        <v>11.8</v>
      </c>
      <c r="I2166" s="191">
        <v>11.8</v>
      </c>
      <c r="J2166" s="191"/>
      <c r="L2166" s="251" t="s">
        <v>613</v>
      </c>
      <c r="M2166" s="190"/>
      <c r="N2166" s="190"/>
      <c r="O2166" s="190"/>
      <c r="P2166" s="190"/>
      <c r="Q2166" s="190"/>
      <c r="R2166" s="190"/>
      <c r="S2166" s="190"/>
    </row>
    <row r="2167" spans="2:19" ht="16" x14ac:dyDescent="0.2">
      <c r="C2167" s="240">
        <v>34995</v>
      </c>
      <c r="D2167" s="225">
        <v>0.58333333333333337</v>
      </c>
      <c r="E2167" s="190">
        <v>5</v>
      </c>
      <c r="F2167" s="190">
        <v>10.5</v>
      </c>
      <c r="G2167" s="190">
        <v>106</v>
      </c>
      <c r="H2167" s="191">
        <v>11.7</v>
      </c>
      <c r="I2167" s="191">
        <v>11.7</v>
      </c>
      <c r="J2167" s="191"/>
      <c r="L2167" s="190"/>
      <c r="M2167" s="190"/>
      <c r="N2167" s="190"/>
      <c r="O2167" s="190"/>
      <c r="P2167" s="190"/>
      <c r="Q2167" s="190"/>
      <c r="R2167" s="190"/>
      <c r="S2167" s="190"/>
    </row>
    <row r="2168" spans="2:19" ht="16" x14ac:dyDescent="0.2">
      <c r="C2168" s="240">
        <v>34995</v>
      </c>
      <c r="D2168" s="225">
        <v>0.58333333333333337</v>
      </c>
      <c r="E2168" s="190">
        <v>10</v>
      </c>
      <c r="F2168" s="190">
        <v>10.3</v>
      </c>
      <c r="G2168" s="190">
        <v>104</v>
      </c>
      <c r="H2168" s="191">
        <v>11.7</v>
      </c>
      <c r="I2168" s="191">
        <v>11.7</v>
      </c>
      <c r="J2168" s="191"/>
      <c r="L2168" s="190"/>
      <c r="M2168" s="190"/>
      <c r="N2168" s="190"/>
      <c r="O2168" s="190"/>
      <c r="P2168" s="190"/>
      <c r="Q2168" s="190"/>
      <c r="R2168" s="190"/>
      <c r="S2168" s="190"/>
    </row>
    <row r="2169" spans="2:19" ht="16" x14ac:dyDescent="0.2">
      <c r="C2169" s="240">
        <v>34995</v>
      </c>
      <c r="D2169" s="225">
        <v>0.58333333333333337</v>
      </c>
      <c r="E2169" s="190">
        <v>15</v>
      </c>
      <c r="F2169" s="190">
        <v>10.199999999999999</v>
      </c>
      <c r="G2169" s="190">
        <v>103</v>
      </c>
      <c r="H2169" s="191">
        <v>11.4</v>
      </c>
      <c r="I2169" s="191">
        <v>11.4</v>
      </c>
      <c r="J2169" s="191"/>
      <c r="L2169" s="190"/>
      <c r="M2169" s="190"/>
      <c r="N2169" s="190"/>
      <c r="O2169" s="190"/>
      <c r="P2169" s="190"/>
      <c r="Q2169" s="190"/>
      <c r="R2169" s="190"/>
      <c r="S2169" s="190"/>
    </row>
    <row r="2170" spans="2:19" ht="16" x14ac:dyDescent="0.2">
      <c r="C2170" s="240">
        <v>34995</v>
      </c>
      <c r="D2170" s="225">
        <v>0.58333333333333337</v>
      </c>
      <c r="E2170" s="190">
        <v>20</v>
      </c>
      <c r="F2170" s="190">
        <v>10.9</v>
      </c>
      <c r="G2170" s="190">
        <v>99</v>
      </c>
      <c r="H2170" s="191">
        <v>7.1</v>
      </c>
      <c r="I2170" s="244">
        <f>AVERAGE(I2166:I2169)</f>
        <v>11.65</v>
      </c>
      <c r="J2170" s="191"/>
      <c r="L2170" s="190"/>
      <c r="M2170" s="190"/>
      <c r="N2170" s="190"/>
      <c r="O2170" s="190"/>
      <c r="P2170" s="190"/>
      <c r="Q2170" s="190"/>
      <c r="R2170" s="190"/>
      <c r="S2170" s="190"/>
    </row>
    <row r="2171" spans="2:19" ht="16" x14ac:dyDescent="0.2">
      <c r="C2171" s="240">
        <v>34995</v>
      </c>
      <c r="D2171" s="225">
        <v>0.58333333333333337</v>
      </c>
      <c r="E2171" s="190">
        <v>30</v>
      </c>
      <c r="F2171" s="190">
        <v>10.6</v>
      </c>
      <c r="G2171" s="190">
        <v>95</v>
      </c>
      <c r="H2171" s="191">
        <v>6.2</v>
      </c>
      <c r="J2171" s="191"/>
      <c r="L2171" s="190"/>
      <c r="M2171" s="190"/>
      <c r="N2171" s="190"/>
      <c r="O2171" s="190"/>
      <c r="P2171" s="190"/>
      <c r="Q2171" s="190"/>
      <c r="R2171" s="190"/>
      <c r="S2171" s="190"/>
    </row>
    <row r="2172" spans="2:19" ht="16" x14ac:dyDescent="0.2">
      <c r="C2172" s="240">
        <v>34995</v>
      </c>
      <c r="D2172" s="225">
        <v>0.58333333333333337</v>
      </c>
      <c r="E2172" s="190">
        <v>40</v>
      </c>
      <c r="F2172" s="190">
        <v>10.3</v>
      </c>
      <c r="G2172" s="190">
        <v>91</v>
      </c>
      <c r="H2172" s="191">
        <v>5.9</v>
      </c>
      <c r="J2172" s="191"/>
      <c r="L2172" s="190"/>
      <c r="M2172" s="190"/>
      <c r="N2172" s="190"/>
      <c r="O2172" s="190"/>
      <c r="P2172" s="190"/>
      <c r="Q2172" s="190"/>
      <c r="R2172" s="190"/>
      <c r="S2172" s="190"/>
    </row>
    <row r="2173" spans="2:19" ht="16" x14ac:dyDescent="0.2">
      <c r="C2173" s="240">
        <v>34995</v>
      </c>
      <c r="D2173" s="225">
        <v>0.58333333333333337</v>
      </c>
      <c r="E2173" s="190">
        <v>43</v>
      </c>
      <c r="F2173" s="190">
        <v>10.1</v>
      </c>
      <c r="G2173" s="190">
        <v>89</v>
      </c>
      <c r="H2173" s="191">
        <v>5.9</v>
      </c>
      <c r="J2173" s="191"/>
      <c r="L2173" s="190"/>
      <c r="M2173" s="190"/>
      <c r="N2173" s="190"/>
      <c r="O2173" s="190"/>
      <c r="P2173" s="190"/>
      <c r="Q2173" s="190"/>
      <c r="R2173" s="190"/>
      <c r="S2173" s="190"/>
    </row>
    <row r="2174" spans="2:19" ht="16" x14ac:dyDescent="0.2">
      <c r="C2174" s="240"/>
      <c r="D2174" s="225"/>
      <c r="E2174" s="190"/>
      <c r="H2174" s="191"/>
      <c r="J2174" s="191"/>
      <c r="L2174" s="190"/>
      <c r="M2174" s="190"/>
      <c r="N2174" s="190"/>
      <c r="O2174" s="190"/>
      <c r="P2174" s="190"/>
      <c r="Q2174" s="190"/>
      <c r="R2174" s="190"/>
      <c r="S2174" s="190"/>
    </row>
    <row r="2175" spans="2:19" ht="16" x14ac:dyDescent="0.2">
      <c r="B2175">
        <v>45.7</v>
      </c>
      <c r="C2175" s="240">
        <v>34963</v>
      </c>
      <c r="D2175" s="225">
        <v>0.41666666666666669</v>
      </c>
      <c r="E2175" s="198"/>
      <c r="H2175" s="198"/>
      <c r="I2175" s="198"/>
      <c r="J2175">
        <v>13.3</v>
      </c>
      <c r="L2175" s="190"/>
      <c r="M2175" s="190"/>
      <c r="N2175" s="190"/>
      <c r="O2175" s="190"/>
      <c r="P2175" s="190"/>
      <c r="Q2175" s="190"/>
      <c r="R2175" s="190"/>
      <c r="S2175" s="190"/>
    </row>
    <row r="2176" spans="2:19" ht="16" x14ac:dyDescent="0.2">
      <c r="C2176" s="240">
        <v>34963</v>
      </c>
      <c r="D2176" s="225">
        <v>0.41666666666666669</v>
      </c>
      <c r="E2176" s="190">
        <v>0.5</v>
      </c>
      <c r="F2176" s="190">
        <v>8.4</v>
      </c>
      <c r="G2176" s="190">
        <v>97</v>
      </c>
      <c r="H2176" s="190">
        <v>17.7</v>
      </c>
      <c r="I2176" s="190">
        <v>17.7</v>
      </c>
      <c r="J2176" s="190"/>
      <c r="L2176" s="251" t="s">
        <v>613</v>
      </c>
      <c r="M2176" s="190"/>
      <c r="N2176" s="190"/>
      <c r="O2176" s="190"/>
      <c r="P2176" s="190"/>
      <c r="Q2176" s="190"/>
      <c r="R2176" s="190"/>
      <c r="S2176" s="190"/>
    </row>
    <row r="2177" spans="2:19" ht="16" x14ac:dyDescent="0.2">
      <c r="C2177" s="240">
        <v>34963</v>
      </c>
      <c r="D2177" s="225">
        <v>0.41666666666666669</v>
      </c>
      <c r="E2177" s="190">
        <v>2</v>
      </c>
      <c r="F2177" s="190">
        <v>8.4</v>
      </c>
      <c r="G2177" s="190">
        <v>97</v>
      </c>
      <c r="H2177" s="190">
        <v>17.7</v>
      </c>
      <c r="I2177" s="190">
        <v>17.7</v>
      </c>
      <c r="J2177" s="190"/>
      <c r="M2177" s="190"/>
      <c r="N2177" s="190"/>
      <c r="O2177" s="190"/>
      <c r="P2177" s="190"/>
      <c r="Q2177" s="190"/>
      <c r="R2177" s="190"/>
      <c r="S2177" s="190"/>
    </row>
    <row r="2178" spans="2:19" ht="16" x14ac:dyDescent="0.2">
      <c r="C2178" s="240">
        <v>34963</v>
      </c>
      <c r="D2178" s="225">
        <v>0.41666666666666669</v>
      </c>
      <c r="E2178" s="190">
        <v>4</v>
      </c>
      <c r="F2178" s="190">
        <v>8.3000000000000007</v>
      </c>
      <c r="G2178" s="190">
        <v>96</v>
      </c>
      <c r="H2178" s="190">
        <v>17.7</v>
      </c>
      <c r="I2178" s="190">
        <v>17.7</v>
      </c>
      <c r="J2178" s="190"/>
      <c r="M2178" s="190"/>
      <c r="N2178" s="190"/>
      <c r="O2178" s="190"/>
      <c r="P2178" s="190"/>
      <c r="Q2178" s="190"/>
      <c r="R2178" s="190"/>
      <c r="S2178" s="190"/>
    </row>
    <row r="2179" spans="2:19" ht="16" x14ac:dyDescent="0.2">
      <c r="C2179" s="240">
        <v>34963</v>
      </c>
      <c r="D2179" s="225">
        <v>0.41666666666666669</v>
      </c>
      <c r="E2179" s="190">
        <v>6</v>
      </c>
      <c r="F2179" s="190">
        <v>8.3000000000000007</v>
      </c>
      <c r="G2179" s="190">
        <v>96</v>
      </c>
      <c r="H2179" s="190">
        <v>17.7</v>
      </c>
      <c r="I2179" s="190">
        <v>17.7</v>
      </c>
      <c r="J2179" s="190"/>
      <c r="M2179" s="190"/>
      <c r="N2179" s="190"/>
      <c r="O2179" s="190"/>
      <c r="P2179" s="190"/>
      <c r="Q2179" s="190"/>
      <c r="R2179" s="190"/>
      <c r="S2179" s="190"/>
    </row>
    <row r="2180" spans="2:19" ht="16" x14ac:dyDescent="0.2">
      <c r="C2180" s="240">
        <v>34963</v>
      </c>
      <c r="D2180" s="225">
        <v>0.41666666666666669</v>
      </c>
      <c r="E2180" s="190">
        <v>8</v>
      </c>
      <c r="F2180" s="190">
        <v>8.3000000000000007</v>
      </c>
      <c r="G2180" s="190">
        <v>96</v>
      </c>
      <c r="H2180" s="190">
        <v>17.7</v>
      </c>
      <c r="I2180" s="190">
        <v>17.7</v>
      </c>
      <c r="J2180" s="190"/>
      <c r="M2180" s="190"/>
      <c r="N2180" s="190"/>
      <c r="O2180" s="190"/>
      <c r="P2180" s="190"/>
      <c r="Q2180" s="190"/>
      <c r="R2180" s="190"/>
      <c r="S2180" s="190"/>
    </row>
    <row r="2181" spans="2:19" ht="16" x14ac:dyDescent="0.2">
      <c r="C2181" s="240">
        <v>34963</v>
      </c>
      <c r="D2181" s="225">
        <v>0.41666666666666669</v>
      </c>
      <c r="E2181" s="190">
        <v>10</v>
      </c>
      <c r="F2181" s="190">
        <v>8.3000000000000007</v>
      </c>
      <c r="G2181" s="190">
        <v>96</v>
      </c>
      <c r="H2181" s="190">
        <v>17.7</v>
      </c>
      <c r="I2181" s="190">
        <v>17.7</v>
      </c>
      <c r="J2181" s="190"/>
      <c r="M2181" s="190"/>
      <c r="N2181" s="190"/>
      <c r="O2181" s="190"/>
      <c r="P2181" s="190"/>
      <c r="Q2181" s="190"/>
      <c r="R2181" s="190"/>
      <c r="S2181" s="190"/>
    </row>
    <row r="2182" spans="2:19" ht="16" x14ac:dyDescent="0.2">
      <c r="C2182" s="240">
        <v>34963</v>
      </c>
      <c r="D2182" s="225">
        <v>0.41666666666666669</v>
      </c>
      <c r="E2182" s="190">
        <v>12</v>
      </c>
      <c r="F2182" s="190">
        <v>8.6</v>
      </c>
      <c r="G2182" s="190">
        <v>95</v>
      </c>
      <c r="H2182" s="190">
        <v>15.8</v>
      </c>
      <c r="I2182" s="245">
        <f>AVERAGE(I2176:I2181)</f>
        <v>17.7</v>
      </c>
      <c r="M2182" s="190"/>
      <c r="N2182" s="190"/>
      <c r="O2182" s="190"/>
      <c r="P2182" s="190"/>
      <c r="Q2182" s="190"/>
      <c r="R2182" s="190"/>
      <c r="S2182" s="190"/>
    </row>
    <row r="2183" spans="2:19" ht="16" x14ac:dyDescent="0.2">
      <c r="C2183" s="240">
        <v>34963</v>
      </c>
      <c r="D2183" s="225">
        <v>0.41666666666666669</v>
      </c>
      <c r="E2183" s="190">
        <v>14</v>
      </c>
      <c r="F2183" s="190">
        <v>9.3000000000000007</v>
      </c>
      <c r="G2183" s="190">
        <v>95</v>
      </c>
      <c r="H2183" s="190">
        <v>12.1</v>
      </c>
      <c r="M2183" s="190"/>
      <c r="N2183" s="190"/>
      <c r="O2183" s="190"/>
      <c r="P2183" s="190"/>
      <c r="Q2183" s="190"/>
      <c r="R2183" s="190"/>
      <c r="S2183" s="190"/>
    </row>
    <row r="2184" spans="2:19" ht="16" x14ac:dyDescent="0.2">
      <c r="C2184" s="240">
        <v>34963</v>
      </c>
      <c r="D2184" s="225">
        <v>0.41666666666666669</v>
      </c>
      <c r="E2184" s="190">
        <v>16</v>
      </c>
      <c r="F2184" s="190">
        <v>9.6</v>
      </c>
      <c r="G2184" s="190">
        <v>91</v>
      </c>
      <c r="H2184" s="191">
        <v>9.1</v>
      </c>
      <c r="I2184" s="191"/>
      <c r="J2184" s="191"/>
      <c r="M2184" s="190"/>
      <c r="N2184" s="190"/>
      <c r="O2184" s="190"/>
      <c r="P2184" s="190"/>
      <c r="Q2184" s="190"/>
      <c r="R2184" s="190"/>
      <c r="S2184" s="190"/>
    </row>
    <row r="2185" spans="2:19" ht="16" x14ac:dyDescent="0.2">
      <c r="C2185" s="240">
        <v>34963</v>
      </c>
      <c r="D2185" s="225">
        <v>0.41666666666666669</v>
      </c>
      <c r="E2185" s="190">
        <v>18</v>
      </c>
      <c r="F2185" s="190">
        <v>9.8000000000000007</v>
      </c>
      <c r="G2185" s="190">
        <v>91</v>
      </c>
      <c r="H2185" s="191">
        <v>7.8</v>
      </c>
      <c r="I2185" s="191"/>
      <c r="J2185" s="191"/>
      <c r="M2185" s="190"/>
      <c r="N2185" s="190"/>
      <c r="O2185" s="190"/>
      <c r="P2185" s="190"/>
      <c r="Q2185" s="190"/>
      <c r="R2185" s="190"/>
      <c r="S2185" s="190"/>
    </row>
    <row r="2186" spans="2:19" ht="16" x14ac:dyDescent="0.2">
      <c r="C2186" s="240">
        <v>34963</v>
      </c>
      <c r="D2186" s="225">
        <v>0.41666666666666669</v>
      </c>
      <c r="E2186" s="190">
        <v>20</v>
      </c>
      <c r="F2186" s="190">
        <v>9.6</v>
      </c>
      <c r="G2186" s="190">
        <v>88</v>
      </c>
      <c r="H2186" s="191">
        <v>7.4</v>
      </c>
      <c r="I2186" s="191"/>
      <c r="J2186" s="191"/>
      <c r="M2186" s="190"/>
      <c r="N2186" s="190"/>
      <c r="O2186" s="190"/>
      <c r="P2186" s="190"/>
      <c r="Q2186" s="190"/>
      <c r="R2186" s="190"/>
      <c r="S2186" s="190"/>
    </row>
    <row r="2187" spans="2:19" ht="16" x14ac:dyDescent="0.2">
      <c r="C2187" s="240">
        <v>34963</v>
      </c>
      <c r="D2187" s="225">
        <v>0.41666666666666669</v>
      </c>
      <c r="E2187" s="190">
        <v>30</v>
      </c>
      <c r="F2187" s="190">
        <v>9.4</v>
      </c>
      <c r="G2187" s="190">
        <v>84</v>
      </c>
      <c r="H2187" s="191">
        <v>6.4</v>
      </c>
      <c r="I2187" s="191"/>
      <c r="J2187" s="191"/>
      <c r="M2187" s="190"/>
      <c r="N2187" s="190"/>
      <c r="O2187" s="190"/>
      <c r="P2187" s="190"/>
      <c r="Q2187" s="190"/>
      <c r="R2187" s="190"/>
      <c r="S2187" s="190"/>
    </row>
    <row r="2188" spans="2:19" ht="16" x14ac:dyDescent="0.2">
      <c r="C2188" s="240">
        <v>34963</v>
      </c>
      <c r="D2188" s="225">
        <v>0.41666666666666669</v>
      </c>
      <c r="E2188" s="190">
        <v>40</v>
      </c>
      <c r="F2188" s="190">
        <v>9.1999999999999993</v>
      </c>
      <c r="G2188" s="190">
        <v>81</v>
      </c>
      <c r="H2188" s="191">
        <v>6.1</v>
      </c>
      <c r="I2188" s="191"/>
      <c r="J2188" s="191"/>
      <c r="M2188" s="190"/>
      <c r="N2188" s="190"/>
      <c r="O2188" s="190"/>
      <c r="P2188" s="190"/>
      <c r="Q2188" s="190"/>
      <c r="R2188" s="190"/>
      <c r="S2188" s="190"/>
    </row>
    <row r="2189" spans="2:19" ht="16" x14ac:dyDescent="0.2">
      <c r="C2189" s="240">
        <v>34963</v>
      </c>
      <c r="D2189" s="225">
        <v>0.41666666666666669</v>
      </c>
      <c r="E2189" s="190">
        <v>45</v>
      </c>
      <c r="F2189" s="190">
        <v>9</v>
      </c>
      <c r="G2189" s="190">
        <v>79</v>
      </c>
      <c r="H2189" s="191">
        <v>5.9</v>
      </c>
      <c r="I2189" s="191"/>
      <c r="J2189" s="191"/>
      <c r="M2189" s="190"/>
      <c r="N2189" s="190"/>
      <c r="O2189" s="190"/>
      <c r="P2189" s="190"/>
      <c r="Q2189" s="190"/>
      <c r="R2189" s="190"/>
      <c r="S2189" s="190"/>
    </row>
    <row r="2190" spans="2:19" ht="16" x14ac:dyDescent="0.2">
      <c r="C2190" s="240"/>
      <c r="D2190" s="225"/>
      <c r="E2190" s="190"/>
      <c r="H2190" s="191"/>
      <c r="I2190" s="191"/>
      <c r="J2190" s="191"/>
      <c r="K2190" s="246"/>
      <c r="L2190" s="246"/>
      <c r="M2190" s="190"/>
      <c r="N2190" s="190"/>
      <c r="O2190" s="190"/>
      <c r="P2190" s="190"/>
      <c r="Q2190" s="190"/>
      <c r="R2190" s="190"/>
      <c r="S2190" s="190"/>
    </row>
    <row r="2191" spans="2:19" ht="16" x14ac:dyDescent="0.2">
      <c r="C2191" s="240"/>
      <c r="D2191" s="225"/>
      <c r="E2191" s="198"/>
      <c r="H2191" s="198"/>
      <c r="I2191" s="198"/>
      <c r="L2191" s="190"/>
      <c r="M2191" s="190"/>
      <c r="N2191" s="190"/>
      <c r="O2191" s="190"/>
      <c r="P2191" s="190"/>
      <c r="Q2191" s="190"/>
      <c r="R2191" s="190"/>
      <c r="S2191" s="190"/>
    </row>
    <row r="2192" spans="2:19" ht="16" x14ac:dyDescent="0.2">
      <c r="B2192">
        <v>47</v>
      </c>
      <c r="C2192" s="240">
        <v>34934</v>
      </c>
      <c r="D2192" s="225">
        <v>0.40625</v>
      </c>
      <c r="E2192" s="190"/>
      <c r="H2192" s="190"/>
      <c r="I2192" s="190"/>
      <c r="J2192">
        <v>10.5</v>
      </c>
      <c r="L2192" s="190"/>
      <c r="M2192" s="190"/>
      <c r="N2192" s="190"/>
      <c r="O2192" s="190"/>
      <c r="P2192" s="190"/>
      <c r="Q2192" s="190"/>
      <c r="R2192" s="190"/>
      <c r="S2192" s="190"/>
    </row>
    <row r="2193" spans="3:19" ht="16" x14ac:dyDescent="0.2">
      <c r="C2193" s="240">
        <v>34934</v>
      </c>
      <c r="D2193" s="225">
        <v>0.40625</v>
      </c>
      <c r="E2193" s="190">
        <v>0.5</v>
      </c>
      <c r="F2193" s="190">
        <v>8.65</v>
      </c>
      <c r="G2193" s="190">
        <v>99</v>
      </c>
      <c r="H2193" s="191">
        <v>18.2</v>
      </c>
      <c r="I2193" s="191">
        <v>18.2</v>
      </c>
      <c r="J2193" s="191"/>
      <c r="L2193" s="190"/>
      <c r="M2193" s="190"/>
      <c r="N2193" s="190"/>
      <c r="O2193" s="190"/>
      <c r="P2193" s="190"/>
      <c r="Q2193" s="190"/>
      <c r="R2193" s="190"/>
      <c r="S2193" s="190"/>
    </row>
    <row r="2194" spans="3:19" ht="16" x14ac:dyDescent="0.2">
      <c r="C2194" s="240">
        <v>34934</v>
      </c>
      <c r="D2194" s="225">
        <v>0.40625</v>
      </c>
      <c r="E2194" s="190">
        <v>2</v>
      </c>
      <c r="F2194" s="190">
        <v>8.5399999999999991</v>
      </c>
      <c r="G2194" s="190">
        <v>99</v>
      </c>
      <c r="H2194" s="191">
        <v>18.2</v>
      </c>
      <c r="I2194" s="191">
        <v>18.2</v>
      </c>
      <c r="J2194" s="191"/>
      <c r="L2194" s="190"/>
      <c r="M2194" s="190"/>
      <c r="N2194" s="190"/>
      <c r="O2194" s="190"/>
      <c r="P2194" s="190"/>
      <c r="Q2194" s="190"/>
      <c r="R2194" s="190"/>
      <c r="S2194" s="190"/>
    </row>
    <row r="2195" spans="3:19" ht="16" x14ac:dyDescent="0.2">
      <c r="C2195" s="240">
        <v>34934</v>
      </c>
      <c r="D2195" s="225">
        <v>0.40625</v>
      </c>
      <c r="E2195" s="190">
        <v>4</v>
      </c>
      <c r="F2195" s="190">
        <v>8.44</v>
      </c>
      <c r="H2195" s="191">
        <v>18.100000000000001</v>
      </c>
      <c r="I2195" s="191">
        <v>18.100000000000001</v>
      </c>
      <c r="J2195" s="191"/>
      <c r="L2195" s="190"/>
      <c r="M2195" s="190"/>
      <c r="N2195" s="190"/>
      <c r="O2195" s="190"/>
      <c r="P2195" s="190"/>
      <c r="Q2195" s="190"/>
      <c r="R2195" s="190"/>
      <c r="S2195" s="190"/>
    </row>
    <row r="2196" spans="3:19" ht="16" x14ac:dyDescent="0.2">
      <c r="C2196" s="240">
        <v>34934</v>
      </c>
      <c r="D2196" s="225">
        <v>0.40625</v>
      </c>
      <c r="E2196" s="190">
        <v>6</v>
      </c>
      <c r="F2196" s="190">
        <v>8.3699999999999992</v>
      </c>
      <c r="G2196" s="190">
        <v>98</v>
      </c>
      <c r="H2196" s="191">
        <v>18.100000000000001</v>
      </c>
      <c r="I2196" s="191">
        <v>18.100000000000001</v>
      </c>
      <c r="J2196" s="191"/>
      <c r="L2196" s="190"/>
      <c r="M2196" s="190"/>
      <c r="N2196" s="190"/>
      <c r="O2196" s="190"/>
      <c r="P2196" s="190"/>
      <c r="Q2196" s="190"/>
      <c r="R2196" s="190"/>
      <c r="S2196" s="190"/>
    </row>
    <row r="2197" spans="3:19" ht="16" x14ac:dyDescent="0.2">
      <c r="C2197" s="240">
        <v>34934</v>
      </c>
      <c r="D2197" s="225">
        <v>0.40625</v>
      </c>
      <c r="E2197" s="190">
        <v>8</v>
      </c>
      <c r="F2197" s="190">
        <v>8.34</v>
      </c>
      <c r="H2197" s="191">
        <v>17.8</v>
      </c>
      <c r="I2197" s="191">
        <v>17.8</v>
      </c>
      <c r="J2197" s="191"/>
      <c r="L2197" s="190"/>
      <c r="M2197" s="190"/>
      <c r="N2197" s="190"/>
      <c r="O2197" s="190"/>
      <c r="P2197" s="190"/>
      <c r="Q2197" s="190"/>
      <c r="R2197" s="190"/>
      <c r="S2197" s="190"/>
    </row>
    <row r="2198" spans="3:19" ht="16" x14ac:dyDescent="0.2">
      <c r="C2198" s="240">
        <v>34934</v>
      </c>
      <c r="D2198" s="225">
        <v>0.40625</v>
      </c>
      <c r="E2198" s="190">
        <v>10</v>
      </c>
      <c r="F2198" s="190">
        <v>8.31</v>
      </c>
      <c r="G2198" s="190">
        <v>96</v>
      </c>
      <c r="H2198" s="191">
        <v>17.600000000000001</v>
      </c>
      <c r="I2198" s="191">
        <v>17.600000000000001</v>
      </c>
      <c r="J2198" s="191"/>
      <c r="L2198" s="190"/>
      <c r="M2198" s="190"/>
      <c r="N2198" s="190"/>
      <c r="O2198" s="190"/>
      <c r="P2198" s="190"/>
      <c r="Q2198" s="190"/>
      <c r="R2198" s="190"/>
      <c r="S2198" s="190"/>
    </row>
    <row r="2199" spans="3:19" ht="16" x14ac:dyDescent="0.2">
      <c r="C2199" s="240">
        <v>34934</v>
      </c>
      <c r="D2199" s="225">
        <v>0.40625</v>
      </c>
      <c r="E2199" s="190">
        <v>11</v>
      </c>
      <c r="F2199" s="190">
        <v>8.34</v>
      </c>
      <c r="G2199" s="190">
        <v>94</v>
      </c>
      <c r="H2199" s="191">
        <v>16.600000000000001</v>
      </c>
      <c r="I2199" s="244">
        <f>AVERAGE(I2193:I2198)</f>
        <v>18</v>
      </c>
      <c r="J2199" s="244"/>
      <c r="L2199" s="190"/>
      <c r="M2199" s="190"/>
      <c r="N2199" s="190"/>
      <c r="O2199" s="190"/>
      <c r="P2199" s="190"/>
      <c r="Q2199" s="190"/>
      <c r="R2199" s="190"/>
      <c r="S2199" s="190"/>
    </row>
    <row r="2200" spans="3:19" ht="16" x14ac:dyDescent="0.2">
      <c r="C2200" s="240">
        <v>34934</v>
      </c>
      <c r="D2200" s="225">
        <v>0.40625</v>
      </c>
      <c r="E2200" s="190">
        <v>12</v>
      </c>
      <c r="F2200" s="190">
        <v>9.15</v>
      </c>
      <c r="G2200" s="190">
        <v>97</v>
      </c>
      <c r="H2200" s="191">
        <v>13.7</v>
      </c>
      <c r="L2200" s="190"/>
      <c r="M2200" s="190"/>
      <c r="N2200" s="190"/>
      <c r="O2200" s="190"/>
      <c r="P2200" s="190"/>
      <c r="Q2200" s="190"/>
      <c r="R2200" s="190"/>
      <c r="S2200" s="190"/>
    </row>
    <row r="2201" spans="3:19" ht="16" x14ac:dyDescent="0.2">
      <c r="C2201" s="240">
        <v>34934</v>
      </c>
      <c r="D2201" s="225">
        <v>0.40625</v>
      </c>
      <c r="E2201" s="190">
        <v>14</v>
      </c>
      <c r="F2201" s="190">
        <v>9.5399999999999991</v>
      </c>
      <c r="H2201" s="191">
        <v>10.7</v>
      </c>
      <c r="L2201" s="190"/>
      <c r="M2201" s="190"/>
      <c r="N2201" s="190"/>
      <c r="O2201" s="190"/>
      <c r="P2201" s="190"/>
      <c r="Q2201" s="190"/>
      <c r="R2201" s="190"/>
      <c r="S2201" s="190"/>
    </row>
    <row r="2202" spans="3:19" ht="16" x14ac:dyDescent="0.2">
      <c r="C2202" s="240">
        <v>34934</v>
      </c>
      <c r="D2202" s="225">
        <v>0.40625</v>
      </c>
      <c r="E2202" s="190">
        <v>16</v>
      </c>
      <c r="F2202" s="190">
        <v>9.67</v>
      </c>
      <c r="G2202" s="190">
        <v>91</v>
      </c>
      <c r="H2202" s="191">
        <v>8.5</v>
      </c>
      <c r="L2202" s="190"/>
      <c r="M2202" s="190"/>
      <c r="N2202" s="190"/>
      <c r="O2202" s="190"/>
      <c r="P2202" s="190"/>
      <c r="Q2202" s="190"/>
      <c r="R2202" s="190"/>
      <c r="S2202" s="190"/>
    </row>
    <row r="2203" spans="3:19" ht="16" x14ac:dyDescent="0.2">
      <c r="C2203" s="240">
        <v>34934</v>
      </c>
      <c r="D2203" s="225">
        <v>0.40625</v>
      </c>
      <c r="E2203" s="190">
        <v>18</v>
      </c>
      <c r="F2203" s="190">
        <v>9.6</v>
      </c>
      <c r="G2203" s="190">
        <v>88</v>
      </c>
      <c r="H2203" s="191">
        <v>7.5</v>
      </c>
      <c r="L2203" s="190"/>
      <c r="M2203" s="190"/>
      <c r="N2203" s="190"/>
      <c r="O2203" s="190"/>
      <c r="P2203" s="190"/>
      <c r="Q2203" s="190"/>
      <c r="R2203" s="190"/>
      <c r="S2203" s="190"/>
    </row>
    <row r="2204" spans="3:19" ht="16" x14ac:dyDescent="0.2">
      <c r="C2204" s="240">
        <v>34934</v>
      </c>
      <c r="D2204" s="225">
        <v>0.40625</v>
      </c>
      <c r="E2204" s="190">
        <v>20</v>
      </c>
      <c r="F2204" s="190">
        <v>9.4700000000000006</v>
      </c>
      <c r="H2204" s="191">
        <v>7</v>
      </c>
      <c r="L2204" s="190"/>
      <c r="M2204" s="190"/>
      <c r="N2204" s="190"/>
      <c r="O2204" s="190"/>
      <c r="P2204" s="190"/>
      <c r="Q2204" s="190"/>
      <c r="R2204" s="190"/>
      <c r="S2204" s="190"/>
    </row>
    <row r="2205" spans="3:19" ht="16" x14ac:dyDescent="0.2">
      <c r="C2205" s="240">
        <v>34934</v>
      </c>
      <c r="D2205" s="225">
        <v>0.40625</v>
      </c>
      <c r="E2205" s="190">
        <v>30</v>
      </c>
      <c r="F2205" s="190">
        <v>9.34</v>
      </c>
      <c r="H2205" s="191">
        <v>6.1</v>
      </c>
      <c r="L2205" s="190"/>
      <c r="M2205" s="190"/>
      <c r="N2205" s="190"/>
      <c r="O2205" s="190"/>
      <c r="P2205" s="190"/>
      <c r="Q2205" s="190"/>
      <c r="R2205" s="190"/>
      <c r="S2205" s="190"/>
    </row>
    <row r="2206" spans="3:19" ht="16" x14ac:dyDescent="0.2">
      <c r="C2206" s="240">
        <v>34934</v>
      </c>
      <c r="D2206" s="225">
        <v>0.40625</v>
      </c>
      <c r="E2206" s="190">
        <v>40</v>
      </c>
      <c r="F2206" s="190">
        <v>9.2799999999999994</v>
      </c>
      <c r="G2206" s="190">
        <v>81</v>
      </c>
      <c r="H2206" s="191">
        <v>5.8</v>
      </c>
      <c r="L2206" s="190"/>
      <c r="M2206" s="190"/>
      <c r="N2206" s="190"/>
      <c r="O2206" s="190"/>
      <c r="P2206" s="190"/>
      <c r="Q2206" s="190"/>
      <c r="R2206" s="190"/>
      <c r="S2206" s="190"/>
    </row>
    <row r="2207" spans="3:19" ht="16" x14ac:dyDescent="0.2">
      <c r="C2207" s="240">
        <v>34934</v>
      </c>
      <c r="D2207" s="225">
        <v>0.40625</v>
      </c>
      <c r="E2207" s="190">
        <v>46</v>
      </c>
      <c r="F2207" s="190">
        <v>9.07</v>
      </c>
      <c r="G2207" s="190">
        <v>79</v>
      </c>
      <c r="H2207" s="191">
        <v>5.56</v>
      </c>
      <c r="L2207" s="190"/>
      <c r="M2207" s="190"/>
      <c r="N2207" s="190"/>
      <c r="O2207" s="190"/>
      <c r="P2207" s="190"/>
      <c r="Q2207" s="190"/>
      <c r="R2207" s="190"/>
      <c r="S2207" s="190"/>
    </row>
    <row r="2208" spans="3:19" ht="16" x14ac:dyDescent="0.2">
      <c r="C2208" s="190"/>
      <c r="D2208" s="190"/>
      <c r="E2208" s="190"/>
      <c r="H2208" s="191"/>
      <c r="L2208" s="190"/>
      <c r="M2208" s="190"/>
      <c r="N2208" s="190"/>
      <c r="O2208" s="190"/>
      <c r="P2208" s="190"/>
      <c r="Q2208" s="190"/>
      <c r="R2208" s="190"/>
      <c r="S2208" s="190"/>
    </row>
    <row r="2209" spans="2:19" ht="16" x14ac:dyDescent="0.2">
      <c r="B2209">
        <v>46</v>
      </c>
      <c r="C2209" s="240">
        <v>34907</v>
      </c>
      <c r="D2209" s="225"/>
      <c r="E2209" s="190"/>
      <c r="H2209" s="191"/>
      <c r="I2209" s="244"/>
      <c r="J2209">
        <v>11.9</v>
      </c>
      <c r="K2209" s="252" t="s">
        <v>609</v>
      </c>
      <c r="L2209" s="190"/>
      <c r="M2209" s="190"/>
      <c r="N2209" s="190"/>
      <c r="O2209" s="190"/>
      <c r="P2209" s="190"/>
      <c r="Q2209" s="190"/>
      <c r="R2209" s="190"/>
      <c r="S2209" s="190"/>
    </row>
    <row r="2210" spans="2:19" ht="16" x14ac:dyDescent="0.2">
      <c r="C2210" s="240">
        <v>34907</v>
      </c>
      <c r="D2210" s="225">
        <v>0.36805555555555558</v>
      </c>
      <c r="E2210" s="190">
        <v>0.5</v>
      </c>
      <c r="F2210" s="190">
        <v>9.1</v>
      </c>
      <c r="G2210" s="190">
        <v>111</v>
      </c>
      <c r="H2210" s="191">
        <v>20.6</v>
      </c>
      <c r="I2210" s="191">
        <v>20.6</v>
      </c>
      <c r="J2210" s="191"/>
      <c r="L2210" s="251" t="s">
        <v>613</v>
      </c>
      <c r="M2210" s="190"/>
      <c r="N2210" s="190"/>
      <c r="O2210" s="190"/>
      <c r="P2210" s="190"/>
      <c r="Q2210" s="190"/>
      <c r="R2210" s="190"/>
      <c r="S2210" s="190"/>
    </row>
    <row r="2211" spans="2:19" ht="16" x14ac:dyDescent="0.2">
      <c r="C2211" s="240">
        <v>34907</v>
      </c>
      <c r="D2211" s="225">
        <v>0.36805555555555558</v>
      </c>
      <c r="E2211" s="190">
        <v>2</v>
      </c>
      <c r="F2211" s="190">
        <v>8.9</v>
      </c>
      <c r="G2211" s="190">
        <v>109</v>
      </c>
      <c r="H2211" s="191">
        <v>20.7</v>
      </c>
      <c r="I2211" s="191">
        <v>20.7</v>
      </c>
      <c r="J2211" s="191"/>
      <c r="L2211" s="190"/>
      <c r="M2211" s="190"/>
      <c r="N2211" s="190"/>
      <c r="O2211" s="190"/>
      <c r="P2211" s="190"/>
      <c r="Q2211" s="190"/>
      <c r="R2211" s="190"/>
      <c r="S2211" s="190"/>
    </row>
    <row r="2212" spans="2:19" ht="16" x14ac:dyDescent="0.2">
      <c r="C2212" s="240">
        <v>34907</v>
      </c>
      <c r="D2212" s="225">
        <v>0.36805555555555558</v>
      </c>
      <c r="E2212" s="190">
        <v>4</v>
      </c>
      <c r="F2212" s="190">
        <v>8.8000000000000007</v>
      </c>
      <c r="G2212" s="190">
        <v>108</v>
      </c>
      <c r="H2212" s="191">
        <v>20.7</v>
      </c>
      <c r="I2212" s="191">
        <v>20.7</v>
      </c>
      <c r="J2212" s="191"/>
      <c r="L2212" s="190"/>
      <c r="M2212" s="190"/>
      <c r="N2212" s="190"/>
      <c r="O2212" s="190"/>
      <c r="P2212" s="190"/>
      <c r="Q2212" s="190"/>
      <c r="R2212" s="190"/>
      <c r="S2212" s="190"/>
    </row>
    <row r="2213" spans="2:19" ht="16" x14ac:dyDescent="0.2">
      <c r="C2213" s="240">
        <v>34907</v>
      </c>
      <c r="D2213" s="225">
        <v>0.36805555555555558</v>
      </c>
      <c r="E2213" s="190">
        <v>6</v>
      </c>
      <c r="F2213" s="190">
        <v>8.6999999999999993</v>
      </c>
      <c r="G2213" s="190">
        <v>106</v>
      </c>
      <c r="H2213" s="191">
        <v>20.7</v>
      </c>
      <c r="I2213" s="191">
        <v>20.7</v>
      </c>
      <c r="J2213" s="191"/>
      <c r="L2213" s="190"/>
      <c r="M2213" s="190"/>
      <c r="N2213" s="190"/>
      <c r="O2213" s="190"/>
      <c r="P2213" s="190"/>
      <c r="Q2213" s="190"/>
      <c r="R2213" s="190"/>
      <c r="S2213" s="190"/>
    </row>
    <row r="2214" spans="2:19" ht="16" x14ac:dyDescent="0.2">
      <c r="C2214" s="240">
        <v>34907</v>
      </c>
      <c r="D2214" s="225">
        <v>0.36805555555555558</v>
      </c>
      <c r="E2214" s="190">
        <v>8</v>
      </c>
      <c r="F2214" s="190">
        <v>8.6999999999999993</v>
      </c>
      <c r="G2214" s="190">
        <v>106</v>
      </c>
      <c r="H2214" s="191">
        <v>20.7</v>
      </c>
      <c r="I2214" s="191">
        <v>20.7</v>
      </c>
      <c r="J2214" s="191"/>
      <c r="L2214" s="190"/>
      <c r="M2214" s="190"/>
      <c r="N2214" s="190"/>
      <c r="O2214" s="190"/>
      <c r="P2214" s="190"/>
      <c r="Q2214" s="190"/>
      <c r="R2214" s="190"/>
      <c r="S2214" s="190"/>
    </row>
    <row r="2215" spans="2:19" ht="16" x14ac:dyDescent="0.2">
      <c r="C2215" s="240">
        <v>34907</v>
      </c>
      <c r="D2215" s="225">
        <v>0.36805555555555558</v>
      </c>
      <c r="E2215" s="190">
        <v>10</v>
      </c>
      <c r="F2215" s="190">
        <v>8.8000000000000007</v>
      </c>
      <c r="G2215" s="190">
        <v>106</v>
      </c>
      <c r="H2215" s="191">
        <v>20</v>
      </c>
      <c r="I2215" s="191">
        <v>20</v>
      </c>
      <c r="J2215" s="191"/>
      <c r="L2215" s="190"/>
      <c r="M2215" s="190"/>
      <c r="N2215" s="190"/>
      <c r="O2215" s="190"/>
      <c r="P2215" s="190"/>
      <c r="Q2215" s="190"/>
      <c r="R2215" s="190"/>
      <c r="S2215" s="190"/>
    </row>
    <row r="2216" spans="2:19" ht="16" x14ac:dyDescent="0.2">
      <c r="C2216" s="240">
        <v>34907</v>
      </c>
      <c r="D2216" s="225">
        <v>0.36805555555555558</v>
      </c>
      <c r="E2216" s="190">
        <v>12</v>
      </c>
      <c r="F2216" s="190">
        <v>9.3000000000000007</v>
      </c>
      <c r="G2216" s="190">
        <v>104</v>
      </c>
      <c r="H2216" s="191">
        <v>16.5</v>
      </c>
      <c r="I2216" s="244">
        <f>AVERAGE(I2210:I2215)</f>
        <v>20.566666666666666</v>
      </c>
      <c r="J2216" s="244"/>
      <c r="L2216" s="190"/>
      <c r="M2216" s="190"/>
      <c r="N2216" s="190"/>
      <c r="O2216" s="190"/>
      <c r="P2216" s="190"/>
      <c r="Q2216" s="190"/>
      <c r="R2216" s="190"/>
      <c r="S2216" s="190"/>
    </row>
    <row r="2217" spans="2:19" ht="16" x14ac:dyDescent="0.2">
      <c r="C2217" s="240">
        <v>34907</v>
      </c>
      <c r="D2217" s="225">
        <v>0.36805555555555558</v>
      </c>
      <c r="E2217" s="190">
        <v>14</v>
      </c>
      <c r="F2217" s="190">
        <v>10.4</v>
      </c>
      <c r="G2217" s="190">
        <v>102</v>
      </c>
      <c r="H2217" s="191">
        <v>10.7</v>
      </c>
      <c r="L2217" s="190"/>
      <c r="M2217" s="190"/>
      <c r="N2217" s="190"/>
      <c r="O2217" s="190"/>
      <c r="P2217" s="190"/>
      <c r="Q2217" s="190"/>
      <c r="R2217" s="190"/>
      <c r="S2217" s="190"/>
    </row>
    <row r="2218" spans="2:19" ht="16" x14ac:dyDescent="0.2">
      <c r="C2218" s="240">
        <v>34907</v>
      </c>
      <c r="D2218" s="225">
        <v>0.36805555555555558</v>
      </c>
      <c r="E2218" s="190">
        <v>16</v>
      </c>
      <c r="F2218" s="190">
        <v>10.4</v>
      </c>
      <c r="G2218" s="190">
        <v>100</v>
      </c>
      <c r="H2218" s="191">
        <v>9.5</v>
      </c>
      <c r="L2218" s="190"/>
      <c r="M2218" s="190"/>
      <c r="N2218" s="190"/>
      <c r="O2218" s="190"/>
      <c r="P2218" s="190"/>
      <c r="Q2218" s="190"/>
      <c r="R2218" s="190"/>
      <c r="S2218" s="190"/>
    </row>
    <row r="2219" spans="2:19" ht="16" x14ac:dyDescent="0.2">
      <c r="C2219" s="240">
        <v>34907</v>
      </c>
      <c r="D2219" s="225">
        <v>0.36805555555555558</v>
      </c>
      <c r="E2219" s="190">
        <v>18</v>
      </c>
      <c r="F2219" s="190">
        <v>10.4</v>
      </c>
      <c r="G2219" s="190">
        <v>96</v>
      </c>
      <c r="H2219" s="191">
        <v>7.7</v>
      </c>
      <c r="L2219" s="190"/>
      <c r="M2219" s="190"/>
      <c r="N2219" s="190"/>
      <c r="O2219" s="190"/>
      <c r="P2219" s="190"/>
      <c r="Q2219" s="190"/>
      <c r="R2219" s="190"/>
      <c r="S2219" s="190"/>
    </row>
    <row r="2220" spans="2:19" ht="16" x14ac:dyDescent="0.2">
      <c r="C2220" s="240">
        <v>34907</v>
      </c>
      <c r="D2220" s="225">
        <v>0.36805555555555558</v>
      </c>
      <c r="E2220" s="190">
        <v>20</v>
      </c>
      <c r="F2220" s="190">
        <v>10.3</v>
      </c>
      <c r="H2220" s="191">
        <v>6.9</v>
      </c>
      <c r="L2220" s="190"/>
      <c r="M2220" s="190"/>
      <c r="N2220" s="190"/>
      <c r="O2220" s="190"/>
      <c r="P2220" s="190"/>
      <c r="Q2220" s="190"/>
      <c r="R2220" s="190"/>
      <c r="S2220" s="190"/>
    </row>
    <row r="2221" spans="2:19" ht="16" x14ac:dyDescent="0.2">
      <c r="C2221" s="240">
        <v>34907</v>
      </c>
      <c r="D2221" s="225">
        <v>0.36805555555555558</v>
      </c>
      <c r="E2221" s="190">
        <v>30</v>
      </c>
      <c r="F2221" s="190">
        <v>10.4</v>
      </c>
      <c r="G2221" s="190">
        <v>91</v>
      </c>
      <c r="H2221" s="191">
        <v>6</v>
      </c>
      <c r="L2221" s="190"/>
      <c r="M2221" s="190"/>
      <c r="N2221" s="190"/>
      <c r="O2221" s="190"/>
      <c r="P2221" s="190"/>
      <c r="Q2221" s="190"/>
      <c r="R2221" s="190"/>
      <c r="S2221" s="190"/>
    </row>
    <row r="2222" spans="2:19" ht="16" x14ac:dyDescent="0.2">
      <c r="C2222" s="240">
        <v>34907</v>
      </c>
      <c r="D2222" s="225">
        <v>0.36805555555555558</v>
      </c>
      <c r="E2222" s="190">
        <v>40</v>
      </c>
      <c r="F2222" s="190">
        <v>10.1</v>
      </c>
      <c r="H2222" s="191">
        <v>5.6</v>
      </c>
      <c r="L2222" s="190"/>
      <c r="M2222" s="190"/>
      <c r="N2222" s="190"/>
      <c r="O2222" s="190"/>
      <c r="P2222" s="190"/>
      <c r="Q2222" s="190"/>
      <c r="R2222" s="190"/>
      <c r="S2222" s="190"/>
    </row>
    <row r="2223" spans="2:19" ht="16" x14ac:dyDescent="0.2">
      <c r="C2223" s="240">
        <v>34907</v>
      </c>
      <c r="D2223" s="225">
        <v>0.36805555555555558</v>
      </c>
      <c r="E2223" s="190">
        <v>45</v>
      </c>
      <c r="F2223" s="190">
        <v>9.9</v>
      </c>
      <c r="G2223" s="190">
        <v>86</v>
      </c>
      <c r="H2223" s="191">
        <v>5.5</v>
      </c>
      <c r="L2223" s="190"/>
      <c r="M2223" s="190"/>
      <c r="N2223" s="190"/>
      <c r="O2223" s="190"/>
      <c r="P2223" s="190"/>
      <c r="Q2223" s="190"/>
      <c r="R2223" s="190"/>
      <c r="S2223" s="190"/>
    </row>
    <row r="2224" spans="2:19" ht="16" x14ac:dyDescent="0.2">
      <c r="C2224" s="190"/>
      <c r="D2224" s="190"/>
      <c r="E2224" s="190"/>
      <c r="H2224" s="190"/>
      <c r="I2224" s="190"/>
      <c r="L2224" s="190"/>
      <c r="M2224" s="190"/>
      <c r="N2224" s="190"/>
      <c r="O2224" s="190"/>
      <c r="P2224" s="190"/>
      <c r="Q2224" s="190"/>
      <c r="R2224" s="190"/>
      <c r="S2224" s="190"/>
    </row>
    <row r="2225" spans="2:19" ht="16" x14ac:dyDescent="0.2">
      <c r="B2225">
        <v>46</v>
      </c>
      <c r="C2225" s="240">
        <v>34886</v>
      </c>
      <c r="D2225" s="225">
        <v>0.35416666666666669</v>
      </c>
      <c r="E2225" s="190"/>
      <c r="H2225" s="191"/>
      <c r="I2225" s="244"/>
      <c r="J2225">
        <v>8.6</v>
      </c>
      <c r="L2225" s="190"/>
      <c r="M2225" s="190"/>
      <c r="N2225" s="190"/>
      <c r="O2225" s="190"/>
      <c r="P2225" s="190"/>
      <c r="Q2225" s="190"/>
      <c r="R2225" s="190"/>
      <c r="S2225" s="190"/>
    </row>
    <row r="2226" spans="2:19" ht="16" x14ac:dyDescent="0.2">
      <c r="C2226" s="240">
        <v>34886</v>
      </c>
      <c r="D2226" s="225">
        <v>0.35416666666666669</v>
      </c>
      <c r="E2226" s="190">
        <v>0.5</v>
      </c>
      <c r="F2226" s="190">
        <v>9.9</v>
      </c>
      <c r="G2226" s="190">
        <v>115</v>
      </c>
      <c r="H2226" s="191">
        <v>17.8</v>
      </c>
      <c r="I2226" s="191">
        <v>17.8</v>
      </c>
      <c r="J2226" s="191"/>
      <c r="L2226" s="251" t="s">
        <v>613</v>
      </c>
      <c r="M2226" s="190"/>
      <c r="N2226" s="190"/>
      <c r="O2226" s="190"/>
      <c r="P2226" s="190"/>
      <c r="Q2226" s="190"/>
      <c r="R2226" s="190"/>
      <c r="S2226" s="190"/>
    </row>
    <row r="2227" spans="2:19" ht="16" x14ac:dyDescent="0.2">
      <c r="C2227" s="240">
        <v>34886</v>
      </c>
      <c r="D2227" s="225">
        <v>0.35416666666666669</v>
      </c>
      <c r="E2227" s="190">
        <v>2</v>
      </c>
      <c r="F2227" s="190">
        <v>9.6999999999999993</v>
      </c>
      <c r="G2227" s="190">
        <v>112</v>
      </c>
      <c r="H2227" s="191">
        <v>17.8</v>
      </c>
      <c r="I2227" s="191">
        <v>17.8</v>
      </c>
      <c r="J2227" s="191"/>
      <c r="L2227" s="190"/>
      <c r="M2227" s="190"/>
      <c r="N2227" s="190"/>
      <c r="O2227" s="190"/>
      <c r="P2227" s="190"/>
      <c r="Q2227" s="190"/>
      <c r="R2227" s="190"/>
      <c r="S2227" s="190"/>
    </row>
    <row r="2228" spans="2:19" ht="16" x14ac:dyDescent="0.2">
      <c r="C2228" s="240">
        <v>34886</v>
      </c>
      <c r="D2228" s="225">
        <v>0.35416666666666669</v>
      </c>
      <c r="E2228" s="190">
        <v>4</v>
      </c>
      <c r="F2228" s="190">
        <v>9.6</v>
      </c>
      <c r="H2228" s="191">
        <v>17.8</v>
      </c>
      <c r="I2228" s="191">
        <v>17.8</v>
      </c>
      <c r="J2228" s="191"/>
      <c r="L2228" s="190"/>
      <c r="M2228" s="190"/>
      <c r="N2228" s="190"/>
      <c r="O2228" s="190"/>
      <c r="P2228" s="190"/>
      <c r="Q2228" s="190"/>
      <c r="R2228" s="190"/>
      <c r="S2228" s="190"/>
    </row>
    <row r="2229" spans="2:19" ht="16" x14ac:dyDescent="0.2">
      <c r="C2229" s="240">
        <v>34886</v>
      </c>
      <c r="D2229" s="225">
        <v>0.35416666666666669</v>
      </c>
      <c r="E2229" s="190">
        <v>6</v>
      </c>
      <c r="F2229" s="190">
        <v>9.6</v>
      </c>
      <c r="G2229" s="190">
        <v>111</v>
      </c>
      <c r="H2229" s="191">
        <v>17.7</v>
      </c>
      <c r="I2229" s="191">
        <v>17.7</v>
      </c>
      <c r="J2229" s="191"/>
      <c r="L2229" s="190"/>
      <c r="M2229" s="190"/>
      <c r="N2229" s="190"/>
      <c r="O2229" s="190"/>
      <c r="P2229" s="190"/>
      <c r="Q2229" s="190"/>
      <c r="R2229" s="190"/>
      <c r="S2229" s="190"/>
    </row>
    <row r="2230" spans="2:19" ht="16" x14ac:dyDescent="0.2">
      <c r="C2230" s="240">
        <v>34886</v>
      </c>
      <c r="D2230" s="225">
        <v>0.35416666666666669</v>
      </c>
      <c r="E2230" s="190">
        <v>8</v>
      </c>
      <c r="F2230" s="190">
        <v>9.6999999999999993</v>
      </c>
      <c r="H2230" s="191">
        <v>17.399999999999999</v>
      </c>
      <c r="I2230" s="191">
        <v>17.399999999999999</v>
      </c>
      <c r="J2230" s="191"/>
      <c r="L2230" s="190"/>
      <c r="M2230" s="190"/>
      <c r="N2230" s="190"/>
      <c r="O2230" s="190"/>
      <c r="P2230" s="190"/>
      <c r="Q2230" s="190"/>
      <c r="R2230" s="190"/>
      <c r="S2230" s="190"/>
    </row>
    <row r="2231" spans="2:19" ht="16" x14ac:dyDescent="0.2">
      <c r="C2231" s="240">
        <v>34886</v>
      </c>
      <c r="D2231" s="225">
        <v>0.35416666666666669</v>
      </c>
      <c r="E2231" s="190">
        <v>10</v>
      </c>
      <c r="F2231" s="190">
        <v>10</v>
      </c>
      <c r="G2231" s="190">
        <v>111</v>
      </c>
      <c r="H2231" s="191">
        <v>15.8</v>
      </c>
      <c r="I2231" s="244">
        <f>AVERAGE(I2226:I2230)</f>
        <v>17.7</v>
      </c>
      <c r="J2231" s="244"/>
      <c r="L2231" s="190"/>
      <c r="M2231" s="190"/>
      <c r="N2231" s="190"/>
      <c r="O2231" s="190"/>
      <c r="P2231" s="190"/>
      <c r="Q2231" s="190"/>
      <c r="R2231" s="190"/>
      <c r="S2231" s="190"/>
    </row>
    <row r="2232" spans="2:19" ht="16" x14ac:dyDescent="0.2">
      <c r="C2232" s="240">
        <v>34886</v>
      </c>
      <c r="D2232" s="225">
        <v>0.35416666666666669</v>
      </c>
      <c r="E2232" s="190">
        <v>11</v>
      </c>
      <c r="F2232" s="190">
        <v>10.3</v>
      </c>
      <c r="H2232" s="191">
        <v>13.4</v>
      </c>
      <c r="I2232" s="191"/>
      <c r="J2232" s="191"/>
      <c r="L2232" s="190"/>
      <c r="M2232" s="190"/>
      <c r="N2232" s="190"/>
      <c r="O2232" s="190"/>
      <c r="P2232" s="190"/>
      <c r="Q2232" s="190"/>
      <c r="R2232" s="190"/>
      <c r="S2232" s="190"/>
    </row>
    <row r="2233" spans="2:19" ht="16" x14ac:dyDescent="0.2">
      <c r="C2233" s="240">
        <v>34886</v>
      </c>
      <c r="D2233" s="225">
        <v>0.35416666666666669</v>
      </c>
      <c r="E2233" s="190">
        <v>12</v>
      </c>
      <c r="F2233" s="190">
        <v>10.5</v>
      </c>
      <c r="G2233" s="190">
        <v>106</v>
      </c>
      <c r="H2233" s="191">
        <v>11.7</v>
      </c>
      <c r="I2233" s="191"/>
      <c r="J2233" s="191"/>
      <c r="L2233" s="190"/>
      <c r="M2233" s="190"/>
      <c r="N2233" s="190"/>
      <c r="O2233" s="190"/>
      <c r="P2233" s="190"/>
      <c r="Q2233" s="190"/>
      <c r="R2233" s="190"/>
      <c r="S2233" s="190"/>
    </row>
    <row r="2234" spans="2:19" ht="16" x14ac:dyDescent="0.2">
      <c r="C2234" s="240">
        <v>34886</v>
      </c>
      <c r="D2234" s="225">
        <v>0.35416666666666669</v>
      </c>
      <c r="E2234" s="190">
        <v>14</v>
      </c>
      <c r="F2234" s="190">
        <v>10.5</v>
      </c>
      <c r="G2234" s="190">
        <v>105</v>
      </c>
      <c r="H2234" s="191">
        <v>10.9</v>
      </c>
      <c r="I2234" s="191"/>
      <c r="J2234" s="244"/>
      <c r="L2234" s="190"/>
      <c r="M2234" s="190"/>
      <c r="N2234" s="190"/>
      <c r="O2234" s="190"/>
      <c r="P2234" s="190"/>
      <c r="Q2234" s="190"/>
      <c r="R2234" s="190"/>
      <c r="S2234" s="190"/>
    </row>
    <row r="2235" spans="2:19" ht="16" x14ac:dyDescent="0.2">
      <c r="C2235" s="240">
        <v>34886</v>
      </c>
      <c r="D2235" s="225">
        <v>0.35416666666666669</v>
      </c>
      <c r="E2235" s="190">
        <v>16</v>
      </c>
      <c r="F2235" s="190">
        <v>11.1</v>
      </c>
      <c r="G2235" s="190">
        <v>102</v>
      </c>
      <c r="H2235" s="191">
        <v>7.8</v>
      </c>
      <c r="I2235" s="191"/>
      <c r="L2235" s="190"/>
      <c r="M2235" s="190"/>
      <c r="N2235" s="190"/>
      <c r="O2235" s="190"/>
      <c r="P2235" s="190"/>
      <c r="Q2235" s="190"/>
      <c r="R2235" s="190"/>
      <c r="S2235" s="190"/>
    </row>
    <row r="2236" spans="2:19" ht="16" x14ac:dyDescent="0.2">
      <c r="C2236" s="240">
        <v>34886</v>
      </c>
      <c r="D2236" s="225">
        <v>0.35416666666666669</v>
      </c>
      <c r="E2236" s="190">
        <v>18</v>
      </c>
      <c r="F2236" s="190">
        <v>10.9</v>
      </c>
      <c r="G2236" s="190">
        <v>99</v>
      </c>
      <c r="H2236" s="191">
        <v>7.2</v>
      </c>
      <c r="I2236" s="191"/>
      <c r="L2236" s="190"/>
      <c r="M2236" s="190"/>
      <c r="N2236" s="190"/>
      <c r="O2236" s="190"/>
      <c r="P2236" s="190"/>
      <c r="Q2236" s="190"/>
      <c r="R2236" s="190"/>
      <c r="S2236" s="190"/>
    </row>
    <row r="2237" spans="2:19" ht="16" x14ac:dyDescent="0.2">
      <c r="C2237" s="240">
        <v>34886</v>
      </c>
      <c r="D2237" s="225">
        <v>0.35416666666666669</v>
      </c>
      <c r="E2237" s="190">
        <v>20</v>
      </c>
      <c r="F2237" s="190">
        <v>10.9</v>
      </c>
      <c r="H2237" s="191">
        <v>6.8</v>
      </c>
      <c r="I2237" s="191"/>
      <c r="L2237" s="190"/>
      <c r="M2237" s="190"/>
      <c r="N2237" s="190"/>
      <c r="O2237" s="190"/>
      <c r="P2237" s="190"/>
      <c r="Q2237" s="190"/>
      <c r="R2237" s="190"/>
      <c r="S2237" s="190"/>
    </row>
    <row r="2238" spans="2:19" ht="16" x14ac:dyDescent="0.2">
      <c r="C2238" s="240">
        <v>34886</v>
      </c>
      <c r="D2238" s="225">
        <v>0.35416666666666669</v>
      </c>
      <c r="E2238" s="190">
        <v>25</v>
      </c>
      <c r="F2238" s="190">
        <v>11</v>
      </c>
      <c r="G2238" s="190">
        <v>97</v>
      </c>
      <c r="H2238" s="191">
        <v>6.1</v>
      </c>
      <c r="I2238" s="191"/>
      <c r="L2238" s="190"/>
      <c r="M2238" s="190"/>
      <c r="N2238" s="190"/>
      <c r="O2238" s="190"/>
      <c r="P2238" s="190"/>
      <c r="Q2238" s="190"/>
      <c r="R2238" s="190"/>
      <c r="S2238" s="190"/>
    </row>
    <row r="2239" spans="2:19" ht="16" x14ac:dyDescent="0.2">
      <c r="C2239" s="240">
        <v>34886</v>
      </c>
      <c r="D2239" s="225">
        <v>0.35416666666666669</v>
      </c>
      <c r="E2239" s="190">
        <v>30</v>
      </c>
      <c r="F2239" s="190">
        <v>11</v>
      </c>
      <c r="H2239" s="191">
        <v>5.7</v>
      </c>
      <c r="I2239" s="191"/>
      <c r="L2239" s="190"/>
      <c r="M2239" s="190"/>
      <c r="N2239" s="190"/>
      <c r="O2239" s="190"/>
      <c r="P2239" s="190"/>
      <c r="Q2239" s="190"/>
      <c r="R2239" s="190"/>
      <c r="S2239" s="190"/>
    </row>
    <row r="2240" spans="2:19" ht="16" x14ac:dyDescent="0.2">
      <c r="C2240" s="240">
        <v>34886</v>
      </c>
      <c r="D2240" s="225">
        <v>0.35416666666666669</v>
      </c>
      <c r="E2240" s="190">
        <v>35</v>
      </c>
      <c r="F2240" s="190">
        <v>10.9</v>
      </c>
      <c r="G2240" s="190">
        <v>94</v>
      </c>
      <c r="H2240" s="191">
        <v>5.5</v>
      </c>
      <c r="I2240" s="191"/>
      <c r="L2240" s="190"/>
      <c r="M2240" s="190"/>
      <c r="N2240" s="190"/>
      <c r="O2240" s="190"/>
      <c r="P2240" s="190"/>
      <c r="Q2240" s="190"/>
      <c r="R2240" s="190"/>
      <c r="S2240" s="190"/>
    </row>
    <row r="2241" spans="2:19" ht="16" x14ac:dyDescent="0.2">
      <c r="C2241" s="240">
        <v>34886</v>
      </c>
      <c r="D2241" s="225">
        <v>0.35416666666666669</v>
      </c>
      <c r="E2241" s="190">
        <v>40</v>
      </c>
      <c r="F2241" s="190">
        <v>10.7</v>
      </c>
      <c r="H2241" s="191">
        <v>5.4</v>
      </c>
      <c r="I2241" s="191"/>
      <c r="L2241" s="190"/>
      <c r="M2241" s="190"/>
      <c r="N2241" s="190"/>
      <c r="O2241" s="190"/>
      <c r="P2241" s="190"/>
      <c r="Q2241" s="190"/>
      <c r="R2241" s="190"/>
      <c r="S2241" s="190"/>
    </row>
    <row r="2242" spans="2:19" ht="16" x14ac:dyDescent="0.2">
      <c r="C2242" s="240">
        <v>34886</v>
      </c>
      <c r="D2242" s="225">
        <v>0.35416666666666669</v>
      </c>
      <c r="E2242" s="190">
        <v>45</v>
      </c>
      <c r="F2242" s="190">
        <v>10.7</v>
      </c>
      <c r="G2242" s="190">
        <v>93</v>
      </c>
      <c r="H2242" s="191">
        <v>5.3</v>
      </c>
      <c r="I2242" s="191"/>
      <c r="L2242" s="190"/>
      <c r="M2242" s="190"/>
      <c r="N2242" s="190"/>
      <c r="O2242" s="190"/>
      <c r="P2242" s="190"/>
      <c r="Q2242" s="190"/>
      <c r="R2242" s="190"/>
      <c r="S2242" s="190"/>
    </row>
    <row r="2243" spans="2:19" ht="16" x14ac:dyDescent="0.2">
      <c r="C2243" s="190"/>
      <c r="D2243" s="190"/>
      <c r="E2243" s="190"/>
      <c r="H2243" s="190"/>
      <c r="I2243" s="190"/>
      <c r="L2243" s="190"/>
      <c r="M2243" s="190"/>
      <c r="N2243" s="190"/>
      <c r="O2243" s="190"/>
      <c r="P2243" s="190"/>
      <c r="Q2243" s="190"/>
      <c r="R2243" s="190"/>
      <c r="S2243" s="190"/>
    </row>
    <row r="2244" spans="2:19" ht="16" x14ac:dyDescent="0.2">
      <c r="B2244">
        <v>44.2</v>
      </c>
      <c r="C2244" s="240">
        <v>34863</v>
      </c>
      <c r="D2244" s="225"/>
      <c r="E2244" s="190"/>
      <c r="H2244" s="191"/>
      <c r="I2244" s="191"/>
      <c r="J2244" s="191">
        <v>5</v>
      </c>
      <c r="L2244" s="190"/>
      <c r="M2244" s="190"/>
      <c r="N2244" s="190"/>
      <c r="O2244" s="190"/>
      <c r="P2244" s="190"/>
      <c r="Q2244" s="190"/>
      <c r="R2244" s="190"/>
      <c r="S2244" s="190"/>
    </row>
    <row r="2245" spans="2:19" ht="16" x14ac:dyDescent="0.2">
      <c r="C2245" s="240">
        <v>34863</v>
      </c>
      <c r="D2245" s="225">
        <v>0.5</v>
      </c>
      <c r="E2245" s="190">
        <v>0.5</v>
      </c>
      <c r="F2245" s="190">
        <v>10.9</v>
      </c>
      <c r="G2245" s="190">
        <v>118</v>
      </c>
      <c r="H2245" s="191">
        <v>14.8</v>
      </c>
      <c r="I2245" s="191">
        <v>14.8</v>
      </c>
      <c r="J2245" s="191"/>
      <c r="L2245" s="251" t="s">
        <v>613</v>
      </c>
      <c r="M2245" s="190"/>
      <c r="N2245" s="190"/>
      <c r="O2245" s="190"/>
      <c r="P2245" s="190"/>
      <c r="Q2245" s="190"/>
      <c r="R2245" s="190"/>
      <c r="S2245" s="190"/>
    </row>
    <row r="2246" spans="2:19" ht="16" x14ac:dyDescent="0.2">
      <c r="C2246" s="240">
        <v>34863</v>
      </c>
      <c r="D2246" s="225">
        <v>0.5</v>
      </c>
      <c r="E2246" s="190">
        <v>10</v>
      </c>
      <c r="F2246" s="190">
        <v>10.6</v>
      </c>
      <c r="G2246" s="190">
        <v>113</v>
      </c>
      <c r="H2246" s="191">
        <v>14.5</v>
      </c>
      <c r="I2246" s="191">
        <v>14.5</v>
      </c>
      <c r="J2246" s="244"/>
      <c r="L2246" s="190"/>
      <c r="M2246" s="190"/>
      <c r="N2246" s="190"/>
      <c r="O2246" s="190"/>
      <c r="P2246" s="190"/>
      <c r="Q2246" s="190"/>
      <c r="R2246" s="190"/>
      <c r="S2246" s="190"/>
    </row>
    <row r="2247" spans="2:19" ht="16" x14ac:dyDescent="0.2">
      <c r="C2247" s="240">
        <v>34863</v>
      </c>
      <c r="D2247" s="225">
        <v>0.5</v>
      </c>
      <c r="E2247" s="190">
        <v>20</v>
      </c>
      <c r="F2247" s="190">
        <v>12.2</v>
      </c>
      <c r="G2247" s="190">
        <v>107</v>
      </c>
      <c r="H2247" s="191">
        <v>6.1</v>
      </c>
      <c r="I2247" s="244">
        <f>AVERAGE(I2245:I2246)</f>
        <v>14.65</v>
      </c>
      <c r="J2247" s="191"/>
      <c r="L2247" s="190"/>
      <c r="M2247" s="190"/>
      <c r="N2247" s="190"/>
      <c r="O2247" s="190"/>
      <c r="P2247" s="190"/>
      <c r="Q2247" s="190"/>
      <c r="R2247" s="190"/>
      <c r="S2247" s="190"/>
    </row>
    <row r="2248" spans="2:19" ht="16" x14ac:dyDescent="0.2">
      <c r="C2248" s="240">
        <v>34863</v>
      </c>
      <c r="D2248" s="225">
        <v>0.5</v>
      </c>
      <c r="E2248" s="190">
        <v>30</v>
      </c>
      <c r="F2248" s="190">
        <v>11.8</v>
      </c>
      <c r="G2248" s="190">
        <v>102</v>
      </c>
      <c r="H2248" s="191">
        <v>5.6</v>
      </c>
      <c r="I2248" s="191"/>
      <c r="J2248" s="191"/>
      <c r="L2248" s="190"/>
      <c r="M2248" s="190"/>
      <c r="N2248" s="190"/>
      <c r="O2248" s="190"/>
      <c r="P2248" s="190"/>
      <c r="Q2248" s="190"/>
      <c r="R2248" s="190"/>
      <c r="S2248" s="190"/>
    </row>
    <row r="2249" spans="2:19" ht="16" x14ac:dyDescent="0.2">
      <c r="C2249" s="240">
        <v>34863</v>
      </c>
      <c r="D2249" s="225">
        <v>0.5</v>
      </c>
      <c r="E2249" s="190">
        <v>40</v>
      </c>
      <c r="F2249" s="190">
        <v>11.6</v>
      </c>
      <c r="G2249" s="190">
        <v>100</v>
      </c>
      <c r="H2249" s="191">
        <v>5.2</v>
      </c>
      <c r="I2249" s="191"/>
      <c r="J2249" s="244"/>
      <c r="L2249" s="190"/>
      <c r="M2249" s="190"/>
      <c r="N2249" s="190"/>
      <c r="O2249" s="190"/>
      <c r="P2249" s="190"/>
      <c r="Q2249" s="190"/>
      <c r="R2249" s="190"/>
      <c r="S2249" s="190"/>
    </row>
    <row r="2250" spans="2:19" ht="16" x14ac:dyDescent="0.2">
      <c r="C2250" s="240">
        <v>34863</v>
      </c>
      <c r="D2250" s="225">
        <v>0.5</v>
      </c>
      <c r="E2250" s="190">
        <v>42</v>
      </c>
      <c r="F2250" s="190">
        <v>11.4</v>
      </c>
      <c r="G2250" s="190">
        <v>99</v>
      </c>
      <c r="H2250" s="191">
        <v>5.2</v>
      </c>
      <c r="I2250" s="244"/>
      <c r="L2250" s="190"/>
      <c r="M2250" s="190"/>
      <c r="N2250" s="190"/>
      <c r="O2250" s="190"/>
      <c r="P2250" s="190"/>
      <c r="Q2250" s="190"/>
      <c r="R2250" s="190"/>
      <c r="S2250" s="190"/>
    </row>
    <row r="2251" spans="2:19" ht="16" x14ac:dyDescent="0.2">
      <c r="C2251" s="240"/>
      <c r="D2251" s="225"/>
      <c r="E2251" s="198"/>
      <c r="H2251" s="198"/>
      <c r="I2251" s="198"/>
      <c r="L2251" s="190"/>
      <c r="M2251" s="190"/>
      <c r="N2251" s="190"/>
      <c r="O2251" s="190"/>
      <c r="P2251" s="190"/>
      <c r="Q2251" s="190"/>
      <c r="R2251" s="190"/>
      <c r="S2251" s="190"/>
    </row>
    <row r="2252" spans="2:19" ht="16" x14ac:dyDescent="0.2">
      <c r="B2252">
        <v>43.9</v>
      </c>
      <c r="C2252" s="240">
        <v>34823</v>
      </c>
      <c r="D2252" s="225">
        <v>0.5</v>
      </c>
      <c r="E2252" s="190"/>
      <c r="H2252" s="190"/>
      <c r="I2252" s="190"/>
      <c r="J2252">
        <v>9.1999999999999993</v>
      </c>
      <c r="L2252" s="190"/>
      <c r="M2252" s="190"/>
      <c r="N2252" s="190"/>
      <c r="O2252" s="190"/>
      <c r="P2252" s="190"/>
      <c r="Q2252" s="190"/>
      <c r="R2252" s="190"/>
      <c r="S2252" s="190"/>
    </row>
    <row r="2253" spans="2:19" ht="16" x14ac:dyDescent="0.2">
      <c r="C2253" s="240">
        <v>34823</v>
      </c>
      <c r="D2253" s="225">
        <v>0.5</v>
      </c>
      <c r="E2253" s="190">
        <v>0</v>
      </c>
      <c r="F2253" s="190">
        <v>12.1</v>
      </c>
      <c r="H2253" s="190">
        <v>7.4</v>
      </c>
      <c r="I2253" s="190"/>
      <c r="L2253" s="190"/>
      <c r="M2253" s="190"/>
      <c r="N2253" s="190"/>
      <c r="O2253" s="190"/>
      <c r="P2253" s="190"/>
      <c r="Q2253" s="190"/>
      <c r="R2253" s="190"/>
      <c r="S2253" s="190"/>
    </row>
    <row r="2254" spans="2:19" ht="16" x14ac:dyDescent="0.2">
      <c r="C2254" s="240">
        <v>34823</v>
      </c>
      <c r="D2254" s="225">
        <v>0.5</v>
      </c>
      <c r="E2254" s="190">
        <v>10</v>
      </c>
      <c r="F2254" s="190">
        <v>11.7</v>
      </c>
      <c r="H2254" s="190">
        <v>6.4</v>
      </c>
      <c r="I2254" s="190"/>
      <c r="L2254" s="190"/>
      <c r="M2254" s="190"/>
      <c r="N2254" s="190"/>
      <c r="O2254" s="190"/>
      <c r="P2254" s="190"/>
      <c r="Q2254" s="190"/>
      <c r="R2254" s="190"/>
      <c r="S2254" s="190"/>
    </row>
    <row r="2255" spans="2:19" ht="16" x14ac:dyDescent="0.2">
      <c r="C2255" s="240">
        <v>34823</v>
      </c>
      <c r="D2255" s="225">
        <v>0.5</v>
      </c>
      <c r="E2255" s="190">
        <v>20</v>
      </c>
      <c r="F2255" s="190">
        <v>11.7</v>
      </c>
      <c r="H2255" s="190">
        <v>5.4</v>
      </c>
      <c r="I2255" s="190"/>
      <c r="L2255" s="190"/>
      <c r="M2255" s="190"/>
      <c r="N2255" s="190"/>
      <c r="O2255" s="190"/>
      <c r="P2255" s="190"/>
      <c r="Q2255" s="190"/>
      <c r="R2255" s="190"/>
      <c r="S2255" s="190"/>
    </row>
    <row r="2256" spans="2:19" ht="16" x14ac:dyDescent="0.2">
      <c r="C2256" s="240">
        <v>34823</v>
      </c>
      <c r="D2256" s="225">
        <v>0.5</v>
      </c>
      <c r="E2256" s="190">
        <v>30</v>
      </c>
      <c r="F2256" s="190">
        <v>11.5</v>
      </c>
      <c r="H2256" s="190">
        <v>5.2</v>
      </c>
      <c r="I2256" s="190"/>
      <c r="L2256" s="190"/>
      <c r="M2256" s="190"/>
      <c r="N2256" s="190"/>
      <c r="O2256" s="190"/>
      <c r="P2256" s="190"/>
      <c r="Q2256" s="190"/>
      <c r="R2256" s="190"/>
      <c r="S2256" s="190"/>
    </row>
    <row r="2257" spans="2:19" ht="16" x14ac:dyDescent="0.2">
      <c r="C2257" s="240">
        <v>34823</v>
      </c>
      <c r="D2257" s="225">
        <v>0.5</v>
      </c>
      <c r="E2257" s="190">
        <v>40</v>
      </c>
      <c r="F2257" s="190">
        <v>11.4</v>
      </c>
      <c r="H2257" s="190">
        <v>5.0999999999999996</v>
      </c>
      <c r="I2257" s="190"/>
      <c r="L2257" s="190"/>
      <c r="M2257" s="190"/>
      <c r="N2257" s="190"/>
      <c r="O2257" s="190"/>
      <c r="P2257" s="190"/>
      <c r="Q2257" s="190"/>
      <c r="R2257" s="190"/>
      <c r="S2257" s="190"/>
    </row>
    <row r="2258" spans="2:19" ht="16" x14ac:dyDescent="0.2">
      <c r="C2258" s="240">
        <v>34823</v>
      </c>
      <c r="D2258" s="225">
        <v>0.5</v>
      </c>
      <c r="E2258" s="190">
        <v>43</v>
      </c>
      <c r="F2258" s="190">
        <v>11.3</v>
      </c>
      <c r="H2258" s="190">
        <v>5.0999999999999996</v>
      </c>
      <c r="I2258" s="190"/>
      <c r="L2258" s="190"/>
      <c r="M2258" s="190"/>
      <c r="N2258" s="190"/>
      <c r="O2258" s="190"/>
      <c r="P2258" s="190"/>
      <c r="Q2258" s="190"/>
      <c r="R2258" s="190"/>
      <c r="S2258" s="190"/>
    </row>
    <row r="2259" spans="2:19" ht="16" x14ac:dyDescent="0.2">
      <c r="C2259" s="240"/>
      <c r="D2259" s="225"/>
      <c r="E2259" s="198"/>
      <c r="H2259" s="198"/>
      <c r="I2259" s="198"/>
      <c r="L2259" s="190"/>
      <c r="M2259" s="190"/>
      <c r="N2259" s="190"/>
      <c r="O2259" s="190"/>
      <c r="P2259" s="190"/>
      <c r="Q2259" s="190"/>
      <c r="R2259" s="190"/>
      <c r="S2259" s="190"/>
    </row>
    <row r="2260" spans="2:19" ht="16" x14ac:dyDescent="0.2">
      <c r="B2260">
        <v>47</v>
      </c>
      <c r="C2260" s="240">
        <v>34801</v>
      </c>
      <c r="D2260" s="225">
        <v>0.5</v>
      </c>
      <c r="E2260" s="190"/>
      <c r="H2260" s="190"/>
      <c r="I2260" s="190"/>
      <c r="K2260">
        <v>7.7</v>
      </c>
      <c r="L2260" s="190"/>
      <c r="M2260" s="190"/>
      <c r="N2260" s="190"/>
      <c r="O2260" s="190"/>
      <c r="P2260" s="190"/>
      <c r="Q2260" s="190"/>
      <c r="R2260" s="190"/>
      <c r="S2260" s="190"/>
    </row>
    <row r="2261" spans="2:19" ht="16" x14ac:dyDescent="0.2">
      <c r="C2261" s="240">
        <v>34801</v>
      </c>
      <c r="D2261" s="225">
        <v>0.5</v>
      </c>
      <c r="E2261" s="190">
        <v>0</v>
      </c>
      <c r="F2261" s="190">
        <v>12.8</v>
      </c>
      <c r="H2261" s="190">
        <v>4.0999999999999996</v>
      </c>
      <c r="I2261" s="190"/>
      <c r="L2261" s="190"/>
      <c r="M2261" s="190"/>
      <c r="N2261" s="190"/>
      <c r="O2261" s="190"/>
      <c r="P2261" s="190"/>
      <c r="Q2261" s="190"/>
      <c r="R2261" s="190"/>
      <c r="S2261" s="190"/>
    </row>
    <row r="2262" spans="2:19" ht="16" x14ac:dyDescent="0.2">
      <c r="C2262" s="240">
        <v>34801</v>
      </c>
      <c r="D2262" s="225">
        <v>0.5</v>
      </c>
      <c r="E2262" s="190">
        <v>10</v>
      </c>
      <c r="F2262" s="190">
        <v>12.4</v>
      </c>
      <c r="H2262" s="190">
        <v>3.9</v>
      </c>
      <c r="I2262" s="190"/>
      <c r="L2262" s="190"/>
      <c r="M2262" s="190"/>
      <c r="N2262" s="190"/>
      <c r="O2262" s="190"/>
      <c r="P2262" s="190"/>
      <c r="Q2262" s="190"/>
      <c r="R2262" s="190"/>
      <c r="S2262" s="190"/>
    </row>
    <row r="2263" spans="2:19" ht="16" x14ac:dyDescent="0.2">
      <c r="C2263" s="240">
        <v>34801</v>
      </c>
      <c r="D2263" s="225">
        <v>0.5</v>
      </c>
      <c r="E2263" s="190">
        <v>20</v>
      </c>
      <c r="F2263" s="190">
        <v>12.2</v>
      </c>
      <c r="H2263" s="190">
        <v>3.9</v>
      </c>
      <c r="I2263" s="190"/>
      <c r="L2263" s="190"/>
      <c r="M2263" s="190"/>
      <c r="N2263" s="190"/>
      <c r="O2263" s="190"/>
      <c r="P2263" s="190"/>
      <c r="Q2263" s="190"/>
      <c r="R2263" s="190"/>
      <c r="S2263" s="190"/>
    </row>
    <row r="2264" spans="2:19" ht="16" x14ac:dyDescent="0.2">
      <c r="C2264" s="240">
        <v>34801</v>
      </c>
      <c r="D2264" s="225">
        <v>0.5</v>
      </c>
      <c r="E2264" s="190">
        <v>30</v>
      </c>
      <c r="F2264" s="190">
        <v>12</v>
      </c>
      <c r="H2264" s="190">
        <v>3.9</v>
      </c>
      <c r="I2264" s="190"/>
      <c r="L2264" s="190"/>
      <c r="M2264" s="190"/>
      <c r="N2264" s="190"/>
      <c r="O2264" s="190"/>
      <c r="P2264" s="190"/>
      <c r="Q2264" s="190"/>
      <c r="R2264" s="190"/>
      <c r="S2264" s="190"/>
    </row>
    <row r="2265" spans="2:19" ht="16" x14ac:dyDescent="0.2">
      <c r="C2265" s="240">
        <v>34801</v>
      </c>
      <c r="D2265" s="225">
        <v>0.5</v>
      </c>
      <c r="E2265" s="190">
        <v>40</v>
      </c>
      <c r="F2265" s="190">
        <v>12</v>
      </c>
      <c r="H2265" s="190">
        <v>3.9</v>
      </c>
      <c r="I2265" s="190"/>
      <c r="L2265" s="190"/>
      <c r="M2265" s="190"/>
      <c r="N2265" s="190"/>
      <c r="O2265" s="190"/>
      <c r="P2265" s="190"/>
      <c r="Q2265" s="190"/>
      <c r="R2265" s="190"/>
      <c r="S2265" s="190"/>
    </row>
    <row r="2266" spans="2:19" ht="16" x14ac:dyDescent="0.2">
      <c r="C2266" s="240">
        <v>34801</v>
      </c>
      <c r="D2266" s="225">
        <v>0.5</v>
      </c>
      <c r="E2266" s="190">
        <v>46</v>
      </c>
      <c r="F2266" s="190">
        <v>11.9</v>
      </c>
      <c r="H2266" s="190">
        <v>3.9</v>
      </c>
      <c r="I2266" s="190"/>
      <c r="L2266" s="190"/>
      <c r="M2266" s="190"/>
      <c r="N2266" s="190"/>
      <c r="O2266" s="190"/>
      <c r="P2266" s="190"/>
      <c r="Q2266" s="190"/>
      <c r="R2266" s="190"/>
      <c r="S2266" s="190"/>
    </row>
    <row r="2267" spans="2:19" ht="16" x14ac:dyDescent="0.2">
      <c r="C2267" s="240"/>
      <c r="D2267" s="225"/>
      <c r="E2267" s="198"/>
      <c r="H2267" s="198"/>
      <c r="I2267" s="198"/>
      <c r="L2267" s="190"/>
      <c r="M2267" s="190"/>
      <c r="N2267" s="190"/>
      <c r="O2267" s="190"/>
      <c r="P2267" s="190"/>
      <c r="Q2267" s="190"/>
      <c r="R2267" s="190"/>
      <c r="S2267" s="190"/>
    </row>
    <row r="2268" spans="2:19" ht="16" x14ac:dyDescent="0.2">
      <c r="B2268">
        <v>46.9</v>
      </c>
      <c r="C2268" s="240">
        <v>34781</v>
      </c>
      <c r="D2268" s="225"/>
      <c r="E2268" s="190"/>
      <c r="H2268" s="190"/>
      <c r="I2268" s="190"/>
      <c r="K2268">
        <v>10.5</v>
      </c>
      <c r="L2268" s="190"/>
      <c r="M2268" s="190"/>
      <c r="N2268" s="190"/>
      <c r="O2268" s="190"/>
      <c r="P2268" s="190"/>
      <c r="Q2268" s="190"/>
      <c r="R2268" s="190"/>
      <c r="S2268" s="190"/>
    </row>
    <row r="2269" spans="2:19" ht="16" x14ac:dyDescent="0.2">
      <c r="C2269" s="240"/>
      <c r="D2269" s="225"/>
      <c r="E2269" s="198"/>
      <c r="H2269" s="198"/>
      <c r="I2269" s="198"/>
      <c r="L2269" s="190"/>
      <c r="M2269" s="190"/>
      <c r="N2269" s="190"/>
      <c r="O2269" s="190"/>
      <c r="P2269" s="190"/>
      <c r="Q2269" s="190"/>
      <c r="R2269" s="190"/>
      <c r="S2269" s="190"/>
    </row>
    <row r="2270" spans="2:19" ht="16" x14ac:dyDescent="0.2">
      <c r="B2270">
        <v>34.4</v>
      </c>
      <c r="C2270" s="240">
        <v>34757</v>
      </c>
      <c r="D2270" s="225">
        <v>0.5</v>
      </c>
      <c r="E2270" s="190"/>
      <c r="H2270" s="190"/>
      <c r="I2270" s="190"/>
      <c r="K2270">
        <v>9.5</v>
      </c>
      <c r="L2270" s="190"/>
      <c r="M2270" s="190"/>
      <c r="N2270" s="190"/>
      <c r="O2270" s="190"/>
      <c r="P2270" s="190"/>
      <c r="Q2270" s="190"/>
      <c r="R2270" s="190"/>
      <c r="S2270" s="190"/>
    </row>
    <row r="2271" spans="2:19" ht="16" x14ac:dyDescent="0.2">
      <c r="C2271" s="240">
        <v>34757</v>
      </c>
      <c r="D2271" s="225">
        <v>0.5</v>
      </c>
      <c r="E2271" s="190">
        <v>0</v>
      </c>
      <c r="F2271" s="190">
        <v>12.1</v>
      </c>
      <c r="H2271" s="190">
        <v>2.6</v>
      </c>
      <c r="I2271" s="190"/>
      <c r="L2271" s="190"/>
      <c r="M2271" s="190"/>
      <c r="N2271" s="190"/>
      <c r="O2271" s="190"/>
      <c r="P2271" s="190"/>
      <c r="Q2271" s="190"/>
      <c r="R2271" s="190"/>
      <c r="S2271" s="190"/>
    </row>
    <row r="2272" spans="2:19" ht="16" x14ac:dyDescent="0.2">
      <c r="C2272" s="240">
        <v>34757</v>
      </c>
      <c r="D2272" s="225">
        <v>0.5</v>
      </c>
      <c r="E2272" s="190">
        <v>10</v>
      </c>
      <c r="F2272" s="190">
        <v>11.8</v>
      </c>
      <c r="H2272" s="190">
        <v>2.5</v>
      </c>
      <c r="I2272" s="190"/>
      <c r="L2272" s="190"/>
      <c r="M2272" s="190"/>
      <c r="N2272" s="190"/>
      <c r="O2272" s="190"/>
      <c r="P2272" s="190"/>
      <c r="Q2272" s="190"/>
      <c r="R2272" s="190"/>
      <c r="S2272" s="190"/>
    </row>
    <row r="2273" spans="2:19" ht="16" x14ac:dyDescent="0.2">
      <c r="C2273" s="240">
        <v>34757</v>
      </c>
      <c r="D2273" s="225">
        <v>0.5</v>
      </c>
      <c r="E2273" s="190">
        <v>20</v>
      </c>
      <c r="F2273" s="190">
        <v>11.7</v>
      </c>
      <c r="H2273" s="190">
        <v>2.5</v>
      </c>
      <c r="I2273" s="190"/>
      <c r="L2273" s="190"/>
      <c r="M2273" s="190"/>
      <c r="N2273" s="190"/>
      <c r="O2273" s="190"/>
      <c r="P2273" s="190"/>
      <c r="Q2273" s="190"/>
      <c r="R2273" s="190"/>
      <c r="S2273" s="190"/>
    </row>
    <row r="2274" spans="2:19" ht="16" x14ac:dyDescent="0.2">
      <c r="C2274" s="240">
        <v>34757</v>
      </c>
      <c r="D2274" s="225">
        <v>0.5</v>
      </c>
      <c r="E2274" s="190">
        <v>30</v>
      </c>
      <c r="F2274" s="190">
        <v>11.6</v>
      </c>
      <c r="H2274" s="190">
        <v>2.5</v>
      </c>
      <c r="I2274" s="190"/>
      <c r="L2274" s="190"/>
      <c r="M2274" s="190"/>
      <c r="N2274" s="190"/>
      <c r="O2274" s="190"/>
      <c r="P2274" s="190"/>
      <c r="Q2274" s="190"/>
      <c r="R2274" s="190"/>
      <c r="S2274" s="190"/>
    </row>
    <row r="2275" spans="2:19" ht="16" x14ac:dyDescent="0.2">
      <c r="C2275" s="240">
        <v>34757</v>
      </c>
      <c r="D2275" s="225">
        <v>0.5</v>
      </c>
      <c r="E2275" s="190">
        <v>34</v>
      </c>
      <c r="F2275" s="190">
        <v>11.4</v>
      </c>
      <c r="H2275" s="190">
        <v>2.6</v>
      </c>
      <c r="I2275" s="190"/>
      <c r="L2275" s="190"/>
      <c r="M2275" s="190"/>
      <c r="N2275" s="190"/>
      <c r="O2275" s="190"/>
      <c r="P2275" s="190"/>
      <c r="Q2275" s="190"/>
      <c r="R2275" s="190"/>
      <c r="S2275" s="190"/>
    </row>
    <row r="2276" spans="2:19" ht="16" x14ac:dyDescent="0.2">
      <c r="C2276" s="240"/>
      <c r="D2276" s="225"/>
      <c r="E2276" s="190"/>
      <c r="H2276" s="190"/>
      <c r="I2276" s="190"/>
      <c r="L2276" s="190"/>
      <c r="M2276" s="190"/>
      <c r="N2276" s="190"/>
      <c r="O2276" s="190"/>
      <c r="P2276" s="190"/>
      <c r="Q2276" s="190"/>
      <c r="R2276" s="190"/>
      <c r="S2276" s="190"/>
    </row>
    <row r="2277" spans="2:19" ht="16" x14ac:dyDescent="0.2">
      <c r="C2277" s="240">
        <v>34612</v>
      </c>
      <c r="D2277" s="190"/>
      <c r="E2277" s="190">
        <v>0.5</v>
      </c>
      <c r="H2277" s="190">
        <v>16.2</v>
      </c>
      <c r="I2277" s="190"/>
      <c r="J2277" s="191"/>
      <c r="K2277">
        <v>16.2</v>
      </c>
      <c r="L2277" s="190"/>
      <c r="M2277" s="190"/>
      <c r="N2277" s="190"/>
      <c r="O2277" s="190"/>
      <c r="P2277" s="190"/>
      <c r="Q2277" s="190"/>
      <c r="R2277" s="190"/>
      <c r="S2277" s="190"/>
    </row>
    <row r="2278" spans="2:19" ht="16" x14ac:dyDescent="0.2">
      <c r="C2278" s="240">
        <v>34612</v>
      </c>
      <c r="D2278" s="190"/>
      <c r="E2278" s="190">
        <v>2</v>
      </c>
      <c r="H2278" s="190">
        <v>16.2</v>
      </c>
      <c r="I2278" s="190"/>
      <c r="J2278" s="191"/>
      <c r="L2278" s="190"/>
      <c r="M2278" s="190"/>
      <c r="N2278" s="190"/>
      <c r="O2278" s="190"/>
      <c r="P2278" s="190"/>
      <c r="Q2278" s="190"/>
      <c r="R2278" s="190"/>
      <c r="S2278" s="190"/>
    </row>
    <row r="2279" spans="2:19" ht="16" x14ac:dyDescent="0.2">
      <c r="C2279" s="240"/>
      <c r="D2279" s="190"/>
      <c r="E2279" s="190"/>
      <c r="H2279" s="190"/>
      <c r="I2279" s="190"/>
      <c r="J2279" s="191"/>
      <c r="L2279" s="190"/>
      <c r="M2279" s="190"/>
      <c r="N2279" s="190"/>
      <c r="O2279" s="190"/>
      <c r="P2279" s="190"/>
      <c r="Q2279" s="190"/>
      <c r="R2279" s="190"/>
      <c r="S2279" s="190"/>
    </row>
    <row r="2280" spans="2:19" ht="16" x14ac:dyDescent="0.2">
      <c r="C2280" s="240">
        <v>34584</v>
      </c>
      <c r="D2280" s="190"/>
      <c r="E2280" s="190">
        <v>0.5</v>
      </c>
      <c r="H2280" s="190">
        <v>19.899999999999999</v>
      </c>
      <c r="I2280" s="190"/>
      <c r="J2280" s="191"/>
      <c r="K2280">
        <v>19.899999999999999</v>
      </c>
      <c r="L2280" s="190"/>
      <c r="M2280" s="190"/>
      <c r="N2280" s="190"/>
      <c r="O2280" s="190"/>
      <c r="P2280" s="190"/>
      <c r="Q2280" s="190"/>
      <c r="R2280" s="190"/>
      <c r="S2280" s="190"/>
    </row>
    <row r="2281" spans="2:19" ht="16" x14ac:dyDescent="0.2">
      <c r="C2281" s="240">
        <v>34584</v>
      </c>
      <c r="D2281" s="190"/>
      <c r="E2281" s="190">
        <v>2</v>
      </c>
      <c r="H2281" s="190">
        <v>19.3</v>
      </c>
      <c r="I2281" s="190"/>
      <c r="J2281" s="191"/>
      <c r="L2281" s="190"/>
      <c r="M2281" s="190"/>
      <c r="N2281" s="190"/>
      <c r="O2281" s="190"/>
      <c r="P2281" s="190"/>
      <c r="Q2281" s="190"/>
      <c r="R2281" s="190"/>
      <c r="S2281" s="190"/>
    </row>
    <row r="2282" spans="2:19" ht="16" x14ac:dyDescent="0.2">
      <c r="C2282" s="190"/>
      <c r="D2282" s="190"/>
      <c r="E2282" s="190"/>
      <c r="H2282" s="190"/>
      <c r="I2282" s="190"/>
      <c r="L2282" s="190"/>
      <c r="M2282" s="190"/>
      <c r="N2282" s="190"/>
      <c r="O2282" s="190"/>
      <c r="P2282" s="190"/>
      <c r="Q2282" s="190"/>
      <c r="R2282" s="190"/>
      <c r="S2282" s="190"/>
    </row>
    <row r="2283" spans="2:19" ht="16" x14ac:dyDescent="0.2">
      <c r="B2283">
        <v>48</v>
      </c>
      <c r="C2283" s="240">
        <v>34555</v>
      </c>
      <c r="D2283" s="225">
        <v>0.5</v>
      </c>
      <c r="E2283" s="190">
        <v>0.5</v>
      </c>
      <c r="H2283" s="191">
        <v>21.4</v>
      </c>
      <c r="I2283" s="191">
        <v>21.4</v>
      </c>
      <c r="J2283" s="191"/>
      <c r="L2283" s="190"/>
      <c r="M2283" s="190"/>
      <c r="N2283" s="190"/>
      <c r="O2283" s="190"/>
      <c r="P2283" s="190"/>
      <c r="Q2283" s="190"/>
      <c r="R2283" s="190"/>
      <c r="S2283" s="190"/>
    </row>
    <row r="2284" spans="2:19" ht="16" x14ac:dyDescent="0.2">
      <c r="C2284" s="240">
        <v>34555</v>
      </c>
      <c r="D2284" s="225">
        <v>0.5</v>
      </c>
      <c r="E2284" s="190">
        <v>2</v>
      </c>
      <c r="H2284" s="191">
        <v>21.5</v>
      </c>
      <c r="I2284" s="191">
        <v>21.5</v>
      </c>
      <c r="J2284" s="191"/>
      <c r="L2284" s="190"/>
      <c r="M2284" s="190"/>
      <c r="N2284" s="190"/>
      <c r="O2284" s="190"/>
      <c r="P2284" s="190"/>
      <c r="Q2284" s="190"/>
      <c r="R2284" s="190"/>
      <c r="S2284" s="190"/>
    </row>
    <row r="2285" spans="2:19" ht="16" x14ac:dyDescent="0.2">
      <c r="C2285" s="240">
        <v>34555</v>
      </c>
      <c r="D2285" s="225">
        <v>0.5</v>
      </c>
      <c r="E2285" s="190">
        <v>4</v>
      </c>
      <c r="H2285" s="191">
        <v>21.5</v>
      </c>
      <c r="I2285" s="191">
        <v>21.5</v>
      </c>
      <c r="J2285" s="191"/>
      <c r="L2285" s="190"/>
      <c r="M2285" s="190"/>
      <c r="N2285" s="190"/>
      <c r="O2285" s="190"/>
      <c r="P2285" s="190"/>
      <c r="Q2285" s="190"/>
      <c r="R2285" s="190"/>
      <c r="S2285" s="190"/>
    </row>
    <row r="2286" spans="2:19" ht="16" x14ac:dyDescent="0.2">
      <c r="C2286" s="240">
        <v>34555</v>
      </c>
      <c r="D2286" s="225">
        <v>0.5</v>
      </c>
      <c r="E2286" s="190">
        <v>6</v>
      </c>
      <c r="H2286" s="191">
        <v>21.5</v>
      </c>
      <c r="I2286" s="191">
        <v>21.5</v>
      </c>
      <c r="J2286" s="191"/>
      <c r="L2286" s="190"/>
      <c r="M2286" s="190"/>
      <c r="N2286" s="190"/>
      <c r="O2286" s="190"/>
      <c r="P2286" s="190"/>
      <c r="Q2286" s="190"/>
      <c r="R2286" s="190"/>
      <c r="S2286" s="190"/>
    </row>
    <row r="2287" spans="2:19" ht="16" x14ac:dyDescent="0.2">
      <c r="C2287" s="240">
        <v>34555</v>
      </c>
      <c r="D2287" s="225">
        <v>0.5</v>
      </c>
      <c r="E2287" s="190">
        <v>8</v>
      </c>
      <c r="H2287" s="191">
        <v>21.4</v>
      </c>
      <c r="I2287" s="191">
        <v>21.4</v>
      </c>
      <c r="J2287" s="191"/>
      <c r="L2287" s="190"/>
      <c r="M2287" s="190"/>
      <c r="N2287" s="190"/>
      <c r="O2287" s="190"/>
      <c r="P2287" s="190"/>
      <c r="Q2287" s="190"/>
      <c r="R2287" s="190"/>
      <c r="S2287" s="190"/>
    </row>
    <row r="2288" spans="2:19" ht="16" x14ac:dyDescent="0.2">
      <c r="C2288" s="240">
        <v>34555</v>
      </c>
      <c r="D2288" s="225">
        <v>0.5</v>
      </c>
      <c r="E2288" s="190">
        <v>10</v>
      </c>
      <c r="H2288" s="191">
        <v>17.100000000000001</v>
      </c>
      <c r="I2288" s="244">
        <f>AVERAGE(I2283:I2287)</f>
        <v>21.46</v>
      </c>
      <c r="J2288" s="244"/>
      <c r="L2288" s="190"/>
      <c r="M2288" s="190"/>
      <c r="N2288" s="190"/>
      <c r="O2288" s="190"/>
      <c r="P2288" s="190"/>
      <c r="Q2288" s="190"/>
      <c r="R2288" s="190"/>
      <c r="S2288" s="190"/>
    </row>
    <row r="2289" spans="2:19" ht="16" x14ac:dyDescent="0.2">
      <c r="C2289" s="240">
        <v>34555</v>
      </c>
      <c r="D2289" s="225">
        <v>0.5</v>
      </c>
      <c r="E2289" s="190">
        <v>12</v>
      </c>
      <c r="H2289" s="191">
        <v>13.1</v>
      </c>
      <c r="I2289" s="191"/>
      <c r="J2289" s="191"/>
      <c r="L2289" s="190"/>
      <c r="M2289" s="190"/>
      <c r="N2289" s="190"/>
      <c r="O2289" s="190"/>
      <c r="P2289" s="190"/>
      <c r="Q2289" s="190"/>
      <c r="R2289" s="190"/>
      <c r="S2289" s="190"/>
    </row>
    <row r="2290" spans="2:19" ht="16" x14ac:dyDescent="0.2">
      <c r="C2290" s="240">
        <v>34555</v>
      </c>
      <c r="D2290" s="225">
        <v>0.5</v>
      </c>
      <c r="E2290" s="190">
        <v>14</v>
      </c>
      <c r="H2290" s="191">
        <v>9.9</v>
      </c>
      <c r="I2290" s="191"/>
      <c r="J2290" s="191"/>
      <c r="L2290" s="190"/>
      <c r="M2290" s="190"/>
      <c r="N2290" s="190"/>
      <c r="O2290" s="190"/>
      <c r="P2290" s="190"/>
      <c r="Q2290" s="190"/>
      <c r="R2290" s="190"/>
      <c r="S2290" s="190"/>
    </row>
    <row r="2291" spans="2:19" ht="16" x14ac:dyDescent="0.2">
      <c r="C2291" s="240">
        <v>34555</v>
      </c>
      <c r="D2291" s="225">
        <v>0.5</v>
      </c>
      <c r="E2291" s="190">
        <v>16</v>
      </c>
      <c r="H2291" s="191">
        <v>7.9</v>
      </c>
      <c r="I2291" s="191"/>
      <c r="J2291" s="191"/>
      <c r="L2291" s="190"/>
      <c r="M2291" s="190"/>
      <c r="N2291" s="190"/>
      <c r="O2291" s="190"/>
      <c r="P2291" s="190"/>
      <c r="Q2291" s="190"/>
      <c r="R2291" s="190"/>
      <c r="S2291" s="190"/>
    </row>
    <row r="2292" spans="2:19" ht="16" x14ac:dyDescent="0.2">
      <c r="C2292" s="240">
        <v>34555</v>
      </c>
      <c r="D2292" s="225">
        <v>0.5</v>
      </c>
      <c r="E2292" s="190">
        <v>17</v>
      </c>
      <c r="H2292" s="191">
        <v>7.6</v>
      </c>
      <c r="I2292" s="191"/>
      <c r="J2292" s="191"/>
      <c r="L2292" s="190"/>
      <c r="M2292" s="190"/>
      <c r="N2292" s="190"/>
      <c r="O2292" s="190"/>
      <c r="P2292" s="190"/>
      <c r="Q2292" s="190"/>
      <c r="R2292" s="190"/>
      <c r="S2292" s="190"/>
    </row>
    <row r="2293" spans="2:19" ht="16" x14ac:dyDescent="0.2">
      <c r="C2293" s="240">
        <v>34555</v>
      </c>
      <c r="D2293" s="225">
        <v>0.5</v>
      </c>
      <c r="E2293" s="190">
        <v>18</v>
      </c>
      <c r="H2293" s="191">
        <v>7.3</v>
      </c>
      <c r="I2293" s="191"/>
      <c r="J2293" s="191"/>
      <c r="L2293" s="190"/>
      <c r="M2293" s="190"/>
      <c r="N2293" s="190"/>
      <c r="O2293" s="190"/>
      <c r="P2293" s="190"/>
      <c r="Q2293" s="190"/>
      <c r="R2293" s="190"/>
      <c r="S2293" s="190"/>
    </row>
    <row r="2294" spans="2:19" ht="16" x14ac:dyDescent="0.2">
      <c r="C2294" s="240">
        <v>34555</v>
      </c>
      <c r="D2294" s="225">
        <v>0.5</v>
      </c>
      <c r="E2294" s="190">
        <v>20</v>
      </c>
      <c r="H2294" s="191">
        <v>6.9</v>
      </c>
      <c r="I2294" s="191"/>
      <c r="J2294" s="191"/>
      <c r="L2294" s="190"/>
      <c r="M2294" s="190"/>
      <c r="N2294" s="190"/>
      <c r="O2294" s="190"/>
      <c r="P2294" s="190"/>
      <c r="Q2294" s="190"/>
      <c r="R2294" s="190"/>
      <c r="S2294" s="190"/>
    </row>
    <row r="2295" spans="2:19" ht="16" x14ac:dyDescent="0.2">
      <c r="C2295" s="240">
        <v>34555</v>
      </c>
      <c r="D2295" s="225">
        <v>0.5</v>
      </c>
      <c r="E2295" s="190">
        <v>30</v>
      </c>
      <c r="H2295" s="191">
        <v>5.5</v>
      </c>
      <c r="I2295" s="191"/>
      <c r="J2295" s="191"/>
      <c r="L2295" s="190"/>
      <c r="M2295" s="190"/>
      <c r="N2295" s="190"/>
      <c r="O2295" s="190"/>
      <c r="P2295" s="190"/>
      <c r="Q2295" s="190"/>
      <c r="R2295" s="190"/>
      <c r="S2295" s="190"/>
    </row>
    <row r="2296" spans="2:19" ht="16" x14ac:dyDescent="0.2">
      <c r="C2296" s="240">
        <v>34555</v>
      </c>
      <c r="D2296" s="225">
        <v>0.5</v>
      </c>
      <c r="E2296" s="190">
        <v>40</v>
      </c>
      <c r="H2296" s="191">
        <v>5.3</v>
      </c>
      <c r="I2296" s="191"/>
      <c r="J2296" s="191"/>
      <c r="L2296" s="190"/>
      <c r="M2296" s="190"/>
      <c r="N2296" s="190"/>
      <c r="O2296" s="190"/>
      <c r="P2296" s="190"/>
      <c r="Q2296" s="190"/>
      <c r="R2296" s="190"/>
      <c r="S2296" s="190"/>
    </row>
    <row r="2297" spans="2:19" ht="16" x14ac:dyDescent="0.2">
      <c r="C2297" s="240">
        <v>34555</v>
      </c>
      <c r="D2297" s="225">
        <v>0.5</v>
      </c>
      <c r="E2297" s="190">
        <v>47</v>
      </c>
      <c r="H2297" s="191">
        <v>5.3</v>
      </c>
      <c r="I2297" s="191"/>
      <c r="J2297" s="191"/>
      <c r="L2297" s="190"/>
      <c r="M2297" s="190"/>
      <c r="N2297" s="190"/>
      <c r="O2297" s="190"/>
      <c r="P2297" s="190"/>
      <c r="Q2297" s="190"/>
      <c r="R2297" s="190"/>
      <c r="S2297" s="190"/>
    </row>
    <row r="2298" spans="2:19" ht="16" x14ac:dyDescent="0.2">
      <c r="C2298" s="190"/>
      <c r="D2298" s="190"/>
      <c r="E2298" s="190"/>
      <c r="H2298" s="190"/>
      <c r="I2298" s="190"/>
      <c r="L2298" s="190"/>
      <c r="M2298" s="190"/>
      <c r="N2298" s="190"/>
      <c r="O2298" s="190"/>
      <c r="P2298" s="190"/>
      <c r="Q2298" s="190"/>
      <c r="R2298" s="190"/>
      <c r="S2298" s="190"/>
    </row>
    <row r="2299" spans="2:19" ht="16" x14ac:dyDescent="0.2">
      <c r="B2299">
        <v>47</v>
      </c>
      <c r="C2299" s="192">
        <v>34527</v>
      </c>
      <c r="D2299" s="247">
        <v>0.5</v>
      </c>
      <c r="E2299" s="190">
        <v>0.5</v>
      </c>
      <c r="H2299" s="190">
        <v>20.2</v>
      </c>
      <c r="I2299">
        <v>20.2</v>
      </c>
      <c r="L2299" s="190"/>
      <c r="M2299" s="190"/>
      <c r="N2299" s="190"/>
      <c r="O2299" s="190"/>
      <c r="P2299" s="190"/>
      <c r="Q2299" s="190"/>
      <c r="R2299" s="190"/>
      <c r="S2299" s="190"/>
    </row>
    <row r="2300" spans="2:19" ht="16" x14ac:dyDescent="0.2">
      <c r="C2300" s="192">
        <v>34527</v>
      </c>
      <c r="D2300" s="247">
        <v>0.5</v>
      </c>
      <c r="E2300" s="190">
        <v>2</v>
      </c>
      <c r="H2300" s="190">
        <v>20</v>
      </c>
      <c r="I2300">
        <v>20</v>
      </c>
      <c r="L2300" s="190"/>
      <c r="M2300" s="190"/>
      <c r="N2300" s="190"/>
      <c r="O2300" s="190"/>
      <c r="P2300" s="190"/>
      <c r="Q2300" s="190"/>
      <c r="R2300" s="190"/>
      <c r="S2300" s="190"/>
    </row>
    <row r="2301" spans="2:19" ht="16" x14ac:dyDescent="0.2">
      <c r="C2301" s="192">
        <v>34527</v>
      </c>
      <c r="D2301" s="247">
        <v>0.5</v>
      </c>
      <c r="E2301" s="190">
        <v>4</v>
      </c>
      <c r="H2301" s="190">
        <v>19.8</v>
      </c>
      <c r="I2301">
        <v>19.8</v>
      </c>
      <c r="L2301" s="190"/>
      <c r="M2301" s="190"/>
      <c r="N2301" s="190"/>
      <c r="O2301" s="190"/>
      <c r="P2301" s="190"/>
      <c r="Q2301" s="190"/>
      <c r="R2301" s="190"/>
      <c r="S2301" s="190"/>
    </row>
    <row r="2302" spans="2:19" ht="16" x14ac:dyDescent="0.2">
      <c r="C2302" s="192">
        <v>34527</v>
      </c>
      <c r="D2302" s="247">
        <v>0.5</v>
      </c>
      <c r="E2302" s="190">
        <v>6</v>
      </c>
      <c r="H2302" s="190">
        <v>19.600000000000001</v>
      </c>
      <c r="I2302">
        <v>19.600000000000001</v>
      </c>
      <c r="L2302" s="190"/>
      <c r="M2302" s="190"/>
      <c r="N2302" s="190"/>
      <c r="O2302" s="190"/>
      <c r="P2302" s="190"/>
      <c r="Q2302" s="190"/>
      <c r="R2302" s="190"/>
      <c r="S2302" s="190"/>
    </row>
    <row r="2303" spans="2:19" ht="16" x14ac:dyDescent="0.2">
      <c r="C2303" s="192">
        <v>34527</v>
      </c>
      <c r="D2303" s="247">
        <v>0.5</v>
      </c>
      <c r="E2303" s="190">
        <v>8</v>
      </c>
      <c r="H2303" s="190">
        <v>16.5</v>
      </c>
      <c r="I2303" s="248">
        <f>AVERAGE(I2299:I2302)</f>
        <v>19.899999999999999</v>
      </c>
      <c r="L2303" s="190"/>
      <c r="M2303" s="190"/>
      <c r="N2303" s="190"/>
      <c r="O2303" s="190"/>
      <c r="P2303" s="190"/>
      <c r="Q2303" s="190"/>
      <c r="R2303" s="190"/>
      <c r="S2303" s="190"/>
    </row>
    <row r="2304" spans="2:19" ht="16" x14ac:dyDescent="0.2">
      <c r="C2304" s="192">
        <v>34527</v>
      </c>
      <c r="D2304" s="247">
        <v>0.5</v>
      </c>
      <c r="E2304" s="190">
        <v>10</v>
      </c>
      <c r="H2304" s="190">
        <v>13.1</v>
      </c>
      <c r="I2304" s="190"/>
      <c r="L2304" s="190"/>
      <c r="M2304" s="190"/>
      <c r="N2304" s="190"/>
      <c r="O2304" s="190"/>
      <c r="P2304" s="190"/>
      <c r="Q2304" s="190"/>
      <c r="R2304" s="190"/>
      <c r="S2304" s="190"/>
    </row>
    <row r="2305" spans="3:19" ht="16" x14ac:dyDescent="0.2">
      <c r="C2305" s="192">
        <v>34527</v>
      </c>
      <c r="D2305" s="247">
        <v>0.5</v>
      </c>
      <c r="E2305" s="190">
        <v>12</v>
      </c>
      <c r="H2305" s="190">
        <v>11</v>
      </c>
      <c r="I2305" s="190"/>
      <c r="L2305" s="190"/>
      <c r="M2305" s="190"/>
      <c r="N2305" s="190"/>
      <c r="O2305" s="190"/>
      <c r="P2305" s="190"/>
      <c r="Q2305" s="190"/>
      <c r="R2305" s="190"/>
      <c r="S2305" s="190"/>
    </row>
    <row r="2306" spans="3:19" ht="16" x14ac:dyDescent="0.2">
      <c r="C2306" s="192">
        <v>34527</v>
      </c>
      <c r="D2306" s="247">
        <v>0.5</v>
      </c>
      <c r="E2306" s="190">
        <v>14</v>
      </c>
      <c r="H2306" s="190">
        <v>9</v>
      </c>
      <c r="I2306" s="190"/>
      <c r="L2306" s="190"/>
      <c r="M2306" s="190"/>
      <c r="N2306" s="190"/>
      <c r="O2306" s="190"/>
      <c r="P2306" s="190"/>
      <c r="Q2306" s="190"/>
      <c r="R2306" s="190"/>
      <c r="S2306" s="190"/>
    </row>
    <row r="2307" spans="3:19" ht="16" x14ac:dyDescent="0.2">
      <c r="C2307" s="192">
        <v>34527</v>
      </c>
      <c r="D2307" s="247">
        <v>0.5</v>
      </c>
      <c r="E2307" s="190">
        <v>16</v>
      </c>
      <c r="H2307" s="190">
        <v>7.9</v>
      </c>
      <c r="I2307" s="190"/>
      <c r="L2307" s="190"/>
      <c r="M2307" s="190"/>
      <c r="N2307" s="190"/>
      <c r="O2307" s="190"/>
      <c r="P2307" s="190"/>
      <c r="Q2307" s="190"/>
      <c r="R2307" s="190"/>
      <c r="S2307" s="190"/>
    </row>
    <row r="2308" spans="3:19" ht="16" x14ac:dyDescent="0.2">
      <c r="C2308" s="192">
        <v>34527</v>
      </c>
      <c r="D2308" s="247">
        <v>0.5</v>
      </c>
      <c r="E2308" s="190">
        <v>18</v>
      </c>
      <c r="H2308" s="190">
        <v>7.1</v>
      </c>
      <c r="I2308" s="190"/>
      <c r="L2308" s="190"/>
      <c r="M2308" s="190"/>
      <c r="N2308" s="190"/>
      <c r="O2308" s="190"/>
      <c r="P2308" s="190"/>
      <c r="Q2308" s="190"/>
      <c r="R2308" s="190"/>
      <c r="S2308" s="190"/>
    </row>
    <row r="2309" spans="3:19" ht="16" x14ac:dyDescent="0.2">
      <c r="C2309" s="192">
        <v>34527</v>
      </c>
      <c r="D2309" s="247">
        <v>0.5</v>
      </c>
      <c r="E2309" s="190">
        <v>20</v>
      </c>
      <c r="H2309" s="190">
        <v>6.4</v>
      </c>
      <c r="I2309" s="190"/>
      <c r="L2309" s="190"/>
      <c r="M2309" s="190"/>
      <c r="N2309" s="190"/>
      <c r="O2309" s="190"/>
      <c r="P2309" s="190"/>
      <c r="Q2309" s="190"/>
      <c r="R2309" s="190"/>
      <c r="S2309" s="190"/>
    </row>
    <row r="2310" spans="3:19" ht="16" x14ac:dyDescent="0.2">
      <c r="C2310" s="192">
        <v>34527</v>
      </c>
      <c r="D2310" s="247">
        <v>0.5</v>
      </c>
      <c r="E2310" s="190">
        <v>30</v>
      </c>
      <c r="H2310" s="190">
        <v>5.5</v>
      </c>
      <c r="I2310" s="190"/>
      <c r="L2310" s="190"/>
      <c r="M2310" s="190"/>
      <c r="N2310" s="190"/>
      <c r="O2310" s="190"/>
      <c r="P2310" s="190"/>
      <c r="Q2310" s="190"/>
      <c r="R2310" s="190"/>
      <c r="S2310" s="190"/>
    </row>
    <row r="2311" spans="3:19" ht="16" x14ac:dyDescent="0.2">
      <c r="C2311" s="192">
        <v>34527</v>
      </c>
      <c r="D2311" s="247">
        <v>0.5</v>
      </c>
      <c r="E2311" s="190">
        <v>40</v>
      </c>
      <c r="H2311" s="190">
        <v>5.2</v>
      </c>
      <c r="I2311" s="190"/>
      <c r="L2311" s="190"/>
      <c r="M2311" s="190"/>
      <c r="N2311" s="190"/>
      <c r="O2311" s="190"/>
      <c r="P2311" s="190"/>
      <c r="Q2311" s="190"/>
      <c r="R2311" s="190"/>
      <c r="S2311" s="190"/>
    </row>
    <row r="2312" spans="3:19" ht="16" x14ac:dyDescent="0.2">
      <c r="C2312" s="192">
        <v>34527</v>
      </c>
      <c r="D2312" s="247">
        <v>0.5</v>
      </c>
      <c r="E2312" s="190">
        <v>46</v>
      </c>
      <c r="H2312" s="190">
        <v>5.0999999999999996</v>
      </c>
      <c r="I2312" s="190"/>
      <c r="L2312" s="190"/>
      <c r="M2312" s="190"/>
      <c r="N2312" s="190"/>
      <c r="O2312" s="190"/>
      <c r="P2312" s="190"/>
      <c r="Q2312" s="190"/>
      <c r="R2312" s="190"/>
      <c r="S2312" s="190"/>
    </row>
    <row r="2313" spans="3:19" ht="16" x14ac:dyDescent="0.2">
      <c r="C2313" s="240"/>
      <c r="D2313" s="225"/>
      <c r="E2313" s="190"/>
      <c r="H2313" s="190"/>
      <c r="I2313" s="190"/>
      <c r="L2313" s="190"/>
      <c r="M2313" s="190"/>
      <c r="N2313" s="190"/>
      <c r="O2313" s="190"/>
      <c r="P2313" s="190"/>
      <c r="Q2313" s="190"/>
      <c r="R2313" s="190"/>
      <c r="S2313" s="190"/>
    </row>
    <row r="2314" spans="3:19" ht="16" x14ac:dyDescent="0.2">
      <c r="C2314" s="240">
        <v>34507</v>
      </c>
      <c r="D2314" s="190"/>
      <c r="E2314" s="190">
        <v>0.5</v>
      </c>
      <c r="H2314" s="190">
        <v>19</v>
      </c>
      <c r="I2314">
        <v>19</v>
      </c>
      <c r="J2314" s="191"/>
      <c r="O2314" s="190"/>
      <c r="P2314" s="190"/>
      <c r="Q2314" s="190"/>
      <c r="R2314" s="190"/>
      <c r="S2314" s="190"/>
    </row>
    <row r="2315" spans="3:19" ht="16" x14ac:dyDescent="0.2">
      <c r="C2315" s="240">
        <v>34507</v>
      </c>
      <c r="D2315" s="190"/>
      <c r="E2315" s="190">
        <v>2</v>
      </c>
      <c r="H2315" s="190">
        <v>17.8</v>
      </c>
      <c r="J2315" s="191"/>
      <c r="O2315" s="190"/>
      <c r="P2315" s="190"/>
      <c r="Q2315" s="190"/>
      <c r="R2315" s="190"/>
      <c r="S2315" s="190"/>
    </row>
    <row r="2316" spans="3:19" ht="16" x14ac:dyDescent="0.2">
      <c r="C2316" s="190"/>
      <c r="D2316" s="190"/>
      <c r="E2316" s="190"/>
      <c r="H2316" s="190"/>
      <c r="I2316" s="190"/>
      <c r="L2316" s="190"/>
      <c r="M2316" s="190"/>
      <c r="N2316" s="190"/>
      <c r="O2316" s="190"/>
      <c r="P2316" s="190"/>
      <c r="Q2316" s="190"/>
      <c r="R2316" s="190"/>
      <c r="S2316" s="190"/>
    </row>
    <row r="2317" spans="3:19" ht="16" x14ac:dyDescent="0.2">
      <c r="C2317" s="240">
        <v>34488</v>
      </c>
      <c r="D2317" s="190"/>
      <c r="E2317" s="190">
        <v>0.5</v>
      </c>
      <c r="H2317" s="190">
        <v>13</v>
      </c>
      <c r="I2317">
        <v>13</v>
      </c>
      <c r="J2317" s="191"/>
      <c r="O2317" s="190"/>
      <c r="P2317" s="190"/>
      <c r="Q2317" s="190"/>
      <c r="R2317" s="190"/>
      <c r="S2317" s="190"/>
    </row>
    <row r="2318" spans="3:19" ht="16" x14ac:dyDescent="0.2">
      <c r="C2318" s="240">
        <v>34488</v>
      </c>
      <c r="D2318" s="190"/>
      <c r="E2318" s="190">
        <v>2</v>
      </c>
      <c r="H2318" s="190">
        <v>12.6</v>
      </c>
      <c r="J2318" s="191"/>
      <c r="O2318" s="190"/>
      <c r="P2318" s="190"/>
      <c r="Q2318" s="190"/>
      <c r="R2318" s="190"/>
      <c r="S2318" s="190"/>
    </row>
    <row r="2319" spans="3:19" ht="16" x14ac:dyDescent="0.2">
      <c r="C2319" s="190"/>
      <c r="D2319" s="190"/>
      <c r="E2319" s="190"/>
      <c r="H2319" s="190"/>
      <c r="I2319" s="190"/>
      <c r="L2319" s="190"/>
      <c r="M2319" s="190"/>
      <c r="N2319" s="190"/>
      <c r="O2319" s="190"/>
      <c r="P2319" s="190"/>
      <c r="Q2319" s="190"/>
      <c r="R2319" s="190"/>
      <c r="S2319" s="190"/>
    </row>
    <row r="2320" spans="3:19" ht="16" x14ac:dyDescent="0.2">
      <c r="C2320" s="240">
        <v>34473</v>
      </c>
      <c r="D2320" s="190"/>
      <c r="E2320" s="190">
        <v>0.5</v>
      </c>
      <c r="H2320" s="190">
        <v>11.2</v>
      </c>
      <c r="I2320">
        <v>11.2</v>
      </c>
      <c r="J2320" s="191"/>
      <c r="O2320" s="190"/>
      <c r="P2320" s="190"/>
      <c r="Q2320" s="190"/>
      <c r="R2320" s="190"/>
      <c r="S2320" s="190"/>
    </row>
    <row r="2321" spans="2:19" ht="16" x14ac:dyDescent="0.2">
      <c r="C2321" s="240">
        <v>34473</v>
      </c>
      <c r="D2321" s="190"/>
      <c r="E2321" s="190">
        <v>10</v>
      </c>
      <c r="H2321" s="190">
        <v>7.8</v>
      </c>
      <c r="J2321" s="191"/>
      <c r="O2321" s="190"/>
      <c r="P2321" s="190"/>
      <c r="Q2321" s="190"/>
      <c r="R2321" s="190"/>
      <c r="S2321" s="190"/>
    </row>
    <row r="2322" spans="2:19" ht="16" x14ac:dyDescent="0.2">
      <c r="C2322" s="240"/>
      <c r="D2322" s="225"/>
      <c r="E2322" s="190"/>
      <c r="H2322" s="190"/>
      <c r="I2322" s="190"/>
      <c r="L2322" s="190"/>
      <c r="M2322" s="190"/>
      <c r="N2322" s="190"/>
      <c r="O2322" s="190"/>
      <c r="P2322" s="190"/>
      <c r="Q2322" s="190"/>
      <c r="R2322" s="190"/>
      <c r="S2322" s="190"/>
    </row>
    <row r="2323" spans="2:19" ht="16" x14ac:dyDescent="0.2">
      <c r="C2323" s="240">
        <v>34451</v>
      </c>
      <c r="D2323" s="190"/>
      <c r="E2323" s="190">
        <v>0.5</v>
      </c>
      <c r="H2323" s="190">
        <v>5.3</v>
      </c>
      <c r="I2323">
        <v>5.3</v>
      </c>
      <c r="J2323" s="191"/>
      <c r="O2323" s="190"/>
      <c r="P2323" s="190"/>
      <c r="Q2323" s="190"/>
      <c r="R2323" s="190"/>
      <c r="S2323" s="190"/>
    </row>
    <row r="2324" spans="2:19" ht="16" x14ac:dyDescent="0.2">
      <c r="C2324" s="240">
        <v>34451</v>
      </c>
      <c r="D2324" s="190"/>
      <c r="E2324" s="190">
        <v>10</v>
      </c>
      <c r="H2324" s="190">
        <v>5.2</v>
      </c>
      <c r="J2324" s="191"/>
      <c r="O2324" s="190"/>
      <c r="P2324" s="190"/>
      <c r="Q2324" s="190"/>
      <c r="R2324" s="190"/>
      <c r="S2324" s="190"/>
    </row>
    <row r="2325" spans="2:19" ht="16" x14ac:dyDescent="0.2">
      <c r="C2325" s="240"/>
      <c r="D2325" s="190"/>
      <c r="E2325" s="190"/>
      <c r="H2325" s="190"/>
      <c r="J2325" s="191"/>
      <c r="O2325" s="190"/>
      <c r="P2325" s="190"/>
      <c r="Q2325" s="190"/>
      <c r="R2325" s="190"/>
      <c r="S2325" s="190"/>
    </row>
    <row r="2326" spans="2:19" ht="16" x14ac:dyDescent="0.2">
      <c r="C2326" s="240">
        <v>34423</v>
      </c>
      <c r="D2326" s="190"/>
      <c r="E2326" s="190">
        <v>0.5</v>
      </c>
      <c r="H2326" s="190">
        <v>4.5999999999999996</v>
      </c>
      <c r="I2326">
        <v>4.5999999999999996</v>
      </c>
      <c r="J2326" s="191"/>
      <c r="O2326" s="190"/>
      <c r="P2326" s="190"/>
      <c r="Q2326" s="190"/>
      <c r="R2326" s="190"/>
      <c r="S2326" s="190"/>
    </row>
    <row r="2327" spans="2:19" ht="16" x14ac:dyDescent="0.2">
      <c r="C2327" s="240">
        <v>34423</v>
      </c>
      <c r="D2327" s="190"/>
      <c r="E2327" s="190">
        <v>7</v>
      </c>
      <c r="H2327" s="190">
        <v>4.0999999999999996</v>
      </c>
      <c r="J2327" s="191"/>
      <c r="O2327" s="190"/>
      <c r="P2327" s="190"/>
      <c r="Q2327" s="190"/>
      <c r="R2327" s="190"/>
      <c r="S2327" s="190"/>
    </row>
    <row r="2328" spans="2:19" ht="16" x14ac:dyDescent="0.2">
      <c r="C2328" s="240"/>
      <c r="D2328" s="190"/>
      <c r="E2328" s="190"/>
      <c r="H2328" s="190"/>
      <c r="J2328" s="191"/>
      <c r="O2328" s="190"/>
      <c r="P2328" s="190"/>
      <c r="Q2328" s="190"/>
      <c r="R2328" s="190"/>
      <c r="S2328" s="190"/>
    </row>
    <row r="2329" spans="2:19" ht="16" x14ac:dyDescent="0.2">
      <c r="B2329" t="s">
        <v>257</v>
      </c>
      <c r="C2329" s="240">
        <v>34254</v>
      </c>
      <c r="D2329" s="185"/>
      <c r="E2329" s="190"/>
      <c r="H2329" s="190"/>
      <c r="I2329" s="190"/>
      <c r="J2329" s="191"/>
      <c r="L2329" s="190"/>
      <c r="M2329" s="190"/>
      <c r="N2329" s="190"/>
      <c r="O2329" s="190"/>
      <c r="P2329" s="190"/>
      <c r="Q2329" s="190"/>
      <c r="R2329" s="190"/>
      <c r="S2329" s="190"/>
    </row>
    <row r="2330" spans="2:19" ht="16" x14ac:dyDescent="0.2">
      <c r="C2330" s="240">
        <v>34254</v>
      </c>
      <c r="D2330" s="185">
        <v>0.5</v>
      </c>
      <c r="E2330" s="190">
        <v>0.5</v>
      </c>
      <c r="H2330" s="190">
        <v>14.9</v>
      </c>
      <c r="I2330" s="190"/>
      <c r="J2330" s="191"/>
      <c r="L2330" s="190"/>
      <c r="M2330" s="190"/>
      <c r="N2330" s="190"/>
      <c r="O2330" s="190"/>
      <c r="P2330" s="190"/>
      <c r="Q2330" s="190"/>
      <c r="R2330" s="190"/>
      <c r="S2330" s="190"/>
    </row>
    <row r="2331" spans="2:19" ht="16" x14ac:dyDescent="0.2">
      <c r="C2331" s="240">
        <v>34254</v>
      </c>
      <c r="D2331" s="185">
        <v>0.5</v>
      </c>
      <c r="E2331" s="190">
        <v>2</v>
      </c>
      <c r="H2331" s="190">
        <v>14.8</v>
      </c>
      <c r="I2331" s="190"/>
      <c r="J2331" s="191"/>
      <c r="L2331" s="190"/>
      <c r="M2331" s="190"/>
      <c r="N2331" s="190"/>
      <c r="O2331" s="190"/>
      <c r="P2331" s="190"/>
      <c r="Q2331" s="190"/>
      <c r="R2331" s="190"/>
      <c r="S2331" s="190"/>
    </row>
    <row r="2332" spans="2:19" ht="16" x14ac:dyDescent="0.2">
      <c r="C2332" s="240">
        <v>34254</v>
      </c>
      <c r="D2332" s="185">
        <v>0.5</v>
      </c>
      <c r="E2332" s="190">
        <v>4</v>
      </c>
      <c r="H2332" s="190">
        <v>14.8</v>
      </c>
      <c r="I2332" s="190"/>
      <c r="J2332" s="191"/>
      <c r="L2332" s="190"/>
      <c r="M2332" s="190"/>
      <c r="N2332" s="190"/>
      <c r="O2332" s="190"/>
      <c r="P2332" s="190"/>
      <c r="Q2332" s="190"/>
      <c r="R2332" s="190"/>
      <c r="S2332" s="190"/>
    </row>
    <row r="2333" spans="2:19" ht="16" x14ac:dyDescent="0.2">
      <c r="C2333" s="240">
        <v>34254</v>
      </c>
      <c r="D2333" s="185">
        <v>0.5</v>
      </c>
      <c r="E2333" s="190">
        <v>6</v>
      </c>
      <c r="H2333" s="190">
        <v>14.7</v>
      </c>
      <c r="I2333" s="190"/>
      <c r="J2333" s="191"/>
      <c r="L2333" s="190"/>
      <c r="M2333" s="190"/>
      <c r="N2333" s="190"/>
      <c r="O2333" s="190"/>
      <c r="P2333" s="190"/>
      <c r="Q2333" s="190"/>
      <c r="R2333" s="190"/>
      <c r="S2333" s="190"/>
    </row>
    <row r="2334" spans="2:19" ht="16" x14ac:dyDescent="0.2">
      <c r="C2334" s="240">
        <v>34254</v>
      </c>
      <c r="D2334" s="185">
        <v>0.5</v>
      </c>
      <c r="E2334" s="190">
        <v>8</v>
      </c>
      <c r="H2334" s="190">
        <v>14.6</v>
      </c>
      <c r="I2334" s="190"/>
      <c r="J2334" s="191"/>
      <c r="L2334" s="190"/>
      <c r="M2334" s="190"/>
      <c r="N2334" s="190"/>
      <c r="O2334" s="190"/>
      <c r="P2334" s="190"/>
      <c r="Q2334" s="190"/>
      <c r="R2334" s="190"/>
      <c r="S2334" s="190"/>
    </row>
    <row r="2335" spans="2:19" ht="16" x14ac:dyDescent="0.2">
      <c r="C2335" s="240">
        <v>34254</v>
      </c>
      <c r="D2335" s="185">
        <v>0.5</v>
      </c>
      <c r="E2335" s="190">
        <v>10</v>
      </c>
      <c r="H2335" s="190">
        <v>14.5</v>
      </c>
      <c r="I2335" s="190"/>
      <c r="J2335" s="191"/>
      <c r="L2335" s="190"/>
      <c r="M2335" s="190"/>
      <c r="N2335" s="190"/>
      <c r="O2335" s="190"/>
      <c r="P2335" s="190"/>
      <c r="Q2335" s="190"/>
      <c r="R2335" s="190"/>
      <c r="S2335" s="190"/>
    </row>
    <row r="2336" spans="2:19" ht="16" x14ac:dyDescent="0.2">
      <c r="C2336" s="240">
        <v>34254</v>
      </c>
      <c r="D2336" s="185">
        <v>0.5</v>
      </c>
      <c r="E2336" s="190">
        <v>12</v>
      </c>
      <c r="H2336" s="190">
        <v>14.4</v>
      </c>
      <c r="I2336" s="190"/>
      <c r="J2336" s="191"/>
      <c r="L2336" s="190"/>
      <c r="M2336" s="190"/>
      <c r="N2336" s="190"/>
      <c r="O2336" s="190"/>
      <c r="P2336" s="190"/>
      <c r="Q2336" s="190"/>
      <c r="R2336" s="190"/>
      <c r="S2336" s="190"/>
    </row>
    <row r="2337" spans="2:19" ht="16" x14ac:dyDescent="0.2">
      <c r="C2337" s="240">
        <v>34254</v>
      </c>
      <c r="D2337" s="185">
        <v>0.5</v>
      </c>
      <c r="E2337" s="190">
        <v>14</v>
      </c>
      <c r="H2337" s="190">
        <v>13.8</v>
      </c>
      <c r="I2337" s="190"/>
      <c r="J2337" s="191"/>
      <c r="L2337" s="190"/>
      <c r="M2337" s="190"/>
      <c r="N2337" s="190"/>
      <c r="O2337" s="190"/>
      <c r="P2337" s="190"/>
      <c r="Q2337" s="190"/>
      <c r="R2337" s="190"/>
      <c r="S2337" s="190"/>
    </row>
    <row r="2338" spans="2:19" ht="16" x14ac:dyDescent="0.2">
      <c r="C2338" s="240">
        <v>34254</v>
      </c>
      <c r="D2338" s="185">
        <v>0.5</v>
      </c>
      <c r="E2338" s="190">
        <v>16</v>
      </c>
      <c r="H2338" s="190">
        <v>9.3000000000000007</v>
      </c>
      <c r="I2338" s="190"/>
      <c r="J2338" s="191"/>
      <c r="L2338" s="190"/>
      <c r="M2338" s="190"/>
      <c r="N2338" s="190"/>
      <c r="O2338" s="190"/>
      <c r="P2338" s="190"/>
      <c r="Q2338" s="190"/>
      <c r="R2338" s="190"/>
      <c r="S2338" s="190"/>
    </row>
    <row r="2339" spans="2:19" ht="16" x14ac:dyDescent="0.2">
      <c r="C2339" s="240">
        <v>34254</v>
      </c>
      <c r="D2339" s="185">
        <v>0.5</v>
      </c>
      <c r="E2339" s="190">
        <v>18</v>
      </c>
      <c r="H2339" s="190">
        <v>7.2</v>
      </c>
      <c r="I2339" s="190"/>
      <c r="J2339" s="191"/>
      <c r="L2339" s="190"/>
      <c r="M2339" s="190"/>
      <c r="N2339" s="190"/>
      <c r="O2339" s="190"/>
      <c r="P2339" s="190"/>
      <c r="Q2339" s="190"/>
      <c r="R2339" s="190"/>
      <c r="S2339" s="190"/>
    </row>
    <row r="2340" spans="2:19" ht="16" x14ac:dyDescent="0.2">
      <c r="C2340" s="240">
        <v>34254</v>
      </c>
      <c r="D2340" s="185">
        <v>0.5</v>
      </c>
      <c r="E2340" s="190">
        <v>20</v>
      </c>
      <c r="H2340" s="190">
        <v>6.7</v>
      </c>
      <c r="I2340" s="190"/>
      <c r="J2340" s="191"/>
      <c r="L2340" s="190"/>
      <c r="M2340" s="190"/>
      <c r="N2340" s="190"/>
      <c r="O2340" s="190"/>
      <c r="P2340" s="190"/>
      <c r="Q2340" s="190"/>
      <c r="R2340" s="190"/>
      <c r="S2340" s="190"/>
    </row>
    <row r="2341" spans="2:19" ht="16" x14ac:dyDescent="0.2">
      <c r="C2341" s="240">
        <v>34254</v>
      </c>
      <c r="D2341" s="185">
        <v>0.5</v>
      </c>
      <c r="E2341" s="190">
        <v>30</v>
      </c>
      <c r="H2341" s="190">
        <v>5.7</v>
      </c>
      <c r="I2341" s="190"/>
      <c r="J2341" s="191"/>
      <c r="L2341" s="190"/>
      <c r="M2341" s="190"/>
      <c r="N2341" s="190"/>
      <c r="O2341" s="190"/>
      <c r="P2341" s="190"/>
      <c r="Q2341" s="190"/>
      <c r="R2341" s="190"/>
      <c r="S2341" s="190"/>
    </row>
    <row r="2342" spans="2:19" ht="16" x14ac:dyDescent="0.2">
      <c r="C2342" s="240">
        <v>34254</v>
      </c>
      <c r="D2342" s="185">
        <v>0.5</v>
      </c>
      <c r="E2342" s="190">
        <v>40</v>
      </c>
      <c r="H2342" s="190">
        <v>5.3</v>
      </c>
      <c r="I2342" s="190"/>
      <c r="J2342" s="191"/>
      <c r="L2342" s="190"/>
      <c r="M2342" s="190"/>
      <c r="N2342" s="190"/>
      <c r="O2342" s="190"/>
      <c r="P2342" s="190"/>
      <c r="Q2342" s="190"/>
      <c r="R2342" s="190"/>
      <c r="S2342" s="190"/>
    </row>
    <row r="2343" spans="2:19" ht="16" x14ac:dyDescent="0.2">
      <c r="C2343" s="240">
        <v>34254</v>
      </c>
      <c r="D2343" s="185">
        <v>0.5</v>
      </c>
      <c r="E2343" s="190">
        <v>48</v>
      </c>
      <c r="H2343" s="190">
        <v>5.0999999999999996</v>
      </c>
      <c r="I2343" s="190"/>
      <c r="J2343" s="191"/>
      <c r="L2343" s="190"/>
      <c r="M2343" s="190"/>
      <c r="N2343" s="190"/>
      <c r="O2343" s="190"/>
      <c r="P2343" s="190"/>
      <c r="Q2343" s="190"/>
      <c r="R2343" s="190"/>
      <c r="S2343" s="190"/>
    </row>
    <row r="2344" spans="2:19" ht="16" x14ac:dyDescent="0.2">
      <c r="C2344" s="240"/>
      <c r="D2344" s="190"/>
      <c r="E2344" s="190"/>
      <c r="H2344" s="190"/>
      <c r="J2344" s="191"/>
      <c r="O2344" s="190"/>
      <c r="P2344" s="190"/>
      <c r="Q2344" s="190"/>
      <c r="R2344" s="190"/>
      <c r="S2344" s="190"/>
    </row>
    <row r="2345" spans="2:19" ht="16" x14ac:dyDescent="0.2">
      <c r="B2345" t="s">
        <v>257</v>
      </c>
      <c r="C2345" s="240">
        <v>34226</v>
      </c>
      <c r="D2345" s="225"/>
      <c r="E2345" s="190"/>
      <c r="H2345" s="191"/>
      <c r="I2345" s="191"/>
      <c r="J2345" s="191"/>
      <c r="L2345" s="190"/>
      <c r="M2345" s="190"/>
      <c r="N2345" s="190"/>
      <c r="O2345" s="190"/>
      <c r="P2345" s="190"/>
      <c r="Q2345" s="190"/>
      <c r="R2345" s="190"/>
      <c r="S2345" s="190"/>
    </row>
    <row r="2346" spans="2:19" ht="16" x14ac:dyDescent="0.2">
      <c r="C2346" s="240">
        <v>34226</v>
      </c>
      <c r="D2346" s="185">
        <v>0.5</v>
      </c>
      <c r="E2346" s="190">
        <v>0.5</v>
      </c>
      <c r="H2346" s="190">
        <v>17.8</v>
      </c>
      <c r="I2346" s="190"/>
      <c r="J2346" s="191"/>
      <c r="L2346" s="190"/>
      <c r="M2346" s="190"/>
      <c r="N2346" s="190"/>
      <c r="O2346" s="190"/>
      <c r="P2346" s="190"/>
      <c r="Q2346" s="190"/>
      <c r="R2346" s="190"/>
      <c r="S2346" s="190"/>
    </row>
    <row r="2347" spans="2:19" ht="16" x14ac:dyDescent="0.2">
      <c r="C2347" s="240">
        <v>34226</v>
      </c>
      <c r="D2347" s="185">
        <v>0.5</v>
      </c>
      <c r="E2347" s="190">
        <v>2</v>
      </c>
      <c r="H2347" s="190">
        <v>17.899999999999999</v>
      </c>
      <c r="I2347" s="190"/>
      <c r="J2347" s="191"/>
      <c r="L2347" s="190"/>
      <c r="M2347" s="190"/>
      <c r="N2347" s="190"/>
      <c r="O2347" s="190"/>
      <c r="P2347" s="190"/>
      <c r="Q2347" s="190"/>
      <c r="R2347" s="190"/>
      <c r="S2347" s="190"/>
    </row>
    <row r="2348" spans="2:19" ht="16" x14ac:dyDescent="0.2">
      <c r="C2348" s="240">
        <v>34226</v>
      </c>
      <c r="D2348" s="185">
        <v>0.5</v>
      </c>
      <c r="E2348" s="190">
        <v>4</v>
      </c>
      <c r="H2348" s="190">
        <v>17.899999999999999</v>
      </c>
      <c r="I2348" s="190"/>
      <c r="J2348" s="191"/>
      <c r="L2348" s="190"/>
      <c r="M2348" s="190"/>
      <c r="N2348" s="190"/>
      <c r="O2348" s="190"/>
      <c r="P2348" s="190"/>
      <c r="Q2348" s="190"/>
      <c r="R2348" s="190"/>
      <c r="S2348" s="190"/>
    </row>
    <row r="2349" spans="2:19" ht="16" x14ac:dyDescent="0.2">
      <c r="C2349" s="240">
        <v>34226</v>
      </c>
      <c r="D2349" s="185">
        <v>0.5</v>
      </c>
      <c r="E2349" s="190">
        <v>6</v>
      </c>
      <c r="H2349" s="190">
        <v>17.899999999999999</v>
      </c>
      <c r="I2349" s="190"/>
      <c r="J2349" s="191"/>
      <c r="L2349" s="190"/>
      <c r="M2349" s="190"/>
      <c r="N2349" s="190"/>
      <c r="O2349" s="190"/>
      <c r="P2349" s="190"/>
      <c r="Q2349" s="190"/>
      <c r="R2349" s="190"/>
      <c r="S2349" s="190"/>
    </row>
    <row r="2350" spans="2:19" ht="16" x14ac:dyDescent="0.2">
      <c r="C2350" s="240">
        <v>34226</v>
      </c>
      <c r="D2350" s="185">
        <v>0.5</v>
      </c>
      <c r="E2350" s="190">
        <v>8</v>
      </c>
      <c r="H2350" s="190">
        <v>17.899999999999999</v>
      </c>
      <c r="I2350" s="190"/>
      <c r="J2350" s="191"/>
      <c r="L2350" s="190"/>
      <c r="M2350" s="190"/>
      <c r="N2350" s="190"/>
      <c r="O2350" s="190"/>
      <c r="P2350" s="190"/>
      <c r="Q2350" s="190"/>
      <c r="R2350" s="190"/>
      <c r="S2350" s="190"/>
    </row>
    <row r="2351" spans="2:19" ht="16" x14ac:dyDescent="0.2">
      <c r="C2351" s="240">
        <v>34226</v>
      </c>
      <c r="D2351" s="185">
        <v>0.5</v>
      </c>
      <c r="E2351" s="190">
        <v>10</v>
      </c>
      <c r="H2351" s="190">
        <v>17.600000000000001</v>
      </c>
      <c r="I2351" s="190"/>
      <c r="J2351" s="191"/>
      <c r="L2351" s="190"/>
      <c r="M2351" s="190"/>
      <c r="N2351" s="190"/>
      <c r="O2351" s="190"/>
      <c r="P2351" s="190"/>
      <c r="Q2351" s="190"/>
      <c r="R2351" s="190"/>
      <c r="S2351" s="190"/>
    </row>
    <row r="2352" spans="2:19" ht="16" x14ac:dyDescent="0.2">
      <c r="C2352" s="240">
        <v>34226</v>
      </c>
      <c r="D2352" s="185">
        <v>0.5</v>
      </c>
      <c r="E2352" s="190">
        <v>12</v>
      </c>
      <c r="H2352" s="190">
        <v>14.2</v>
      </c>
      <c r="I2352" s="190"/>
      <c r="J2352" s="191"/>
      <c r="L2352" s="190"/>
      <c r="M2352" s="190"/>
      <c r="N2352" s="190"/>
      <c r="O2352" s="190"/>
      <c r="P2352" s="190"/>
      <c r="Q2352" s="190"/>
      <c r="R2352" s="190"/>
      <c r="S2352" s="190"/>
    </row>
    <row r="2353" spans="2:19" ht="16" x14ac:dyDescent="0.2">
      <c r="C2353" s="240">
        <v>34226</v>
      </c>
      <c r="D2353" s="185">
        <v>0.5</v>
      </c>
      <c r="E2353" s="190">
        <v>14</v>
      </c>
      <c r="H2353" s="190">
        <v>9.5</v>
      </c>
      <c r="I2353" s="190"/>
      <c r="J2353" s="191"/>
      <c r="L2353" s="190"/>
      <c r="M2353" s="190"/>
      <c r="N2353" s="190"/>
      <c r="O2353" s="190"/>
      <c r="P2353" s="190"/>
      <c r="Q2353" s="190"/>
      <c r="R2353" s="190"/>
      <c r="S2353" s="190"/>
    </row>
    <row r="2354" spans="2:19" ht="16" x14ac:dyDescent="0.2">
      <c r="C2354" s="240">
        <v>34226</v>
      </c>
      <c r="D2354" s="185">
        <v>0.5</v>
      </c>
      <c r="E2354" s="190">
        <v>20</v>
      </c>
      <c r="H2354" s="190">
        <v>6.6</v>
      </c>
      <c r="I2354" s="190"/>
      <c r="J2354" s="191"/>
      <c r="L2354" s="190"/>
      <c r="M2354" s="190"/>
      <c r="N2354" s="190"/>
      <c r="O2354" s="190"/>
      <c r="P2354" s="190"/>
      <c r="Q2354" s="190"/>
      <c r="R2354" s="190"/>
      <c r="S2354" s="190"/>
    </row>
    <row r="2355" spans="2:19" ht="16" x14ac:dyDescent="0.2">
      <c r="C2355" s="240">
        <v>34226</v>
      </c>
      <c r="D2355" s="185">
        <v>0.5</v>
      </c>
      <c r="E2355" s="190">
        <v>30</v>
      </c>
      <c r="H2355" s="190">
        <v>5.6</v>
      </c>
      <c r="I2355" s="190"/>
      <c r="J2355" s="191"/>
      <c r="L2355" s="190"/>
      <c r="M2355" s="190"/>
      <c r="N2355" s="190"/>
      <c r="O2355" s="190"/>
      <c r="P2355" s="190"/>
      <c r="Q2355" s="190"/>
      <c r="R2355" s="190"/>
      <c r="S2355" s="190"/>
    </row>
    <row r="2356" spans="2:19" ht="16" x14ac:dyDescent="0.2">
      <c r="C2356" s="240">
        <v>34226</v>
      </c>
      <c r="D2356" s="185">
        <v>0.5</v>
      </c>
      <c r="E2356" s="190">
        <v>40</v>
      </c>
      <c r="H2356" s="190">
        <v>5.2</v>
      </c>
      <c r="I2356" s="190"/>
      <c r="J2356" s="191"/>
      <c r="L2356" s="190"/>
      <c r="M2356" s="190"/>
      <c r="N2356" s="190"/>
      <c r="O2356" s="190"/>
      <c r="P2356" s="190"/>
      <c r="Q2356" s="190"/>
      <c r="R2356" s="190"/>
      <c r="S2356" s="190"/>
    </row>
    <row r="2357" spans="2:19" ht="16" x14ac:dyDescent="0.2">
      <c r="C2357" s="240">
        <v>34226</v>
      </c>
      <c r="D2357" s="185">
        <v>0.5</v>
      </c>
      <c r="E2357" s="190">
        <v>50</v>
      </c>
      <c r="H2357" s="190">
        <v>5</v>
      </c>
      <c r="I2357" s="190"/>
      <c r="J2357" s="191"/>
      <c r="L2357" s="190"/>
      <c r="M2357" s="190"/>
      <c r="N2357" s="190"/>
      <c r="O2357" s="190"/>
      <c r="P2357" s="190"/>
      <c r="Q2357" s="190"/>
      <c r="R2357" s="190"/>
      <c r="S2357" s="190"/>
    </row>
    <row r="2358" spans="2:19" ht="16" x14ac:dyDescent="0.2">
      <c r="C2358" s="240"/>
      <c r="D2358" s="225"/>
      <c r="E2358" s="190"/>
      <c r="H2358" s="191"/>
      <c r="I2358" s="191"/>
      <c r="J2358" s="191"/>
      <c r="L2358" s="190"/>
      <c r="M2358" s="190"/>
      <c r="N2358" s="190"/>
      <c r="O2358" s="190"/>
      <c r="P2358" s="190"/>
      <c r="Q2358" s="190"/>
      <c r="R2358" s="190"/>
      <c r="S2358" s="190"/>
    </row>
    <row r="2359" spans="2:19" ht="16" x14ac:dyDescent="0.2">
      <c r="B2359" t="s">
        <v>257</v>
      </c>
      <c r="C2359" s="240">
        <v>34198</v>
      </c>
      <c r="D2359" s="225">
        <v>0.5</v>
      </c>
      <c r="E2359" s="190"/>
      <c r="H2359" s="191"/>
      <c r="I2359" s="191"/>
      <c r="J2359" s="191"/>
      <c r="L2359" s="190"/>
      <c r="M2359" s="190"/>
      <c r="N2359" s="190"/>
      <c r="O2359" s="190"/>
      <c r="P2359" s="190"/>
      <c r="Q2359" s="190"/>
      <c r="R2359" s="190"/>
      <c r="S2359" s="190"/>
    </row>
    <row r="2360" spans="2:19" ht="16" x14ac:dyDescent="0.2">
      <c r="C2360" s="240">
        <v>34198</v>
      </c>
      <c r="D2360" s="225">
        <v>0.5</v>
      </c>
      <c r="E2360" s="190">
        <v>0.5</v>
      </c>
      <c r="H2360" s="191">
        <v>19.399999999999999</v>
      </c>
      <c r="I2360" s="191">
        <v>19.399999999999999</v>
      </c>
      <c r="J2360" s="191"/>
      <c r="L2360" s="190"/>
      <c r="M2360" s="190"/>
      <c r="N2360" s="190"/>
      <c r="O2360" s="190"/>
      <c r="P2360" s="190"/>
      <c r="Q2360" s="190"/>
      <c r="R2360" s="190"/>
      <c r="S2360" s="190"/>
    </row>
    <row r="2361" spans="2:19" ht="16" x14ac:dyDescent="0.2">
      <c r="C2361" s="240">
        <v>34198</v>
      </c>
      <c r="D2361" s="225">
        <v>0.5</v>
      </c>
      <c r="E2361" s="190">
        <v>2</v>
      </c>
      <c r="H2361" s="191">
        <v>19.5</v>
      </c>
      <c r="I2361" s="191">
        <v>19.5</v>
      </c>
      <c r="J2361" s="191"/>
      <c r="L2361" s="190"/>
      <c r="M2361" s="190"/>
      <c r="N2361" s="190"/>
      <c r="O2361" s="190"/>
      <c r="P2361" s="190"/>
      <c r="Q2361" s="190"/>
      <c r="R2361" s="190"/>
      <c r="S2361" s="190"/>
    </row>
    <row r="2362" spans="2:19" ht="16" x14ac:dyDescent="0.2">
      <c r="C2362" s="240">
        <v>34198</v>
      </c>
      <c r="D2362" s="225">
        <v>0.5</v>
      </c>
      <c r="E2362" s="190">
        <v>4</v>
      </c>
      <c r="H2362" s="191">
        <v>19.5</v>
      </c>
      <c r="I2362" s="191">
        <v>19.5</v>
      </c>
      <c r="J2362" s="191"/>
      <c r="L2362" s="190"/>
      <c r="M2362" s="190"/>
      <c r="N2362" s="190"/>
      <c r="O2362" s="190"/>
      <c r="P2362" s="190"/>
      <c r="Q2362" s="190"/>
      <c r="R2362" s="190"/>
      <c r="S2362" s="190"/>
    </row>
    <row r="2363" spans="2:19" ht="16" x14ac:dyDescent="0.2">
      <c r="C2363" s="240">
        <v>34198</v>
      </c>
      <c r="D2363" s="225">
        <v>0.5</v>
      </c>
      <c r="E2363" s="190">
        <v>6</v>
      </c>
      <c r="H2363" s="191">
        <v>19.5</v>
      </c>
      <c r="I2363" s="191">
        <v>19.5</v>
      </c>
      <c r="J2363" s="191"/>
      <c r="L2363" s="190"/>
      <c r="M2363" s="190"/>
      <c r="N2363" s="190"/>
      <c r="O2363" s="190"/>
      <c r="P2363" s="190"/>
      <c r="Q2363" s="190"/>
      <c r="R2363" s="190"/>
      <c r="S2363" s="190"/>
    </row>
    <row r="2364" spans="2:19" ht="16" x14ac:dyDescent="0.2">
      <c r="C2364" s="240">
        <v>34198</v>
      </c>
      <c r="D2364" s="225">
        <v>0.5</v>
      </c>
      <c r="E2364" s="190">
        <v>8</v>
      </c>
      <c r="H2364" s="191">
        <v>19.5</v>
      </c>
      <c r="I2364" s="191">
        <v>19.5</v>
      </c>
      <c r="J2364" s="191"/>
      <c r="L2364" s="190"/>
      <c r="M2364" s="190"/>
      <c r="N2364" s="190"/>
      <c r="O2364" s="190"/>
      <c r="P2364" s="190"/>
      <c r="Q2364" s="190"/>
      <c r="R2364" s="190"/>
      <c r="S2364" s="190"/>
    </row>
    <row r="2365" spans="2:19" ht="16" x14ac:dyDescent="0.2">
      <c r="C2365" s="240">
        <v>34198</v>
      </c>
      <c r="D2365" s="225">
        <v>0.5</v>
      </c>
      <c r="E2365" s="190">
        <v>10</v>
      </c>
      <c r="H2365" s="191">
        <v>18.2</v>
      </c>
      <c r="I2365" s="191">
        <v>18.2</v>
      </c>
      <c r="J2365" s="191"/>
      <c r="L2365" s="190"/>
      <c r="M2365" s="190"/>
      <c r="N2365" s="190"/>
      <c r="O2365" s="190"/>
      <c r="P2365" s="190"/>
      <c r="Q2365" s="190"/>
      <c r="R2365" s="190"/>
      <c r="S2365" s="190"/>
    </row>
    <row r="2366" spans="2:19" ht="16" x14ac:dyDescent="0.2">
      <c r="C2366" s="240">
        <v>34198</v>
      </c>
      <c r="D2366" s="225">
        <v>0.5</v>
      </c>
      <c r="E2366" s="190">
        <v>12</v>
      </c>
      <c r="H2366" s="191">
        <v>15.6</v>
      </c>
      <c r="I2366" s="244">
        <f>AVERAGE(I2360:I2365)</f>
        <v>19.266666666666669</v>
      </c>
      <c r="J2366" s="244"/>
      <c r="L2366" s="190"/>
      <c r="M2366" s="190"/>
      <c r="N2366" s="190"/>
      <c r="O2366" s="190"/>
      <c r="P2366" s="190"/>
      <c r="Q2366" s="190"/>
      <c r="R2366" s="190"/>
      <c r="S2366" s="190"/>
    </row>
    <row r="2367" spans="2:19" ht="16" x14ac:dyDescent="0.2">
      <c r="C2367" s="240">
        <v>34198</v>
      </c>
      <c r="D2367" s="225">
        <v>0.5</v>
      </c>
      <c r="E2367" s="190">
        <v>14</v>
      </c>
      <c r="H2367" s="191">
        <v>12.3</v>
      </c>
      <c r="I2367" s="191"/>
      <c r="J2367" s="191"/>
      <c r="L2367" s="190"/>
      <c r="M2367" s="190"/>
      <c r="N2367" s="190"/>
      <c r="O2367" s="190"/>
      <c r="P2367" s="190"/>
      <c r="Q2367" s="190"/>
      <c r="R2367" s="190"/>
      <c r="S2367" s="190"/>
    </row>
    <row r="2368" spans="2:19" ht="16" x14ac:dyDescent="0.2">
      <c r="C2368" s="240">
        <v>34198</v>
      </c>
      <c r="D2368" s="225">
        <v>0.5</v>
      </c>
      <c r="E2368" s="190">
        <v>16</v>
      </c>
      <c r="H2368" s="191">
        <v>9.6</v>
      </c>
      <c r="I2368" s="191"/>
      <c r="J2368" s="191"/>
      <c r="L2368" s="190"/>
      <c r="M2368" s="190"/>
      <c r="N2368" s="190"/>
      <c r="O2368" s="190"/>
      <c r="P2368" s="190"/>
      <c r="Q2368" s="190"/>
      <c r="R2368" s="190"/>
      <c r="S2368" s="190"/>
    </row>
    <row r="2369" spans="2:19" ht="16" x14ac:dyDescent="0.2">
      <c r="C2369" s="240">
        <v>34198</v>
      </c>
      <c r="D2369" s="225">
        <v>0.5</v>
      </c>
      <c r="E2369" s="190">
        <v>20</v>
      </c>
      <c r="H2369" s="191">
        <v>6.9</v>
      </c>
      <c r="I2369" s="191"/>
      <c r="J2369" s="191"/>
      <c r="L2369" s="190"/>
      <c r="M2369" s="190"/>
      <c r="N2369" s="190"/>
      <c r="O2369" s="190"/>
      <c r="P2369" s="190"/>
      <c r="Q2369" s="190"/>
      <c r="R2369" s="190"/>
      <c r="S2369" s="190"/>
    </row>
    <row r="2370" spans="2:19" ht="16" x14ac:dyDescent="0.2">
      <c r="C2370" s="240">
        <v>34198</v>
      </c>
      <c r="D2370" s="225">
        <v>0.5</v>
      </c>
      <c r="E2370" s="190">
        <v>25</v>
      </c>
      <c r="H2370" s="191">
        <v>6</v>
      </c>
      <c r="I2370" s="191"/>
      <c r="J2370" s="191"/>
      <c r="L2370" s="190"/>
      <c r="M2370" s="190"/>
      <c r="N2370" s="190"/>
      <c r="O2370" s="190"/>
      <c r="P2370" s="190"/>
      <c r="Q2370" s="190"/>
      <c r="R2370" s="190"/>
      <c r="S2370" s="190"/>
    </row>
    <row r="2371" spans="2:19" ht="16" x14ac:dyDescent="0.2">
      <c r="C2371" s="240">
        <v>34198</v>
      </c>
      <c r="D2371" s="225">
        <v>0.5</v>
      </c>
      <c r="E2371" s="190">
        <v>30</v>
      </c>
      <c r="H2371" s="191">
        <v>5.5</v>
      </c>
      <c r="I2371" s="191"/>
      <c r="J2371" s="191"/>
      <c r="L2371" s="190"/>
      <c r="M2371" s="190"/>
      <c r="N2371" s="190"/>
      <c r="O2371" s="190"/>
      <c r="P2371" s="190"/>
      <c r="Q2371" s="190"/>
      <c r="R2371" s="190"/>
      <c r="S2371" s="190"/>
    </row>
    <row r="2372" spans="2:19" ht="16" x14ac:dyDescent="0.2">
      <c r="C2372" s="240">
        <v>34198</v>
      </c>
      <c r="D2372" s="225">
        <v>0.5</v>
      </c>
      <c r="E2372" s="190">
        <v>35</v>
      </c>
      <c r="H2372" s="191">
        <v>5.3</v>
      </c>
      <c r="I2372" s="191"/>
      <c r="J2372" s="191"/>
      <c r="L2372" s="190"/>
      <c r="M2372" s="190"/>
      <c r="N2372" s="190"/>
      <c r="O2372" s="190"/>
      <c r="P2372" s="190"/>
      <c r="Q2372" s="190"/>
      <c r="R2372" s="190"/>
      <c r="S2372" s="190"/>
    </row>
    <row r="2373" spans="2:19" ht="16" x14ac:dyDescent="0.2">
      <c r="C2373" s="240">
        <v>34198</v>
      </c>
      <c r="D2373" s="225">
        <v>0.5</v>
      </c>
      <c r="E2373" s="190">
        <v>40</v>
      </c>
      <c r="H2373" s="191">
        <v>5.0999999999999996</v>
      </c>
      <c r="I2373" s="191"/>
      <c r="J2373" s="191"/>
      <c r="L2373" s="190"/>
      <c r="M2373" s="190"/>
      <c r="N2373" s="190"/>
      <c r="O2373" s="190"/>
      <c r="P2373" s="190"/>
      <c r="Q2373" s="190"/>
      <c r="R2373" s="190"/>
      <c r="S2373" s="190"/>
    </row>
    <row r="2374" spans="2:19" ht="16" x14ac:dyDescent="0.2">
      <c r="C2374" s="240">
        <v>34198</v>
      </c>
      <c r="D2374" s="225">
        <v>0.5</v>
      </c>
      <c r="E2374" s="190">
        <v>50</v>
      </c>
      <c r="H2374" s="191">
        <v>4.9000000000000004</v>
      </c>
      <c r="I2374" s="191"/>
      <c r="J2374" s="191"/>
      <c r="L2374" s="190"/>
      <c r="M2374" s="190"/>
      <c r="N2374" s="190"/>
      <c r="O2374" s="190"/>
      <c r="P2374" s="190"/>
      <c r="Q2374" s="190"/>
      <c r="R2374" s="190"/>
      <c r="S2374" s="190"/>
    </row>
    <row r="2375" spans="2:19" ht="16" x14ac:dyDescent="0.2">
      <c r="C2375" s="190"/>
      <c r="D2375" s="190"/>
      <c r="E2375" s="190"/>
      <c r="H2375" s="190"/>
      <c r="I2375" s="190"/>
      <c r="L2375" s="190"/>
      <c r="M2375" s="190"/>
      <c r="N2375" s="190"/>
      <c r="O2375" s="190"/>
      <c r="P2375" s="190"/>
      <c r="Q2375" s="190"/>
      <c r="R2375" s="190"/>
      <c r="S2375" s="190"/>
    </row>
    <row r="2376" spans="2:19" ht="16" x14ac:dyDescent="0.2">
      <c r="B2376" t="s">
        <v>257</v>
      </c>
      <c r="C2376" s="240">
        <v>34157</v>
      </c>
      <c r="D2376" s="185">
        <v>0.5</v>
      </c>
      <c r="E2376" s="190"/>
      <c r="H2376" s="190"/>
      <c r="I2376" s="190"/>
      <c r="L2376" s="190"/>
      <c r="M2376" s="190"/>
      <c r="N2376" s="190"/>
      <c r="O2376" s="190"/>
      <c r="P2376" s="190"/>
      <c r="Q2376" s="190"/>
      <c r="R2376" s="190"/>
      <c r="S2376" s="190"/>
    </row>
    <row r="2377" spans="2:19" ht="16" x14ac:dyDescent="0.2">
      <c r="C2377" s="240">
        <v>34157</v>
      </c>
      <c r="D2377" s="185">
        <v>0.5</v>
      </c>
      <c r="E2377" s="190">
        <v>0.5</v>
      </c>
      <c r="H2377" s="190">
        <v>17.100000000000001</v>
      </c>
      <c r="I2377" s="190"/>
      <c r="J2377" s="191"/>
      <c r="L2377" s="190"/>
      <c r="M2377" s="190"/>
      <c r="N2377" s="190"/>
      <c r="O2377" s="190"/>
      <c r="P2377" s="190"/>
      <c r="Q2377" s="190"/>
      <c r="R2377" s="190"/>
      <c r="S2377" s="190"/>
    </row>
    <row r="2378" spans="2:19" ht="16" x14ac:dyDescent="0.2">
      <c r="C2378" s="240">
        <v>34157</v>
      </c>
      <c r="D2378" s="185">
        <v>0.5</v>
      </c>
      <c r="E2378" s="190">
        <v>2</v>
      </c>
      <c r="H2378" s="190">
        <v>17</v>
      </c>
      <c r="I2378" s="190"/>
      <c r="J2378" s="191"/>
      <c r="L2378" s="190"/>
      <c r="M2378" s="190"/>
      <c r="N2378" s="190"/>
      <c r="O2378" s="190"/>
      <c r="P2378" s="190"/>
      <c r="Q2378" s="190"/>
      <c r="R2378" s="190"/>
      <c r="S2378" s="190"/>
    </row>
    <row r="2379" spans="2:19" ht="16" x14ac:dyDescent="0.2">
      <c r="C2379" s="240">
        <v>34157</v>
      </c>
      <c r="D2379" s="185">
        <v>0.5</v>
      </c>
      <c r="E2379" s="190">
        <v>4</v>
      </c>
      <c r="H2379" s="190">
        <v>16.8</v>
      </c>
      <c r="I2379" s="190"/>
      <c r="J2379" s="191"/>
      <c r="L2379" s="190"/>
      <c r="M2379" s="190"/>
      <c r="N2379" s="190"/>
      <c r="O2379" s="190"/>
      <c r="P2379" s="190"/>
      <c r="Q2379" s="190"/>
      <c r="R2379" s="190"/>
      <c r="S2379" s="190"/>
    </row>
    <row r="2380" spans="2:19" ht="16" x14ac:dyDescent="0.2">
      <c r="C2380" s="240">
        <v>34157</v>
      </c>
      <c r="D2380" s="185">
        <v>0.5</v>
      </c>
      <c r="E2380" s="190">
        <v>6</v>
      </c>
      <c r="H2380" s="190">
        <v>16.5</v>
      </c>
      <c r="I2380" s="190"/>
      <c r="J2380" s="191"/>
      <c r="L2380" s="190"/>
      <c r="M2380" s="190"/>
      <c r="N2380" s="190"/>
      <c r="O2380" s="190"/>
      <c r="P2380" s="190"/>
      <c r="Q2380" s="190"/>
      <c r="R2380" s="190"/>
      <c r="S2380" s="190"/>
    </row>
    <row r="2381" spans="2:19" ht="16" x14ac:dyDescent="0.2">
      <c r="C2381" s="240">
        <v>34157</v>
      </c>
      <c r="D2381" s="185">
        <v>0.5</v>
      </c>
      <c r="E2381" s="190">
        <v>8</v>
      </c>
      <c r="H2381" s="190">
        <v>16.399999999999999</v>
      </c>
      <c r="I2381" s="190"/>
      <c r="J2381" s="191"/>
      <c r="L2381" s="190"/>
      <c r="M2381" s="190"/>
      <c r="N2381" s="190"/>
      <c r="O2381" s="190"/>
      <c r="P2381" s="190"/>
      <c r="Q2381" s="190"/>
      <c r="R2381" s="190"/>
      <c r="S2381" s="190"/>
    </row>
    <row r="2382" spans="2:19" ht="16" x14ac:dyDescent="0.2">
      <c r="C2382" s="240">
        <v>34157</v>
      </c>
      <c r="D2382" s="185">
        <v>0.5</v>
      </c>
      <c r="E2382" s="190">
        <v>10</v>
      </c>
      <c r="H2382" s="190">
        <v>13.3</v>
      </c>
      <c r="I2382" s="190"/>
      <c r="J2382" s="191"/>
      <c r="L2382" s="190"/>
      <c r="M2382" s="190"/>
      <c r="N2382" s="190"/>
      <c r="O2382" s="190"/>
      <c r="P2382" s="190"/>
      <c r="Q2382" s="190"/>
      <c r="R2382" s="190"/>
      <c r="S2382" s="190"/>
    </row>
    <row r="2383" spans="2:19" ht="16" x14ac:dyDescent="0.2">
      <c r="C2383" s="240">
        <v>34157</v>
      </c>
      <c r="D2383" s="185">
        <v>0.5</v>
      </c>
      <c r="E2383" s="190">
        <v>12</v>
      </c>
      <c r="H2383" s="190">
        <v>8.9</v>
      </c>
      <c r="I2383" s="190"/>
      <c r="J2383" s="191"/>
      <c r="L2383" s="190"/>
      <c r="M2383" s="190"/>
      <c r="N2383" s="190"/>
      <c r="O2383" s="190"/>
      <c r="P2383" s="190"/>
      <c r="Q2383" s="190"/>
      <c r="R2383" s="190"/>
      <c r="S2383" s="190"/>
    </row>
    <row r="2384" spans="2:19" ht="16" x14ac:dyDescent="0.2">
      <c r="C2384" s="240">
        <v>34157</v>
      </c>
      <c r="D2384" s="185">
        <v>0.5</v>
      </c>
      <c r="E2384" s="190">
        <v>15</v>
      </c>
      <c r="H2384" s="190">
        <v>6.5</v>
      </c>
      <c r="I2384" s="190"/>
      <c r="J2384" s="191"/>
      <c r="L2384" s="190"/>
      <c r="M2384" s="190"/>
      <c r="N2384" s="190"/>
      <c r="O2384" s="190"/>
      <c r="P2384" s="190"/>
      <c r="Q2384" s="190"/>
      <c r="R2384" s="190"/>
      <c r="S2384" s="190"/>
    </row>
    <row r="2385" spans="3:19" ht="16" x14ac:dyDescent="0.2">
      <c r="C2385" s="240">
        <v>34157</v>
      </c>
      <c r="D2385" s="185">
        <v>0.5</v>
      </c>
      <c r="E2385" s="190">
        <v>25</v>
      </c>
      <c r="H2385" s="190">
        <v>5.0999999999999996</v>
      </c>
      <c r="I2385" s="190"/>
      <c r="J2385" s="191"/>
      <c r="L2385" s="190"/>
      <c r="M2385" s="190"/>
      <c r="N2385" s="190"/>
      <c r="O2385" s="190"/>
      <c r="P2385" s="190"/>
      <c r="Q2385" s="190"/>
      <c r="R2385" s="190"/>
      <c r="S2385" s="190"/>
    </row>
    <row r="2386" spans="3:19" ht="16" x14ac:dyDescent="0.2">
      <c r="C2386" s="240">
        <v>34157</v>
      </c>
      <c r="D2386" s="185">
        <v>0.5</v>
      </c>
      <c r="E2386" s="190">
        <v>35</v>
      </c>
      <c r="H2386" s="190">
        <v>5.0999999999999996</v>
      </c>
      <c r="I2386" s="190"/>
      <c r="J2386" s="191"/>
      <c r="L2386" s="190"/>
      <c r="M2386" s="190"/>
      <c r="N2386" s="190"/>
      <c r="O2386" s="190"/>
      <c r="P2386" s="190"/>
      <c r="Q2386" s="190"/>
      <c r="R2386" s="190"/>
      <c r="S2386" s="190"/>
    </row>
    <row r="2387" spans="3:19" ht="16" x14ac:dyDescent="0.2">
      <c r="C2387" s="240">
        <v>34157</v>
      </c>
      <c r="D2387" s="185">
        <v>0.5</v>
      </c>
      <c r="E2387" s="190">
        <v>45</v>
      </c>
      <c r="H2387" s="190">
        <v>4.8</v>
      </c>
      <c r="I2387" s="190"/>
      <c r="J2387" s="191"/>
      <c r="L2387" s="190"/>
      <c r="M2387" s="190"/>
      <c r="N2387" s="190"/>
      <c r="O2387" s="190"/>
      <c r="P2387" s="190"/>
      <c r="Q2387" s="190"/>
      <c r="R2387" s="190"/>
      <c r="S2387" s="190"/>
    </row>
    <row r="2388" spans="3:19" ht="16" x14ac:dyDescent="0.2">
      <c r="C2388" s="240">
        <v>34157</v>
      </c>
      <c r="D2388" s="185">
        <v>0.5</v>
      </c>
      <c r="E2388" s="190">
        <v>50</v>
      </c>
      <c r="H2388" s="190">
        <v>4.8</v>
      </c>
      <c r="I2388" s="190"/>
      <c r="J2388" s="191"/>
      <c r="L2388" s="190"/>
      <c r="M2388" s="190"/>
      <c r="N2388" s="190"/>
      <c r="O2388" s="190"/>
      <c r="P2388" s="190"/>
      <c r="Q2388" s="190"/>
      <c r="R2388" s="190"/>
      <c r="S2388" s="190"/>
    </row>
    <row r="2389" spans="3:19" ht="16" x14ac:dyDescent="0.2">
      <c r="C2389" s="190"/>
      <c r="D2389" s="190"/>
      <c r="E2389" s="190"/>
      <c r="H2389" s="190"/>
      <c r="I2389" s="190"/>
      <c r="L2389" s="190"/>
      <c r="M2389" s="190"/>
      <c r="N2389" s="190"/>
      <c r="O2389" s="190"/>
      <c r="P2389" s="190"/>
      <c r="Q2389" s="190"/>
      <c r="R2389" s="190"/>
      <c r="S2389" s="190"/>
    </row>
    <row r="2390" spans="3:19" ht="16" x14ac:dyDescent="0.2">
      <c r="C2390" s="240">
        <v>34135</v>
      </c>
      <c r="D2390" s="185">
        <v>0.5</v>
      </c>
      <c r="E2390" s="190">
        <v>0.5</v>
      </c>
      <c r="H2390" s="190">
        <v>15.3</v>
      </c>
      <c r="I2390" s="190"/>
      <c r="J2390" s="191"/>
      <c r="L2390" s="190"/>
      <c r="M2390" s="190"/>
      <c r="N2390" s="190"/>
      <c r="O2390" s="190"/>
      <c r="P2390" s="190"/>
      <c r="Q2390" s="190"/>
      <c r="R2390" s="190"/>
      <c r="S2390" s="190"/>
    </row>
    <row r="2391" spans="3:19" ht="16" x14ac:dyDescent="0.2">
      <c r="C2391" s="240">
        <v>34135</v>
      </c>
      <c r="D2391" s="185">
        <v>0.5</v>
      </c>
      <c r="E2391" s="190">
        <v>10</v>
      </c>
      <c r="H2391" s="190">
        <v>10.1</v>
      </c>
      <c r="I2391" s="190"/>
      <c r="J2391" s="191"/>
      <c r="L2391" s="190"/>
      <c r="M2391" s="190"/>
      <c r="N2391" s="190"/>
      <c r="O2391" s="190"/>
      <c r="P2391" s="190"/>
      <c r="Q2391" s="190"/>
      <c r="R2391" s="190"/>
      <c r="S2391" s="190"/>
    </row>
    <row r="2392" spans="3:19" ht="16" x14ac:dyDescent="0.2">
      <c r="C2392" s="240">
        <v>34135</v>
      </c>
      <c r="D2392" s="185">
        <v>0.5</v>
      </c>
      <c r="E2392" s="190">
        <v>20</v>
      </c>
      <c r="H2392" s="190">
        <v>5.7</v>
      </c>
      <c r="I2392" s="190"/>
      <c r="J2392" s="191"/>
      <c r="L2392" s="190"/>
      <c r="M2392" s="190"/>
      <c r="N2392" s="190"/>
      <c r="O2392" s="190"/>
      <c r="P2392" s="190"/>
      <c r="Q2392" s="190"/>
      <c r="R2392" s="190"/>
      <c r="S2392" s="190"/>
    </row>
    <row r="2393" spans="3:19" ht="16" x14ac:dyDescent="0.2">
      <c r="C2393" s="240"/>
      <c r="D2393" s="190"/>
      <c r="E2393" s="190"/>
      <c r="H2393" s="190"/>
      <c r="I2393" s="190"/>
      <c r="J2393" s="191"/>
      <c r="L2393" s="190"/>
      <c r="M2393" s="190"/>
      <c r="N2393" s="190"/>
      <c r="O2393" s="190"/>
      <c r="P2393" s="190"/>
      <c r="Q2393" s="190"/>
      <c r="R2393" s="190"/>
      <c r="S2393" s="190"/>
    </row>
    <row r="2394" spans="3:19" ht="16" x14ac:dyDescent="0.2">
      <c r="C2394" s="240">
        <v>34107</v>
      </c>
      <c r="D2394" s="185">
        <v>0.5</v>
      </c>
      <c r="E2394" s="190">
        <v>0.5</v>
      </c>
      <c r="H2394" s="190">
        <v>10.4</v>
      </c>
      <c r="I2394" s="190"/>
      <c r="J2394" s="191"/>
      <c r="L2394" s="190"/>
      <c r="M2394" s="190"/>
      <c r="N2394" s="190"/>
      <c r="O2394" s="190"/>
      <c r="P2394" s="190"/>
      <c r="Q2394" s="190"/>
      <c r="R2394" s="190"/>
      <c r="S2394" s="190"/>
    </row>
    <row r="2395" spans="3:19" ht="16" x14ac:dyDescent="0.2">
      <c r="C2395" s="240">
        <v>34107</v>
      </c>
      <c r="D2395" s="185">
        <v>0.5</v>
      </c>
      <c r="E2395" s="190">
        <v>10</v>
      </c>
      <c r="H2395" s="190">
        <v>8.6999999999999993</v>
      </c>
      <c r="I2395" s="190"/>
      <c r="J2395" s="191"/>
      <c r="L2395" s="190"/>
      <c r="M2395" s="190"/>
      <c r="N2395" s="190"/>
      <c r="O2395" s="190"/>
      <c r="P2395" s="190"/>
      <c r="Q2395" s="190"/>
      <c r="R2395" s="190"/>
      <c r="S2395" s="190"/>
    </row>
    <row r="2396" spans="3:19" ht="16" x14ac:dyDescent="0.2">
      <c r="C2396" s="240">
        <v>34107</v>
      </c>
      <c r="D2396" s="185">
        <v>0.5</v>
      </c>
      <c r="E2396" s="190">
        <v>15</v>
      </c>
      <c r="H2396" s="190">
        <v>7.6</v>
      </c>
      <c r="I2396" s="190"/>
      <c r="J2396" s="191"/>
      <c r="L2396" s="190"/>
      <c r="M2396" s="190"/>
      <c r="N2396" s="190"/>
      <c r="O2396" s="190"/>
      <c r="P2396" s="190"/>
      <c r="Q2396" s="190"/>
      <c r="R2396" s="190"/>
      <c r="S2396" s="190"/>
    </row>
    <row r="2397" spans="3:19" ht="16" x14ac:dyDescent="0.2">
      <c r="C2397" s="240"/>
      <c r="D2397" s="190"/>
      <c r="E2397" s="190"/>
      <c r="H2397" s="190"/>
      <c r="I2397" s="190"/>
      <c r="J2397" s="191"/>
      <c r="L2397" s="190"/>
      <c r="M2397" s="190"/>
      <c r="N2397" s="190"/>
      <c r="O2397" s="190"/>
      <c r="P2397" s="190"/>
      <c r="Q2397" s="190"/>
      <c r="R2397" s="190"/>
      <c r="S2397" s="190"/>
    </row>
    <row r="2398" spans="3:19" ht="16" x14ac:dyDescent="0.2">
      <c r="C2398" s="240">
        <v>33171</v>
      </c>
      <c r="D2398" s="190"/>
      <c r="E2398" s="190"/>
      <c r="H2398" s="191"/>
      <c r="I2398" s="191"/>
      <c r="J2398" s="191"/>
      <c r="L2398" s="190"/>
      <c r="M2398" s="190"/>
      <c r="N2398" s="190"/>
      <c r="O2398" s="190"/>
      <c r="P2398" s="190"/>
      <c r="Q2398" s="190"/>
      <c r="R2398" s="190"/>
      <c r="S2398" s="190"/>
    </row>
    <row r="2399" spans="3:19" ht="16" x14ac:dyDescent="0.2">
      <c r="C2399" s="240">
        <v>33171</v>
      </c>
      <c r="D2399" s="190"/>
      <c r="E2399" s="190">
        <v>0.1</v>
      </c>
      <c r="H2399" s="191">
        <v>10.4</v>
      </c>
      <c r="I2399" s="191">
        <v>10.4</v>
      </c>
      <c r="J2399" s="191"/>
      <c r="L2399" s="190"/>
      <c r="M2399" s="190"/>
      <c r="N2399" s="190"/>
      <c r="O2399" s="190"/>
      <c r="P2399" s="190"/>
      <c r="Q2399" s="190"/>
      <c r="R2399" s="190"/>
      <c r="S2399" s="190"/>
    </row>
    <row r="2400" spans="3:19" ht="16" x14ac:dyDescent="0.2">
      <c r="C2400" s="240">
        <v>33171</v>
      </c>
      <c r="D2400" s="190"/>
      <c r="E2400" s="190">
        <v>1</v>
      </c>
      <c r="H2400" s="191">
        <v>10.3</v>
      </c>
      <c r="I2400" s="191">
        <v>10.3</v>
      </c>
      <c r="J2400" s="191"/>
      <c r="L2400" s="190"/>
      <c r="M2400" s="190"/>
      <c r="N2400" s="190"/>
      <c r="O2400" s="190"/>
      <c r="P2400" s="190"/>
      <c r="Q2400" s="190"/>
      <c r="R2400" s="190"/>
      <c r="S2400" s="190"/>
    </row>
    <row r="2401" spans="2:19" ht="16" x14ac:dyDescent="0.2">
      <c r="C2401" s="240">
        <v>33171</v>
      </c>
      <c r="D2401" s="190"/>
      <c r="E2401" s="190">
        <v>5</v>
      </c>
      <c r="H2401" s="191">
        <v>10.3</v>
      </c>
      <c r="I2401" s="191">
        <v>10.3</v>
      </c>
      <c r="J2401" s="191"/>
      <c r="L2401" s="190"/>
      <c r="M2401" s="190"/>
      <c r="N2401" s="190"/>
      <c r="O2401" s="190"/>
      <c r="P2401" s="190"/>
      <c r="Q2401" s="190"/>
      <c r="R2401" s="190"/>
      <c r="S2401" s="190"/>
    </row>
    <row r="2402" spans="2:19" ht="16" x14ac:dyDescent="0.2">
      <c r="C2402" s="240">
        <v>33171</v>
      </c>
      <c r="D2402" s="190"/>
      <c r="E2402" s="190">
        <v>10</v>
      </c>
      <c r="H2402" s="191">
        <v>10.199999999999999</v>
      </c>
      <c r="I2402" s="191">
        <v>10.199999999999999</v>
      </c>
      <c r="J2402" s="191"/>
      <c r="L2402" s="190"/>
      <c r="M2402" s="190"/>
      <c r="N2402" s="190"/>
      <c r="O2402" s="190"/>
      <c r="P2402" s="190"/>
      <c r="Q2402" s="190"/>
      <c r="R2402" s="190"/>
      <c r="S2402" s="190"/>
    </row>
    <row r="2403" spans="2:19" ht="16" x14ac:dyDescent="0.2">
      <c r="C2403" s="240">
        <v>33171</v>
      </c>
      <c r="D2403" s="190"/>
      <c r="E2403" s="190">
        <v>15</v>
      </c>
      <c r="H2403" s="191">
        <v>10.199999999999999</v>
      </c>
      <c r="I2403" s="191">
        <v>10.199999999999999</v>
      </c>
      <c r="J2403" s="191"/>
      <c r="L2403" s="190"/>
      <c r="M2403" s="190"/>
      <c r="N2403" s="190"/>
      <c r="O2403" s="190"/>
      <c r="P2403" s="190"/>
      <c r="Q2403" s="190"/>
      <c r="R2403" s="190"/>
      <c r="S2403" s="190"/>
    </row>
    <row r="2404" spans="2:19" ht="16" x14ac:dyDescent="0.2">
      <c r="C2404" s="240">
        <v>33171</v>
      </c>
      <c r="D2404" s="190"/>
      <c r="E2404" s="190">
        <v>20</v>
      </c>
      <c r="H2404" s="191">
        <v>10.199999999999999</v>
      </c>
      <c r="I2404" s="191">
        <v>10.199999999999999</v>
      </c>
      <c r="J2404" s="191"/>
      <c r="L2404" s="190"/>
      <c r="M2404" s="190"/>
      <c r="N2404" s="190"/>
      <c r="O2404" s="190"/>
      <c r="P2404" s="190"/>
      <c r="Q2404" s="190"/>
      <c r="R2404" s="190"/>
      <c r="S2404" s="190"/>
    </row>
    <row r="2405" spans="2:19" ht="16" x14ac:dyDescent="0.2">
      <c r="C2405" s="240">
        <v>33171</v>
      </c>
      <c r="D2405" s="190"/>
      <c r="E2405" s="190">
        <v>25</v>
      </c>
      <c r="H2405" s="191">
        <v>9.6999999999999993</v>
      </c>
      <c r="I2405" s="191">
        <v>9.6999999999999993</v>
      </c>
      <c r="J2405" s="191"/>
      <c r="L2405" s="190"/>
      <c r="M2405" s="190"/>
      <c r="N2405" s="190"/>
      <c r="O2405" s="190"/>
      <c r="P2405" s="190"/>
      <c r="Q2405" s="190"/>
      <c r="R2405" s="190"/>
      <c r="S2405" s="190"/>
    </row>
    <row r="2406" spans="2:19" ht="16" x14ac:dyDescent="0.2">
      <c r="C2406" s="240">
        <v>33171</v>
      </c>
      <c r="D2406" s="190"/>
      <c r="E2406" s="190">
        <v>30</v>
      </c>
      <c r="H2406" s="191">
        <v>7.3</v>
      </c>
      <c r="I2406" s="244">
        <f>AVERAGE(I2399:I2405)</f>
        <v>10.185714285714287</v>
      </c>
      <c r="J2406" s="191"/>
      <c r="L2406" s="190"/>
      <c r="M2406" s="190"/>
      <c r="N2406" s="190"/>
      <c r="O2406" s="190"/>
      <c r="P2406" s="190"/>
      <c r="Q2406" s="190"/>
      <c r="R2406" s="190"/>
      <c r="S2406" s="190"/>
    </row>
    <row r="2407" spans="2:19" ht="16" x14ac:dyDescent="0.2">
      <c r="C2407" s="240">
        <v>33171</v>
      </c>
      <c r="D2407" s="190"/>
      <c r="E2407" s="190">
        <v>35</v>
      </c>
      <c r="H2407" s="191">
        <v>6.6</v>
      </c>
      <c r="I2407" s="191"/>
      <c r="J2407" s="191"/>
      <c r="L2407" s="190"/>
      <c r="M2407" s="190"/>
      <c r="N2407" s="190"/>
      <c r="O2407" s="190"/>
      <c r="P2407" s="190"/>
      <c r="Q2407" s="190"/>
      <c r="R2407" s="190"/>
      <c r="S2407" s="190"/>
    </row>
    <row r="2408" spans="2:19" ht="16" x14ac:dyDescent="0.2">
      <c r="C2408" s="240">
        <v>33171</v>
      </c>
      <c r="D2408" s="190"/>
      <c r="E2408" s="190">
        <v>40</v>
      </c>
      <c r="H2408" s="191">
        <v>5.9</v>
      </c>
      <c r="I2408" s="191"/>
      <c r="J2408" s="191"/>
      <c r="L2408" s="190"/>
      <c r="M2408" s="190"/>
      <c r="N2408" s="190"/>
      <c r="O2408" s="190"/>
      <c r="P2408" s="190"/>
      <c r="Q2408" s="190"/>
      <c r="R2408" s="190"/>
      <c r="S2408" s="190"/>
    </row>
    <row r="2409" spans="2:19" ht="16" x14ac:dyDescent="0.2">
      <c r="C2409" s="240">
        <v>33171</v>
      </c>
      <c r="D2409" s="190"/>
      <c r="E2409" s="190">
        <v>45</v>
      </c>
      <c r="H2409" s="191">
        <v>5.6</v>
      </c>
      <c r="I2409" s="191"/>
      <c r="J2409" s="191"/>
      <c r="L2409" s="190"/>
      <c r="M2409" s="190"/>
      <c r="N2409" s="190"/>
      <c r="O2409" s="190"/>
      <c r="P2409" s="190"/>
      <c r="Q2409" s="190"/>
      <c r="R2409" s="190"/>
      <c r="S2409" s="190"/>
    </row>
    <row r="2410" spans="2:19" ht="16" x14ac:dyDescent="0.2">
      <c r="C2410" s="240">
        <v>33171</v>
      </c>
      <c r="D2410" s="190"/>
      <c r="E2410" s="190">
        <v>50</v>
      </c>
      <c r="H2410" s="191">
        <v>5.6</v>
      </c>
      <c r="I2410" s="191"/>
      <c r="J2410" s="191"/>
      <c r="L2410" s="190"/>
      <c r="M2410" s="190"/>
      <c r="N2410" s="190"/>
      <c r="O2410" s="190"/>
      <c r="P2410" s="190"/>
      <c r="Q2410" s="190"/>
      <c r="R2410" s="190"/>
      <c r="S2410" s="190"/>
    </row>
    <row r="2411" spans="2:19" ht="16" x14ac:dyDescent="0.2">
      <c r="C2411" s="240">
        <v>33171</v>
      </c>
      <c r="D2411" s="190"/>
      <c r="E2411" s="190">
        <v>55</v>
      </c>
      <c r="H2411" s="191">
        <v>5.6</v>
      </c>
      <c r="I2411" s="191"/>
      <c r="J2411" s="191"/>
      <c r="L2411" s="190"/>
      <c r="M2411" s="190"/>
      <c r="N2411" s="190"/>
      <c r="O2411" s="190"/>
      <c r="P2411" s="190"/>
      <c r="Q2411" s="190"/>
      <c r="R2411" s="190"/>
      <c r="S2411" s="190"/>
    </row>
    <row r="2412" spans="2:19" ht="16" x14ac:dyDescent="0.2">
      <c r="C2412" s="240">
        <v>33171</v>
      </c>
      <c r="D2412" s="190"/>
      <c r="E2412" s="190">
        <v>60</v>
      </c>
      <c r="H2412" s="190"/>
      <c r="I2412" s="190"/>
      <c r="L2412" s="190"/>
      <c r="M2412" s="190"/>
      <c r="N2412" s="190"/>
      <c r="O2412" s="190"/>
      <c r="P2412" s="190"/>
      <c r="Q2412" s="190"/>
      <c r="R2412" s="190"/>
      <c r="S2412" s="190"/>
    </row>
    <row r="2413" spans="2:19" ht="16" x14ac:dyDescent="0.2">
      <c r="C2413" s="190"/>
      <c r="D2413" s="190"/>
      <c r="E2413" s="190"/>
      <c r="H2413" s="190"/>
      <c r="I2413" s="190"/>
      <c r="L2413" s="190"/>
      <c r="M2413" s="190"/>
      <c r="N2413" s="190"/>
      <c r="O2413" s="190"/>
      <c r="P2413" s="190"/>
      <c r="Q2413" s="190"/>
      <c r="R2413" s="190"/>
      <c r="S2413" s="190"/>
    </row>
    <row r="2414" spans="2:19" ht="16" x14ac:dyDescent="0.2">
      <c r="B2414" t="s">
        <v>257</v>
      </c>
      <c r="C2414" s="240">
        <v>33134</v>
      </c>
      <c r="D2414" s="190"/>
      <c r="E2414" s="190"/>
      <c r="H2414" s="191"/>
      <c r="I2414" s="191"/>
      <c r="J2414" s="191"/>
      <c r="L2414" s="190"/>
      <c r="M2414" s="190"/>
      <c r="N2414" s="190"/>
      <c r="O2414" s="190"/>
      <c r="P2414" s="190"/>
      <c r="Q2414" s="190"/>
      <c r="R2414" s="190"/>
      <c r="S2414" s="190"/>
    </row>
    <row r="2415" spans="2:19" ht="16" x14ac:dyDescent="0.2">
      <c r="C2415" s="240">
        <v>33134</v>
      </c>
      <c r="D2415" s="190"/>
      <c r="E2415" s="190">
        <v>0.1</v>
      </c>
      <c r="H2415" s="191">
        <v>18.7</v>
      </c>
      <c r="I2415" s="191">
        <v>18.7</v>
      </c>
      <c r="J2415" s="191"/>
      <c r="L2415" s="190"/>
      <c r="M2415" s="190"/>
      <c r="N2415" s="190"/>
      <c r="O2415" s="190"/>
      <c r="P2415" s="190"/>
      <c r="Q2415" s="190"/>
      <c r="R2415" s="190"/>
      <c r="S2415" s="190"/>
    </row>
    <row r="2416" spans="2:19" ht="16" x14ac:dyDescent="0.2">
      <c r="C2416" s="240">
        <v>33134</v>
      </c>
      <c r="D2416" s="190"/>
      <c r="E2416" s="190">
        <v>1</v>
      </c>
      <c r="H2416" s="191">
        <v>18.600000000000001</v>
      </c>
      <c r="I2416" s="191">
        <v>18.600000000000001</v>
      </c>
      <c r="J2416" s="191"/>
      <c r="L2416" s="190"/>
      <c r="M2416" s="190"/>
      <c r="N2416" s="190"/>
      <c r="O2416" s="190"/>
      <c r="P2416" s="190"/>
      <c r="Q2416" s="190"/>
      <c r="R2416" s="190"/>
      <c r="S2416" s="190"/>
    </row>
    <row r="2417" spans="2:19" ht="16" x14ac:dyDescent="0.2">
      <c r="C2417" s="240">
        <v>33134</v>
      </c>
      <c r="D2417" s="190"/>
      <c r="E2417" s="190">
        <v>5</v>
      </c>
      <c r="H2417" s="191">
        <v>18.399999999999999</v>
      </c>
      <c r="I2417" s="191">
        <v>18.399999999999999</v>
      </c>
      <c r="J2417" s="191"/>
      <c r="L2417" s="190"/>
      <c r="M2417" s="190"/>
      <c r="N2417" s="190"/>
      <c r="O2417" s="190"/>
      <c r="P2417" s="190"/>
      <c r="Q2417" s="190"/>
      <c r="R2417" s="190"/>
      <c r="S2417" s="190"/>
    </row>
    <row r="2418" spans="2:19" ht="16" x14ac:dyDescent="0.2">
      <c r="C2418" s="240">
        <v>33134</v>
      </c>
      <c r="D2418" s="190"/>
      <c r="E2418" s="190">
        <v>10</v>
      </c>
      <c r="H2418" s="191">
        <v>18.3</v>
      </c>
      <c r="I2418" s="191">
        <v>18.3</v>
      </c>
      <c r="J2418" s="191"/>
      <c r="L2418" s="190"/>
      <c r="M2418" s="190"/>
      <c r="N2418" s="190"/>
      <c r="O2418" s="190"/>
      <c r="P2418" s="190"/>
      <c r="Q2418" s="190"/>
      <c r="R2418" s="190"/>
      <c r="S2418" s="190"/>
    </row>
    <row r="2419" spans="2:19" ht="16" x14ac:dyDescent="0.2">
      <c r="C2419" s="240">
        <v>33134</v>
      </c>
      <c r="D2419" s="190"/>
      <c r="E2419" s="190">
        <v>15</v>
      </c>
      <c r="H2419" s="191">
        <v>10.8</v>
      </c>
      <c r="I2419" s="191">
        <f>AVERAGE(I2415:I2418)</f>
        <v>18.5</v>
      </c>
      <c r="J2419" s="191"/>
      <c r="L2419" s="190"/>
      <c r="M2419" s="190"/>
      <c r="N2419" s="190"/>
      <c r="O2419" s="190"/>
      <c r="P2419" s="190"/>
      <c r="Q2419" s="190"/>
      <c r="R2419" s="190"/>
      <c r="S2419" s="190"/>
    </row>
    <row r="2420" spans="2:19" ht="16" x14ac:dyDescent="0.2">
      <c r="C2420" s="240">
        <v>33134</v>
      </c>
      <c r="D2420" s="190"/>
      <c r="E2420" s="190">
        <v>20</v>
      </c>
      <c r="H2420" s="191">
        <v>7.6</v>
      </c>
      <c r="I2420" s="191"/>
      <c r="J2420" s="191"/>
      <c r="L2420" s="190"/>
      <c r="M2420" s="190"/>
      <c r="N2420" s="190"/>
      <c r="O2420" s="190"/>
      <c r="P2420" s="190"/>
      <c r="Q2420" s="190"/>
      <c r="R2420" s="190"/>
      <c r="S2420" s="190"/>
    </row>
    <row r="2421" spans="2:19" ht="16" x14ac:dyDescent="0.2">
      <c r="C2421" s="240">
        <v>33134</v>
      </c>
      <c r="D2421" s="190"/>
      <c r="E2421" s="190">
        <v>25</v>
      </c>
      <c r="H2421" s="191">
        <v>6.8</v>
      </c>
      <c r="I2421" s="191"/>
      <c r="J2421" s="191"/>
      <c r="L2421" s="190"/>
      <c r="M2421" s="190"/>
      <c r="N2421" s="190"/>
      <c r="O2421" s="190"/>
      <c r="P2421" s="190"/>
      <c r="Q2421" s="190"/>
      <c r="R2421" s="190"/>
      <c r="S2421" s="190"/>
    </row>
    <row r="2422" spans="2:19" ht="16" x14ac:dyDescent="0.2">
      <c r="C2422" s="240">
        <v>33134</v>
      </c>
      <c r="D2422" s="190"/>
      <c r="E2422" s="190">
        <v>30</v>
      </c>
      <c r="H2422" s="191">
        <v>6.4</v>
      </c>
      <c r="I2422" s="191"/>
      <c r="J2422" s="191"/>
      <c r="L2422" s="190"/>
      <c r="M2422" s="190"/>
      <c r="N2422" s="190"/>
      <c r="O2422" s="190"/>
      <c r="P2422" s="190"/>
      <c r="Q2422" s="190"/>
      <c r="R2422" s="190"/>
      <c r="S2422" s="190"/>
    </row>
    <row r="2423" spans="2:19" ht="16" x14ac:dyDescent="0.2">
      <c r="C2423" s="240">
        <v>33134</v>
      </c>
      <c r="D2423" s="190"/>
      <c r="E2423" s="190">
        <v>35</v>
      </c>
      <c r="H2423" s="191">
        <v>6.3</v>
      </c>
      <c r="I2423" s="191"/>
      <c r="J2423" s="191"/>
      <c r="L2423" s="190"/>
      <c r="M2423" s="190"/>
      <c r="N2423" s="190"/>
      <c r="O2423" s="190"/>
      <c r="P2423" s="190"/>
      <c r="Q2423" s="190"/>
      <c r="R2423" s="190"/>
      <c r="S2423" s="190"/>
    </row>
    <row r="2424" spans="2:19" ht="16" x14ac:dyDescent="0.2">
      <c r="C2424" s="240">
        <v>33134</v>
      </c>
      <c r="D2424" s="190"/>
      <c r="E2424" s="190">
        <v>40</v>
      </c>
      <c r="H2424" s="191">
        <v>6</v>
      </c>
      <c r="I2424" s="191"/>
      <c r="J2424" s="191"/>
      <c r="L2424" s="190"/>
      <c r="M2424" s="190"/>
      <c r="N2424" s="190"/>
      <c r="O2424" s="190"/>
      <c r="P2424" s="190"/>
      <c r="Q2424" s="190"/>
      <c r="R2424" s="190"/>
      <c r="S2424" s="190"/>
    </row>
    <row r="2425" spans="2:19" ht="16" x14ac:dyDescent="0.2">
      <c r="C2425" s="240">
        <v>33134</v>
      </c>
      <c r="D2425" s="190"/>
      <c r="E2425" s="190">
        <v>45</v>
      </c>
      <c r="H2425" s="191">
        <v>5.7</v>
      </c>
      <c r="I2425" s="191"/>
      <c r="J2425" s="191"/>
      <c r="L2425" s="190"/>
      <c r="M2425" s="190"/>
      <c r="N2425" s="190"/>
      <c r="O2425" s="190"/>
      <c r="P2425" s="190"/>
      <c r="Q2425" s="190"/>
      <c r="R2425" s="190"/>
      <c r="S2425" s="190"/>
    </row>
    <row r="2426" spans="2:19" ht="16" x14ac:dyDescent="0.2">
      <c r="C2426" s="240">
        <v>33134</v>
      </c>
      <c r="D2426" s="190"/>
      <c r="E2426" s="190">
        <v>50</v>
      </c>
      <c r="H2426" s="191">
        <v>5.5</v>
      </c>
      <c r="I2426" s="191"/>
      <c r="J2426" s="191"/>
      <c r="L2426" s="190"/>
      <c r="M2426" s="190"/>
      <c r="N2426" s="190"/>
      <c r="O2426" s="190"/>
      <c r="P2426" s="190"/>
      <c r="Q2426" s="190"/>
      <c r="R2426" s="190"/>
      <c r="S2426" s="190"/>
    </row>
    <row r="2427" spans="2:19" ht="16" x14ac:dyDescent="0.2">
      <c r="C2427" s="240">
        <v>33134</v>
      </c>
      <c r="D2427" s="190"/>
      <c r="E2427" s="190">
        <v>55</v>
      </c>
      <c r="H2427" s="191">
        <v>5.4</v>
      </c>
      <c r="I2427" s="191"/>
      <c r="J2427" s="191"/>
      <c r="L2427" s="190"/>
      <c r="M2427" s="190"/>
      <c r="N2427" s="190"/>
      <c r="O2427" s="190"/>
      <c r="P2427" s="190"/>
      <c r="Q2427" s="190"/>
      <c r="R2427" s="190"/>
      <c r="S2427" s="190"/>
    </row>
    <row r="2428" spans="2:19" ht="16" x14ac:dyDescent="0.2">
      <c r="C2428" s="240">
        <v>33134</v>
      </c>
      <c r="D2428" s="190"/>
      <c r="E2428" s="190">
        <v>60</v>
      </c>
      <c r="H2428" s="191">
        <v>5.4</v>
      </c>
      <c r="I2428" s="191"/>
      <c r="J2428" s="191"/>
      <c r="L2428" s="190"/>
      <c r="M2428" s="190"/>
      <c r="N2428" s="190"/>
      <c r="O2428" s="190"/>
      <c r="P2428" s="190"/>
      <c r="Q2428" s="190"/>
      <c r="R2428" s="190"/>
      <c r="S2428" s="190"/>
    </row>
    <row r="2429" spans="2:19" ht="16" x14ac:dyDescent="0.2">
      <c r="C2429" s="240"/>
      <c r="D2429" s="190"/>
      <c r="E2429" s="190"/>
      <c r="H2429" s="191"/>
      <c r="I2429" s="191"/>
      <c r="J2429" s="191"/>
      <c r="L2429" s="190"/>
      <c r="M2429" s="190"/>
      <c r="N2429" s="190"/>
      <c r="O2429" s="190"/>
      <c r="P2429" s="190"/>
      <c r="Q2429" s="190"/>
      <c r="R2429" s="190"/>
      <c r="S2429" s="190"/>
    </row>
    <row r="2430" spans="2:19" ht="16" x14ac:dyDescent="0.2">
      <c r="B2430" t="s">
        <v>257</v>
      </c>
      <c r="C2430" s="240">
        <v>33092</v>
      </c>
      <c r="D2430" s="190"/>
      <c r="E2430" s="190"/>
      <c r="H2430" s="191"/>
      <c r="I2430" s="191"/>
      <c r="J2430" s="191"/>
      <c r="L2430" s="190"/>
      <c r="M2430" s="190"/>
      <c r="N2430" s="190"/>
      <c r="O2430" s="190"/>
      <c r="P2430" s="190"/>
      <c r="Q2430" s="190"/>
      <c r="R2430" s="190"/>
      <c r="S2430" s="190"/>
    </row>
    <row r="2431" spans="2:19" ht="16" x14ac:dyDescent="0.2">
      <c r="C2431" s="240">
        <v>33092</v>
      </c>
      <c r="D2431" s="190"/>
      <c r="E2431" s="190">
        <v>0.1</v>
      </c>
      <c r="H2431" s="191">
        <v>22.6</v>
      </c>
      <c r="I2431" s="191">
        <v>22.6</v>
      </c>
      <c r="J2431" s="191"/>
      <c r="L2431" s="190"/>
      <c r="M2431" s="190"/>
      <c r="N2431" s="190"/>
      <c r="O2431" s="190"/>
      <c r="P2431" s="190"/>
      <c r="Q2431" s="190"/>
      <c r="R2431" s="190"/>
      <c r="S2431" s="190"/>
    </row>
    <row r="2432" spans="2:19" ht="16" x14ac:dyDescent="0.2">
      <c r="C2432" s="240">
        <v>33092</v>
      </c>
      <c r="D2432" s="190"/>
      <c r="E2432" s="190">
        <v>1</v>
      </c>
      <c r="H2432" s="191">
        <v>21.9</v>
      </c>
      <c r="I2432" s="191">
        <v>21.9</v>
      </c>
      <c r="J2432" s="191"/>
      <c r="L2432" s="190"/>
      <c r="M2432" s="190"/>
      <c r="N2432" s="190"/>
      <c r="O2432" s="190"/>
      <c r="P2432" s="190"/>
      <c r="Q2432" s="190"/>
      <c r="R2432" s="190"/>
      <c r="S2432" s="190"/>
    </row>
    <row r="2433" spans="2:19" ht="16" x14ac:dyDescent="0.2">
      <c r="C2433" s="240">
        <v>33092</v>
      </c>
      <c r="D2433" s="190"/>
      <c r="E2433" s="190">
        <v>5</v>
      </c>
      <c r="H2433" s="191">
        <v>14.6</v>
      </c>
      <c r="I2433" s="191">
        <v>14.6</v>
      </c>
      <c r="J2433" s="191"/>
      <c r="L2433" s="190"/>
      <c r="M2433" s="190"/>
      <c r="N2433" s="190"/>
      <c r="O2433" s="190"/>
      <c r="P2433" s="190"/>
      <c r="Q2433" s="190"/>
      <c r="R2433" s="190"/>
      <c r="S2433" s="190"/>
    </row>
    <row r="2434" spans="2:19" ht="16" x14ac:dyDescent="0.2">
      <c r="C2434" s="240">
        <v>33092</v>
      </c>
      <c r="D2434" s="190"/>
      <c r="E2434" s="190">
        <v>10</v>
      </c>
      <c r="H2434" s="191">
        <v>9</v>
      </c>
      <c r="I2434" s="244">
        <f>AVERAGE(I2431:I2433)</f>
        <v>19.7</v>
      </c>
      <c r="J2434" s="191"/>
      <c r="L2434" s="190"/>
      <c r="M2434" s="190"/>
      <c r="N2434" s="190"/>
      <c r="O2434" s="190"/>
      <c r="P2434" s="190"/>
      <c r="Q2434" s="190"/>
      <c r="R2434" s="190"/>
      <c r="S2434" s="190"/>
    </row>
    <row r="2435" spans="2:19" ht="16" x14ac:dyDescent="0.2">
      <c r="C2435" s="240">
        <v>33092</v>
      </c>
      <c r="D2435" s="190"/>
      <c r="E2435" s="190">
        <v>15</v>
      </c>
      <c r="H2435" s="191">
        <v>7.6</v>
      </c>
      <c r="I2435" s="191"/>
      <c r="J2435" s="191"/>
      <c r="L2435" s="190"/>
      <c r="M2435" s="190"/>
      <c r="N2435" s="190"/>
      <c r="O2435" s="190"/>
      <c r="P2435" s="190"/>
      <c r="Q2435" s="190"/>
      <c r="R2435" s="190"/>
      <c r="S2435" s="190"/>
    </row>
    <row r="2436" spans="2:19" ht="16" x14ac:dyDescent="0.2">
      <c r="C2436" s="240">
        <v>33092</v>
      </c>
      <c r="D2436" s="190"/>
      <c r="E2436" s="190">
        <v>20</v>
      </c>
      <c r="H2436" s="191">
        <v>6.6</v>
      </c>
      <c r="I2436" s="191"/>
      <c r="J2436" s="191"/>
      <c r="L2436" s="190"/>
      <c r="M2436" s="190"/>
      <c r="N2436" s="190"/>
      <c r="O2436" s="190"/>
      <c r="P2436" s="190"/>
      <c r="Q2436" s="190"/>
      <c r="R2436" s="190"/>
      <c r="S2436" s="190"/>
    </row>
    <row r="2437" spans="2:19" ht="16" x14ac:dyDescent="0.2">
      <c r="C2437" s="240">
        <v>33092</v>
      </c>
      <c r="D2437" s="190"/>
      <c r="E2437" s="190">
        <v>25</v>
      </c>
      <c r="H2437" s="191">
        <v>6.2</v>
      </c>
      <c r="I2437" s="191"/>
      <c r="J2437" s="191"/>
      <c r="L2437" s="190"/>
      <c r="M2437" s="190"/>
      <c r="N2437" s="190"/>
      <c r="O2437" s="190"/>
      <c r="P2437" s="190"/>
      <c r="Q2437" s="190"/>
      <c r="R2437" s="190"/>
      <c r="S2437" s="190"/>
    </row>
    <row r="2438" spans="2:19" ht="16" x14ac:dyDescent="0.2">
      <c r="C2438" s="240">
        <v>33092</v>
      </c>
      <c r="D2438" s="190"/>
      <c r="E2438" s="190">
        <v>30</v>
      </c>
      <c r="H2438" s="191">
        <v>5.9</v>
      </c>
      <c r="I2438" s="191"/>
      <c r="J2438" s="191"/>
      <c r="L2438" s="190"/>
      <c r="M2438" s="190"/>
      <c r="N2438" s="190"/>
      <c r="O2438" s="190"/>
      <c r="P2438" s="190"/>
      <c r="Q2438" s="190"/>
      <c r="R2438" s="190"/>
      <c r="S2438" s="190"/>
    </row>
    <row r="2439" spans="2:19" ht="16" x14ac:dyDescent="0.2">
      <c r="C2439" s="240">
        <v>33092</v>
      </c>
      <c r="D2439" s="190"/>
      <c r="E2439" s="190">
        <v>35</v>
      </c>
      <c r="H2439" s="191">
        <v>5.7</v>
      </c>
      <c r="I2439" s="191"/>
      <c r="J2439" s="191"/>
      <c r="L2439" s="190"/>
      <c r="M2439" s="190"/>
      <c r="N2439" s="190"/>
      <c r="O2439" s="190"/>
      <c r="P2439" s="190"/>
      <c r="Q2439" s="190"/>
      <c r="R2439" s="190"/>
      <c r="S2439" s="190"/>
    </row>
    <row r="2440" spans="2:19" ht="16" x14ac:dyDescent="0.2">
      <c r="C2440" s="240">
        <v>33092</v>
      </c>
      <c r="D2440" s="190"/>
      <c r="E2440" s="190">
        <v>40</v>
      </c>
      <c r="H2440" s="191">
        <v>5.4</v>
      </c>
      <c r="I2440" s="191"/>
      <c r="J2440" s="191"/>
      <c r="L2440" s="190"/>
      <c r="M2440" s="190"/>
      <c r="N2440" s="190"/>
      <c r="O2440" s="190"/>
      <c r="P2440" s="190"/>
      <c r="Q2440" s="190"/>
      <c r="R2440" s="190"/>
      <c r="S2440" s="190"/>
    </row>
    <row r="2441" spans="2:19" ht="16" x14ac:dyDescent="0.2">
      <c r="C2441" s="240">
        <v>33092</v>
      </c>
      <c r="D2441" s="190"/>
      <c r="E2441" s="190">
        <v>45</v>
      </c>
      <c r="H2441" s="191">
        <v>5.3</v>
      </c>
      <c r="I2441" s="191"/>
      <c r="J2441" s="191"/>
      <c r="L2441" s="190"/>
      <c r="M2441" s="190"/>
      <c r="N2441" s="190"/>
      <c r="O2441" s="190"/>
      <c r="P2441" s="190"/>
      <c r="Q2441" s="190"/>
      <c r="R2441" s="190"/>
      <c r="S2441" s="190"/>
    </row>
    <row r="2442" spans="2:19" ht="16" x14ac:dyDescent="0.2">
      <c r="C2442" s="240">
        <v>33092</v>
      </c>
      <c r="D2442" s="190"/>
      <c r="E2442" s="190">
        <v>50</v>
      </c>
      <c r="H2442" s="191">
        <v>5.2</v>
      </c>
      <c r="I2442" s="191"/>
      <c r="J2442" s="191"/>
      <c r="L2442" s="190"/>
      <c r="M2442" s="190"/>
      <c r="N2442" s="190"/>
      <c r="O2442" s="190"/>
      <c r="P2442" s="190"/>
      <c r="Q2442" s="190"/>
      <c r="R2442" s="190"/>
      <c r="S2442" s="190"/>
    </row>
    <row r="2443" spans="2:19" ht="16" x14ac:dyDescent="0.2">
      <c r="C2443" s="190"/>
      <c r="D2443" s="190"/>
      <c r="E2443" s="190"/>
      <c r="H2443" s="190"/>
      <c r="I2443" s="190"/>
      <c r="L2443" s="190"/>
      <c r="M2443" s="190"/>
      <c r="N2443" s="190"/>
      <c r="O2443" s="190"/>
      <c r="P2443" s="190"/>
      <c r="Q2443" s="190"/>
      <c r="R2443" s="190"/>
      <c r="S2443" s="190"/>
    </row>
    <row r="2444" spans="2:19" ht="16" x14ac:dyDescent="0.2">
      <c r="B2444" t="s">
        <v>257</v>
      </c>
      <c r="C2444" s="240">
        <v>33049</v>
      </c>
      <c r="D2444" s="190"/>
      <c r="E2444" s="190"/>
      <c r="H2444" s="198"/>
      <c r="I2444" s="198"/>
      <c r="L2444" s="190"/>
      <c r="M2444" s="190"/>
      <c r="N2444" s="190"/>
      <c r="O2444" s="190"/>
      <c r="P2444" s="190"/>
      <c r="Q2444" s="190"/>
      <c r="R2444" s="190"/>
      <c r="S2444" s="190"/>
    </row>
    <row r="2445" spans="2:19" ht="16" x14ac:dyDescent="0.2">
      <c r="C2445" s="240">
        <v>33049</v>
      </c>
      <c r="D2445" s="190"/>
      <c r="E2445" s="190">
        <v>0.1</v>
      </c>
      <c r="H2445" s="191">
        <v>17.3</v>
      </c>
      <c r="I2445" s="191"/>
      <c r="J2445" s="191"/>
      <c r="L2445" s="190"/>
      <c r="M2445" s="190"/>
      <c r="N2445" s="190"/>
      <c r="O2445" s="190"/>
      <c r="P2445" s="190"/>
      <c r="Q2445" s="190"/>
      <c r="R2445" s="190"/>
      <c r="S2445" s="190"/>
    </row>
    <row r="2446" spans="2:19" ht="16" x14ac:dyDescent="0.2">
      <c r="C2446" s="240">
        <v>33049</v>
      </c>
      <c r="D2446" s="190"/>
      <c r="E2446" s="190">
        <v>1</v>
      </c>
      <c r="H2446" s="191">
        <v>10.4</v>
      </c>
      <c r="I2446" s="191"/>
      <c r="J2446" s="191"/>
      <c r="L2446" s="190"/>
      <c r="M2446" s="190"/>
      <c r="N2446" s="190"/>
      <c r="O2446" s="190"/>
      <c r="P2446" s="190"/>
      <c r="Q2446" s="190"/>
      <c r="R2446" s="190"/>
      <c r="S2446" s="190"/>
    </row>
    <row r="2447" spans="2:19" ht="16" x14ac:dyDescent="0.2">
      <c r="C2447" s="240">
        <v>33049</v>
      </c>
      <c r="D2447" s="190"/>
      <c r="E2447" s="190">
        <v>5</v>
      </c>
      <c r="H2447" s="191">
        <v>9.6</v>
      </c>
      <c r="I2447" s="191"/>
      <c r="J2447" s="191"/>
      <c r="L2447" s="190"/>
      <c r="M2447" s="190"/>
      <c r="N2447" s="190"/>
      <c r="O2447" s="190"/>
      <c r="P2447" s="190"/>
      <c r="Q2447" s="190"/>
      <c r="R2447" s="190"/>
      <c r="S2447" s="190"/>
    </row>
    <row r="2448" spans="2:19" ht="16" x14ac:dyDescent="0.2">
      <c r="C2448" s="240">
        <v>33049</v>
      </c>
      <c r="D2448" s="190"/>
      <c r="E2448" s="190">
        <v>10</v>
      </c>
      <c r="H2448" s="191">
        <v>7.3</v>
      </c>
      <c r="I2448" s="191"/>
      <c r="J2448" s="191"/>
      <c r="L2448" s="190"/>
      <c r="M2448" s="190"/>
      <c r="N2448" s="190"/>
      <c r="O2448" s="190"/>
      <c r="P2448" s="190"/>
      <c r="Q2448" s="190"/>
      <c r="R2448" s="190"/>
      <c r="S2448" s="190"/>
    </row>
    <row r="2449" spans="2:19" ht="16" x14ac:dyDescent="0.2">
      <c r="C2449" s="240">
        <v>33049</v>
      </c>
      <c r="D2449" s="190"/>
      <c r="E2449" s="190">
        <v>15</v>
      </c>
      <c r="H2449" s="191">
        <v>6.4</v>
      </c>
      <c r="I2449" s="191"/>
      <c r="J2449" s="191"/>
      <c r="L2449" s="190"/>
      <c r="M2449" s="190"/>
      <c r="N2449" s="190"/>
      <c r="O2449" s="190"/>
      <c r="P2449" s="190"/>
      <c r="Q2449" s="190"/>
      <c r="R2449" s="190"/>
      <c r="S2449" s="190"/>
    </row>
    <row r="2450" spans="2:19" ht="16" x14ac:dyDescent="0.2">
      <c r="C2450" s="240">
        <v>33049</v>
      </c>
      <c r="D2450" s="190"/>
      <c r="E2450" s="190">
        <v>20</v>
      </c>
      <c r="H2450" s="191">
        <v>5.9</v>
      </c>
      <c r="I2450" s="191"/>
      <c r="J2450" s="191"/>
      <c r="L2450" s="190"/>
      <c r="M2450" s="190"/>
      <c r="N2450" s="190"/>
      <c r="O2450" s="190"/>
      <c r="P2450" s="190"/>
      <c r="Q2450" s="190"/>
      <c r="R2450" s="190"/>
      <c r="S2450" s="190"/>
    </row>
    <row r="2451" spans="2:19" ht="16" x14ac:dyDescent="0.2">
      <c r="C2451" s="240">
        <v>33049</v>
      </c>
      <c r="D2451" s="190"/>
      <c r="E2451" s="190">
        <v>25</v>
      </c>
      <c r="H2451" s="191">
        <v>5.7</v>
      </c>
      <c r="I2451" s="191"/>
      <c r="J2451" s="191"/>
      <c r="L2451" s="190"/>
      <c r="M2451" s="190"/>
      <c r="N2451" s="190"/>
      <c r="O2451" s="190"/>
      <c r="P2451" s="190"/>
      <c r="Q2451" s="190"/>
      <c r="R2451" s="190"/>
      <c r="S2451" s="190"/>
    </row>
    <row r="2452" spans="2:19" ht="16" x14ac:dyDescent="0.2">
      <c r="C2452" s="240">
        <v>33049</v>
      </c>
      <c r="D2452" s="190"/>
      <c r="E2452" s="190">
        <v>30</v>
      </c>
      <c r="H2452" s="191">
        <v>5.7</v>
      </c>
      <c r="I2452" s="191"/>
      <c r="J2452" s="191"/>
      <c r="L2452" s="190"/>
      <c r="M2452" s="190"/>
      <c r="N2452" s="190"/>
      <c r="O2452" s="190"/>
      <c r="P2452" s="190"/>
      <c r="Q2452" s="190"/>
      <c r="R2452" s="190"/>
      <c r="S2452" s="190"/>
    </row>
    <row r="2453" spans="2:19" ht="16" x14ac:dyDescent="0.2">
      <c r="C2453" s="240">
        <v>33049</v>
      </c>
      <c r="D2453" s="190"/>
      <c r="E2453" s="190">
        <v>35</v>
      </c>
      <c r="H2453" s="191">
        <v>5.0999999999999996</v>
      </c>
      <c r="I2453" s="191"/>
      <c r="J2453" s="191"/>
      <c r="L2453" s="190"/>
      <c r="M2453" s="190"/>
      <c r="N2453" s="190"/>
      <c r="O2453" s="190"/>
      <c r="P2453" s="190"/>
      <c r="Q2453" s="190"/>
      <c r="R2453" s="190"/>
      <c r="S2453" s="190"/>
    </row>
    <row r="2454" spans="2:19" ht="16" x14ac:dyDescent="0.2">
      <c r="C2454" s="240">
        <v>33049</v>
      </c>
      <c r="D2454" s="190"/>
      <c r="E2454" s="190">
        <v>40</v>
      </c>
      <c r="H2454" s="191">
        <v>5.0999999999999996</v>
      </c>
      <c r="I2454" s="191"/>
      <c r="J2454" s="191"/>
      <c r="L2454" s="190"/>
      <c r="M2454" s="190"/>
      <c r="N2454" s="190"/>
      <c r="O2454" s="190"/>
      <c r="P2454" s="190"/>
      <c r="Q2454" s="190"/>
      <c r="R2454" s="190"/>
      <c r="S2454" s="190"/>
    </row>
    <row r="2455" spans="2:19" ht="16" x14ac:dyDescent="0.2">
      <c r="C2455" s="240">
        <v>33049</v>
      </c>
      <c r="D2455" s="190"/>
      <c r="E2455" s="190">
        <v>45</v>
      </c>
      <c r="H2455" s="191">
        <v>5.0999999999999996</v>
      </c>
      <c r="I2455" s="191"/>
      <c r="J2455" s="191"/>
      <c r="L2455" s="190"/>
      <c r="M2455" s="190"/>
      <c r="N2455" s="190"/>
      <c r="O2455" s="190"/>
      <c r="P2455" s="190"/>
      <c r="Q2455" s="190"/>
      <c r="R2455" s="190"/>
      <c r="S2455" s="190"/>
    </row>
    <row r="2456" spans="2:19" ht="16" x14ac:dyDescent="0.2">
      <c r="C2456" s="240">
        <v>33049</v>
      </c>
      <c r="D2456" s="190"/>
      <c r="E2456" s="190">
        <v>50</v>
      </c>
      <c r="H2456" s="191">
        <v>5.0999999999999996</v>
      </c>
      <c r="I2456" s="191"/>
      <c r="J2456" s="191"/>
      <c r="L2456" s="190"/>
      <c r="M2456" s="190"/>
      <c r="N2456" s="190"/>
      <c r="O2456" s="190"/>
      <c r="P2456" s="190"/>
      <c r="Q2456" s="190"/>
      <c r="R2456" s="190"/>
      <c r="S2456" s="190"/>
    </row>
    <row r="2457" spans="2:19" ht="16" x14ac:dyDescent="0.2">
      <c r="C2457" s="240">
        <v>33049</v>
      </c>
      <c r="D2457" s="190"/>
      <c r="E2457" s="190">
        <v>55</v>
      </c>
      <c r="H2457" s="191">
        <v>5.0999999999999996</v>
      </c>
      <c r="I2457" s="191"/>
      <c r="J2457" s="191"/>
      <c r="L2457" s="190"/>
      <c r="M2457" s="190"/>
      <c r="N2457" s="190"/>
      <c r="O2457" s="190"/>
      <c r="P2457" s="190"/>
      <c r="Q2457" s="190"/>
      <c r="R2457" s="190"/>
      <c r="S2457" s="190"/>
    </row>
    <row r="2458" spans="2:19" ht="16" x14ac:dyDescent="0.2">
      <c r="C2458" s="240">
        <v>33049</v>
      </c>
      <c r="D2458" s="190"/>
      <c r="E2458" s="190">
        <v>60</v>
      </c>
      <c r="H2458" s="191">
        <v>5.0999999999999996</v>
      </c>
      <c r="I2458" s="191"/>
      <c r="J2458" s="191"/>
      <c r="L2458" s="190"/>
      <c r="M2458" s="190"/>
      <c r="N2458" s="190"/>
      <c r="O2458" s="190"/>
      <c r="P2458" s="190"/>
      <c r="Q2458" s="190"/>
      <c r="R2458" s="190"/>
      <c r="S2458" s="190"/>
    </row>
    <row r="2459" spans="2:19" ht="16" x14ac:dyDescent="0.2">
      <c r="C2459" s="240">
        <v>33049</v>
      </c>
      <c r="D2459" s="190"/>
      <c r="E2459" s="190">
        <v>65</v>
      </c>
      <c r="H2459" s="191">
        <v>5.0999999999999996</v>
      </c>
      <c r="I2459" s="191"/>
      <c r="J2459" s="191"/>
      <c r="L2459" s="190"/>
      <c r="M2459" s="190"/>
      <c r="N2459" s="190"/>
      <c r="O2459" s="190"/>
      <c r="P2459" s="190"/>
      <c r="Q2459" s="190"/>
      <c r="R2459" s="190"/>
      <c r="S2459" s="190"/>
    </row>
    <row r="2460" spans="2:19" ht="16" x14ac:dyDescent="0.2">
      <c r="C2460" s="240">
        <v>33049</v>
      </c>
      <c r="D2460" s="190"/>
      <c r="E2460" s="190">
        <v>70</v>
      </c>
      <c r="H2460" s="191">
        <v>5</v>
      </c>
      <c r="I2460" s="191"/>
      <c r="J2460" s="191"/>
      <c r="L2460" s="190"/>
      <c r="M2460" s="190"/>
      <c r="N2460" s="190"/>
      <c r="O2460" s="190"/>
      <c r="P2460" s="190"/>
      <c r="Q2460" s="190"/>
      <c r="R2460" s="190"/>
      <c r="S2460" s="190"/>
    </row>
    <row r="2461" spans="2:19" ht="15.75" customHeight="1" x14ac:dyDescent="0.2">
      <c r="B2461" s="1">
        <v>34.4</v>
      </c>
      <c r="C2461" s="208">
        <v>34757</v>
      </c>
      <c r="D2461" s="19">
        <v>0.5</v>
      </c>
      <c r="E2461" s="3"/>
      <c r="F2461" s="3"/>
      <c r="G2461" s="3"/>
      <c r="H2461" s="3"/>
      <c r="I2461" s="3"/>
      <c r="K2461" s="1">
        <v>9.5</v>
      </c>
      <c r="L2461" s="3"/>
      <c r="M2461" s="3"/>
      <c r="N2461" s="3"/>
      <c r="O2461" s="3"/>
      <c r="P2461" s="3"/>
      <c r="Q2461" s="3"/>
      <c r="R2461" s="3"/>
      <c r="S2461" s="3"/>
    </row>
    <row r="2462" spans="2:19" ht="15.75" customHeight="1" x14ac:dyDescent="0.2">
      <c r="C2462" s="208">
        <v>34757</v>
      </c>
      <c r="D2462" s="19">
        <v>0.5</v>
      </c>
      <c r="E2462" s="3">
        <v>0.1</v>
      </c>
      <c r="F2462" s="3">
        <v>12.1</v>
      </c>
      <c r="G2462" s="3"/>
      <c r="H2462" s="3">
        <v>2.6</v>
      </c>
      <c r="I2462" s="3"/>
      <c r="L2462" s="3"/>
      <c r="M2462" s="3"/>
      <c r="N2462" s="3"/>
      <c r="O2462" s="3"/>
      <c r="P2462" s="3"/>
      <c r="Q2462" s="3"/>
      <c r="R2462" s="3"/>
      <c r="S2462" s="3"/>
    </row>
    <row r="2463" spans="2:19" ht="15.75" customHeight="1" x14ac:dyDescent="0.2">
      <c r="C2463" s="208">
        <v>34757</v>
      </c>
      <c r="D2463" s="19">
        <v>0.5</v>
      </c>
      <c r="E2463" s="3">
        <v>10</v>
      </c>
      <c r="F2463" s="3">
        <v>11.8</v>
      </c>
      <c r="G2463" s="3"/>
      <c r="H2463" s="3">
        <v>2.5</v>
      </c>
      <c r="I2463" s="3"/>
      <c r="L2463" s="3"/>
      <c r="M2463" s="3"/>
      <c r="N2463" s="3"/>
      <c r="O2463" s="3"/>
      <c r="P2463" s="3"/>
      <c r="Q2463" s="3"/>
      <c r="R2463" s="3"/>
      <c r="S2463" s="3"/>
    </row>
    <row r="2464" spans="2:19" ht="15.75" customHeight="1" x14ac:dyDescent="0.2">
      <c r="C2464" s="208">
        <v>34757</v>
      </c>
      <c r="D2464" s="19">
        <v>0.5</v>
      </c>
      <c r="E2464" s="3">
        <v>20</v>
      </c>
      <c r="F2464" s="3">
        <v>11.7</v>
      </c>
      <c r="G2464" s="3"/>
      <c r="H2464" s="3">
        <v>2.5</v>
      </c>
      <c r="I2464" s="3"/>
      <c r="L2464" s="3"/>
      <c r="M2464" s="3"/>
      <c r="N2464" s="3"/>
      <c r="O2464" s="3"/>
      <c r="P2464" s="3"/>
      <c r="Q2464" s="3"/>
      <c r="R2464" s="3"/>
      <c r="S2464" s="3"/>
    </row>
    <row r="2465" spans="2:19" ht="15.75" customHeight="1" x14ac:dyDescent="0.2">
      <c r="C2465" s="208">
        <v>34757</v>
      </c>
      <c r="D2465" s="19">
        <v>0.5</v>
      </c>
      <c r="E2465" s="3">
        <v>30</v>
      </c>
      <c r="F2465" s="3">
        <v>11.6</v>
      </c>
      <c r="G2465" s="3"/>
      <c r="H2465" s="3">
        <v>2.5</v>
      </c>
      <c r="I2465" s="3"/>
      <c r="L2465" s="3"/>
      <c r="M2465" s="3"/>
      <c r="N2465" s="3"/>
      <c r="O2465" s="3"/>
      <c r="P2465" s="3"/>
      <c r="Q2465" s="3"/>
      <c r="R2465" s="3"/>
      <c r="S2465" s="3"/>
    </row>
    <row r="2466" spans="2:19" ht="15.75" customHeight="1" x14ac:dyDescent="0.2">
      <c r="C2466" s="208">
        <v>34757</v>
      </c>
      <c r="D2466" s="19">
        <v>0.5</v>
      </c>
      <c r="E2466" s="3">
        <v>34</v>
      </c>
      <c r="F2466" s="3">
        <v>11.4</v>
      </c>
      <c r="G2466" s="3"/>
      <c r="H2466" s="3">
        <v>2.6</v>
      </c>
      <c r="I2466" s="3"/>
      <c r="L2466" s="3"/>
      <c r="M2466" s="3"/>
      <c r="N2466" s="3"/>
      <c r="O2466" s="3"/>
      <c r="P2466" s="3"/>
      <c r="Q2466" s="3"/>
      <c r="R2466" s="3"/>
      <c r="S2466" s="3"/>
    </row>
    <row r="2467" spans="2:19" ht="15.75" customHeight="1" x14ac:dyDescent="0.2">
      <c r="C2467" s="208"/>
      <c r="D2467" s="19"/>
      <c r="E2467" s="3"/>
      <c r="F2467" s="3"/>
      <c r="G2467" s="3"/>
      <c r="H2467" s="3"/>
      <c r="I2467" s="3"/>
      <c r="L2467" s="3"/>
      <c r="M2467" s="3"/>
      <c r="N2467" s="3"/>
      <c r="O2467" s="3"/>
      <c r="P2467" s="3"/>
      <c r="Q2467" s="3"/>
      <c r="R2467" s="3"/>
      <c r="S2467" s="3"/>
    </row>
    <row r="2468" spans="2:19" ht="15.75" customHeight="1" x14ac:dyDescent="0.2">
      <c r="B2468" s="1">
        <v>46.9</v>
      </c>
      <c r="C2468" s="208">
        <v>34781</v>
      </c>
      <c r="D2468" s="19"/>
      <c r="E2468" s="3"/>
      <c r="F2468" s="3"/>
      <c r="G2468" s="3"/>
      <c r="H2468" s="3"/>
      <c r="I2468" s="3"/>
      <c r="K2468" s="1">
        <v>10.5</v>
      </c>
      <c r="L2468" s="3"/>
      <c r="M2468" s="3"/>
      <c r="N2468" s="3"/>
      <c r="O2468" s="3"/>
      <c r="P2468" s="3"/>
      <c r="Q2468" s="3"/>
      <c r="R2468" s="3"/>
      <c r="S2468" s="3"/>
    </row>
    <row r="2469" spans="2:19" ht="15.75" customHeight="1" x14ac:dyDescent="0.2">
      <c r="C2469" s="208"/>
      <c r="D2469" s="19"/>
      <c r="E2469" s="3"/>
      <c r="F2469" s="3"/>
      <c r="G2469" s="3"/>
      <c r="H2469" s="3"/>
      <c r="I2469" s="3"/>
      <c r="L2469" s="3"/>
      <c r="M2469" s="3"/>
      <c r="N2469" s="3"/>
      <c r="O2469" s="3"/>
      <c r="P2469" s="3"/>
      <c r="Q2469" s="3"/>
      <c r="R2469" s="3"/>
      <c r="S2469" s="3"/>
    </row>
    <row r="2470" spans="2:19" ht="15.75" customHeight="1" x14ac:dyDescent="0.2">
      <c r="B2470" s="1">
        <v>47</v>
      </c>
      <c r="C2470" s="208">
        <v>34801</v>
      </c>
      <c r="D2470" s="19">
        <v>0.5</v>
      </c>
      <c r="E2470" s="3"/>
      <c r="G2470" s="3"/>
      <c r="H2470" s="3"/>
      <c r="I2470" s="3"/>
      <c r="K2470" s="1">
        <v>7.7</v>
      </c>
      <c r="L2470" s="3"/>
      <c r="M2470" s="3"/>
      <c r="N2470" s="3"/>
      <c r="O2470" s="3"/>
      <c r="P2470" s="3"/>
      <c r="Q2470" s="3"/>
      <c r="R2470" s="3"/>
      <c r="S2470" s="3"/>
    </row>
    <row r="2471" spans="2:19" ht="15.75" customHeight="1" x14ac:dyDescent="0.2">
      <c r="C2471" s="208">
        <v>34801</v>
      </c>
      <c r="D2471" s="19">
        <v>0.5</v>
      </c>
      <c r="E2471" s="3">
        <v>0.1</v>
      </c>
      <c r="F2471" s="3">
        <v>12.8</v>
      </c>
      <c r="G2471" s="3"/>
      <c r="H2471" s="3">
        <v>4.0999999999999996</v>
      </c>
      <c r="I2471" s="3"/>
      <c r="L2471" s="3"/>
      <c r="M2471" s="3"/>
      <c r="N2471" s="3"/>
      <c r="O2471" s="3"/>
      <c r="P2471" s="3"/>
      <c r="Q2471" s="3"/>
      <c r="R2471" s="3"/>
      <c r="S2471" s="3"/>
    </row>
    <row r="2472" spans="2:19" ht="15.75" customHeight="1" x14ac:dyDescent="0.2">
      <c r="C2472" s="208">
        <v>34801</v>
      </c>
      <c r="D2472" s="19">
        <v>0.5</v>
      </c>
      <c r="E2472" s="3">
        <v>10</v>
      </c>
      <c r="F2472" s="3">
        <v>12.4</v>
      </c>
      <c r="G2472" s="3"/>
      <c r="H2472" s="3">
        <v>3.9</v>
      </c>
      <c r="I2472" s="3"/>
      <c r="L2472" s="3"/>
      <c r="M2472" s="3"/>
      <c r="N2472" s="3"/>
      <c r="O2472" s="3"/>
      <c r="P2472" s="3"/>
      <c r="Q2472" s="3"/>
      <c r="R2472" s="3"/>
      <c r="S2472" s="3"/>
    </row>
    <row r="2473" spans="2:19" ht="15.75" customHeight="1" x14ac:dyDescent="0.2">
      <c r="C2473" s="208">
        <v>34801</v>
      </c>
      <c r="D2473" s="19">
        <v>0.5</v>
      </c>
      <c r="E2473" s="3">
        <v>20</v>
      </c>
      <c r="F2473" s="3">
        <v>12.2</v>
      </c>
      <c r="G2473" s="3"/>
      <c r="H2473" s="3">
        <v>3.9</v>
      </c>
      <c r="I2473" s="3"/>
      <c r="L2473" s="3"/>
      <c r="M2473" s="3"/>
      <c r="N2473" s="3"/>
      <c r="O2473" s="3"/>
      <c r="P2473" s="3"/>
      <c r="Q2473" s="3"/>
      <c r="R2473" s="3"/>
      <c r="S2473" s="3"/>
    </row>
    <row r="2474" spans="2:19" ht="15.75" customHeight="1" x14ac:dyDescent="0.2">
      <c r="C2474" s="208">
        <v>34801</v>
      </c>
      <c r="D2474" s="19">
        <v>0.5</v>
      </c>
      <c r="E2474" s="3">
        <v>30</v>
      </c>
      <c r="F2474" s="3">
        <v>12</v>
      </c>
      <c r="G2474" s="3"/>
      <c r="H2474" s="3">
        <v>3.9</v>
      </c>
      <c r="I2474" s="3"/>
      <c r="L2474" s="3"/>
      <c r="M2474" s="3"/>
      <c r="N2474" s="3"/>
      <c r="O2474" s="3"/>
      <c r="P2474" s="3"/>
      <c r="Q2474" s="3"/>
      <c r="R2474" s="3"/>
      <c r="S2474" s="3"/>
    </row>
    <row r="2475" spans="2:19" ht="15.75" customHeight="1" x14ac:dyDescent="0.2">
      <c r="C2475" s="208">
        <v>34801</v>
      </c>
      <c r="D2475" s="19">
        <v>0.5</v>
      </c>
      <c r="E2475" s="3">
        <v>40</v>
      </c>
      <c r="F2475" s="3">
        <v>12</v>
      </c>
      <c r="G2475" s="3"/>
      <c r="H2475" s="3">
        <v>3.9</v>
      </c>
      <c r="I2475" s="3"/>
      <c r="L2475" s="3"/>
      <c r="M2475" s="3"/>
      <c r="N2475" s="3"/>
      <c r="O2475" s="3"/>
      <c r="P2475" s="3"/>
      <c r="Q2475" s="3"/>
      <c r="R2475" s="3"/>
      <c r="S2475" s="3"/>
    </row>
    <row r="2476" spans="2:19" ht="15.75" customHeight="1" x14ac:dyDescent="0.2">
      <c r="C2476" s="208">
        <v>34801</v>
      </c>
      <c r="D2476" s="19">
        <v>0.5</v>
      </c>
      <c r="E2476" s="3">
        <v>46</v>
      </c>
      <c r="F2476" s="3">
        <v>11.9</v>
      </c>
      <c r="G2476" s="3"/>
      <c r="H2476" s="3">
        <v>3.9</v>
      </c>
      <c r="I2476" s="3"/>
      <c r="L2476" s="3"/>
      <c r="M2476" s="3"/>
      <c r="N2476" s="3"/>
      <c r="O2476" s="3"/>
      <c r="P2476" s="3"/>
      <c r="Q2476" s="3"/>
      <c r="R2476" s="3"/>
      <c r="S2476" s="3"/>
    </row>
    <row r="2477" spans="2:19" ht="15.75" customHeight="1" x14ac:dyDescent="0.2">
      <c r="C2477" s="208"/>
      <c r="D2477" s="19"/>
      <c r="E2477" s="3"/>
      <c r="F2477" s="3"/>
      <c r="G2477" s="3"/>
      <c r="H2477" s="3"/>
      <c r="I2477" s="3"/>
      <c r="L2477" s="3"/>
      <c r="M2477" s="3"/>
      <c r="N2477" s="3"/>
      <c r="O2477" s="3"/>
      <c r="P2477" s="3"/>
      <c r="Q2477" s="3"/>
      <c r="R2477" s="3"/>
      <c r="S2477" s="3"/>
    </row>
    <row r="2478" spans="2:19" ht="15.75" customHeight="1" x14ac:dyDescent="0.2">
      <c r="C2478" s="208"/>
      <c r="D2478" s="19"/>
      <c r="E2478" s="3"/>
      <c r="F2478" s="3"/>
      <c r="G2478" s="3"/>
      <c r="H2478" s="3"/>
      <c r="I2478" s="3"/>
      <c r="L2478" s="3"/>
      <c r="M2478" s="3"/>
      <c r="N2478" s="3"/>
      <c r="O2478" s="3"/>
      <c r="P2478" s="3"/>
      <c r="Q2478" s="3"/>
      <c r="R2478" s="3"/>
      <c r="S2478" s="3"/>
    </row>
    <row r="2479" spans="2:19" ht="15.75" customHeight="1" x14ac:dyDescent="0.2">
      <c r="B2479" s="1">
        <v>43.9</v>
      </c>
      <c r="C2479" s="208">
        <v>34823</v>
      </c>
      <c r="D2479" s="19">
        <v>0.5</v>
      </c>
      <c r="E2479" s="3"/>
      <c r="F2479" s="3"/>
      <c r="G2479" s="3"/>
      <c r="H2479" s="3"/>
      <c r="I2479" s="3"/>
      <c r="J2479" s="1">
        <v>9.1999999999999993</v>
      </c>
      <c r="L2479" s="3"/>
      <c r="M2479" s="3"/>
      <c r="N2479" s="3"/>
      <c r="O2479" s="3"/>
      <c r="P2479" s="3"/>
      <c r="Q2479" s="3"/>
      <c r="R2479" s="3"/>
      <c r="S2479" s="3"/>
    </row>
    <row r="2480" spans="2:19" ht="15.75" customHeight="1" x14ac:dyDescent="0.2">
      <c r="C2480" s="208">
        <v>34823</v>
      </c>
      <c r="D2480" s="19">
        <v>0.5</v>
      </c>
      <c r="E2480" s="3">
        <v>0.1</v>
      </c>
      <c r="F2480" s="3">
        <v>12.1</v>
      </c>
      <c r="G2480" s="3"/>
      <c r="H2480" s="3">
        <v>7.4</v>
      </c>
      <c r="I2480" s="3"/>
      <c r="L2480" s="3"/>
      <c r="M2480" s="3"/>
      <c r="N2480" s="3"/>
      <c r="O2480" s="3"/>
      <c r="P2480" s="3"/>
      <c r="Q2480" s="3"/>
      <c r="R2480" s="3"/>
      <c r="S2480" s="3"/>
    </row>
    <row r="2481" spans="2:19" ht="15.75" customHeight="1" x14ac:dyDescent="0.2">
      <c r="C2481" s="208">
        <v>34823</v>
      </c>
      <c r="D2481" s="19">
        <v>0.5</v>
      </c>
      <c r="E2481" s="3">
        <v>10</v>
      </c>
      <c r="F2481" s="3">
        <v>11.7</v>
      </c>
      <c r="G2481" s="3"/>
      <c r="H2481" s="3">
        <v>6.4</v>
      </c>
      <c r="I2481" s="3"/>
      <c r="L2481" s="3"/>
      <c r="M2481" s="3"/>
      <c r="N2481" s="3"/>
      <c r="O2481" s="3"/>
      <c r="P2481" s="3"/>
      <c r="Q2481" s="3"/>
      <c r="R2481" s="3"/>
      <c r="S2481" s="3"/>
    </row>
    <row r="2482" spans="2:19" ht="15.75" customHeight="1" x14ac:dyDescent="0.2">
      <c r="C2482" s="208">
        <v>34823</v>
      </c>
      <c r="D2482" s="19">
        <v>0.5</v>
      </c>
      <c r="E2482" s="3">
        <v>20</v>
      </c>
      <c r="F2482" s="3">
        <v>11.7</v>
      </c>
      <c r="G2482" s="3"/>
      <c r="H2482" s="3">
        <v>5.4</v>
      </c>
      <c r="I2482" s="3"/>
      <c r="L2482" s="3"/>
      <c r="M2482" s="3"/>
      <c r="N2482" s="3"/>
      <c r="O2482" s="3"/>
      <c r="P2482" s="3"/>
      <c r="Q2482" s="3"/>
      <c r="R2482" s="3"/>
      <c r="S2482" s="3"/>
    </row>
    <row r="2483" spans="2:19" ht="15.75" customHeight="1" x14ac:dyDescent="0.2">
      <c r="C2483" s="208">
        <v>34823</v>
      </c>
      <c r="D2483" s="19">
        <v>0.5</v>
      </c>
      <c r="E2483" s="3">
        <v>30</v>
      </c>
      <c r="F2483" s="3">
        <v>11.5</v>
      </c>
      <c r="G2483" s="3"/>
      <c r="H2483" s="3">
        <v>5.2</v>
      </c>
      <c r="I2483" s="3"/>
      <c r="L2483" s="3"/>
      <c r="M2483" s="3"/>
      <c r="N2483" s="3"/>
      <c r="O2483" s="3"/>
      <c r="P2483" s="3"/>
      <c r="Q2483" s="3"/>
      <c r="R2483" s="3"/>
      <c r="S2483" s="3"/>
    </row>
    <row r="2484" spans="2:19" ht="15.75" customHeight="1" x14ac:dyDescent="0.2">
      <c r="C2484" s="208">
        <v>34823</v>
      </c>
      <c r="D2484" s="19">
        <v>0.5</v>
      </c>
      <c r="E2484" s="3">
        <v>40</v>
      </c>
      <c r="F2484" s="3">
        <v>11.4</v>
      </c>
      <c r="G2484" s="3"/>
      <c r="H2484" s="3">
        <v>5.0999999999999996</v>
      </c>
      <c r="I2484" s="3"/>
      <c r="L2484" s="3"/>
      <c r="M2484" s="3"/>
      <c r="N2484" s="3"/>
      <c r="O2484" s="3"/>
      <c r="P2484" s="3"/>
      <c r="Q2484" s="3"/>
      <c r="R2484" s="3"/>
      <c r="S2484" s="3"/>
    </row>
    <row r="2485" spans="2:19" ht="15.75" customHeight="1" x14ac:dyDescent="0.2">
      <c r="C2485" s="208">
        <v>34823</v>
      </c>
      <c r="D2485" s="19">
        <v>0.5</v>
      </c>
      <c r="E2485" s="3">
        <v>43</v>
      </c>
      <c r="F2485" s="3">
        <v>11.3</v>
      </c>
      <c r="G2485" s="3"/>
      <c r="H2485" s="3">
        <v>5.0999999999999996</v>
      </c>
      <c r="I2485" s="3"/>
      <c r="L2485" s="3"/>
      <c r="M2485" s="3"/>
      <c r="N2485" s="3"/>
      <c r="O2485" s="3"/>
      <c r="P2485" s="3"/>
      <c r="Q2485" s="3"/>
      <c r="R2485" s="3"/>
      <c r="S2485" s="3"/>
    </row>
    <row r="2486" spans="2:19" ht="15.75" customHeight="1" x14ac:dyDescent="0.2">
      <c r="C2486" s="208"/>
      <c r="D2486" s="19"/>
      <c r="E2486" s="3"/>
      <c r="F2486" s="3"/>
      <c r="G2486" s="3"/>
      <c r="H2486" s="3"/>
      <c r="I2486" s="3"/>
      <c r="L2486" s="3"/>
      <c r="M2486" s="3"/>
      <c r="N2486" s="3"/>
      <c r="O2486" s="3"/>
      <c r="P2486" s="3"/>
      <c r="Q2486" s="3"/>
      <c r="R2486" s="3"/>
      <c r="S2486" s="3"/>
    </row>
    <row r="2487" spans="2:19" ht="15.75" customHeight="1" x14ac:dyDescent="0.2">
      <c r="C2487" s="208"/>
      <c r="D2487" s="19"/>
      <c r="E2487" s="20"/>
      <c r="F2487" s="3"/>
      <c r="G2487" s="3"/>
      <c r="H2487" s="63"/>
      <c r="I2487" s="63"/>
      <c r="L2487" s="3"/>
      <c r="M2487" s="3"/>
      <c r="N2487" s="3"/>
      <c r="O2487" s="3"/>
      <c r="P2487" s="3"/>
      <c r="Q2487" s="3"/>
      <c r="R2487" s="3"/>
      <c r="S2487" s="3"/>
    </row>
    <row r="2488" spans="2:19" ht="15.75" customHeight="1" x14ac:dyDescent="0.2">
      <c r="B2488" s="1" t="s">
        <v>257</v>
      </c>
      <c r="C2488" s="208">
        <v>34863</v>
      </c>
      <c r="D2488" s="19"/>
      <c r="G2488" s="3"/>
      <c r="H2488" s="7"/>
      <c r="I2488" s="7"/>
      <c r="J2488" s="7">
        <v>5</v>
      </c>
      <c r="L2488" s="3"/>
      <c r="M2488" s="3"/>
      <c r="N2488" s="3"/>
      <c r="O2488" s="3"/>
      <c r="P2488" s="3"/>
      <c r="Q2488" s="3"/>
      <c r="R2488" s="3"/>
      <c r="S2488" s="3"/>
    </row>
    <row r="2489" spans="2:19" ht="15.75" customHeight="1" x14ac:dyDescent="0.2">
      <c r="C2489" s="208">
        <v>34863</v>
      </c>
      <c r="D2489" s="19">
        <v>0.5</v>
      </c>
      <c r="E2489" s="1">
        <v>0.5</v>
      </c>
      <c r="G2489" s="3"/>
      <c r="H2489" s="7">
        <v>14.8</v>
      </c>
      <c r="I2489" s="7">
        <v>14.8</v>
      </c>
      <c r="J2489" s="7"/>
      <c r="L2489" s="3"/>
      <c r="M2489" s="3"/>
      <c r="N2489" s="3"/>
      <c r="O2489" s="3"/>
      <c r="P2489" s="3"/>
      <c r="Q2489" s="3"/>
      <c r="R2489" s="3"/>
      <c r="S2489" s="3"/>
    </row>
    <row r="2490" spans="2:19" ht="15.75" customHeight="1" x14ac:dyDescent="0.2">
      <c r="C2490" s="208">
        <v>34863</v>
      </c>
      <c r="D2490" s="19">
        <v>0.5</v>
      </c>
      <c r="E2490" s="1">
        <v>10</v>
      </c>
      <c r="G2490" s="3"/>
      <c r="H2490" s="7">
        <v>14.5</v>
      </c>
      <c r="I2490" s="7">
        <v>14.5</v>
      </c>
      <c r="J2490" s="17"/>
      <c r="L2490" s="3"/>
      <c r="M2490" s="3"/>
      <c r="N2490" s="3"/>
      <c r="O2490" s="3"/>
      <c r="P2490" s="3"/>
      <c r="Q2490" s="3"/>
      <c r="R2490" s="3"/>
      <c r="S2490" s="3"/>
    </row>
    <row r="2491" spans="2:19" ht="15.75" customHeight="1" x14ac:dyDescent="0.2">
      <c r="C2491" s="208">
        <v>34863</v>
      </c>
      <c r="D2491" s="19">
        <v>0.5</v>
      </c>
      <c r="E2491" s="1">
        <v>20</v>
      </c>
      <c r="G2491" s="3"/>
      <c r="H2491" s="7">
        <v>6.1</v>
      </c>
      <c r="I2491" s="17">
        <f>AVERAGE(I2489:I2490)</f>
        <v>14.65</v>
      </c>
      <c r="J2491" s="7"/>
      <c r="L2491" s="3"/>
      <c r="M2491" s="3"/>
      <c r="N2491" s="3"/>
      <c r="O2491" s="3"/>
      <c r="P2491" s="3"/>
      <c r="Q2491" s="3"/>
      <c r="R2491" s="3"/>
      <c r="S2491" s="3"/>
    </row>
    <row r="2492" spans="2:19" ht="15.75" customHeight="1" x14ac:dyDescent="0.2">
      <c r="C2492" s="208">
        <v>34863</v>
      </c>
      <c r="D2492" s="19">
        <v>0.5</v>
      </c>
      <c r="E2492" s="1">
        <v>30</v>
      </c>
      <c r="G2492" s="3"/>
      <c r="H2492" s="7">
        <v>5.6</v>
      </c>
      <c r="I2492" s="7"/>
      <c r="J2492" s="7"/>
      <c r="L2492" s="3"/>
      <c r="M2492" s="3"/>
      <c r="N2492" s="3"/>
      <c r="O2492" s="3"/>
      <c r="P2492" s="3"/>
      <c r="Q2492" s="3"/>
      <c r="R2492" s="3"/>
      <c r="S2492" s="3"/>
    </row>
    <row r="2493" spans="2:19" ht="15.75" customHeight="1" x14ac:dyDescent="0.2">
      <c r="C2493" s="208">
        <v>34863</v>
      </c>
      <c r="D2493" s="19">
        <v>0.5</v>
      </c>
      <c r="E2493" s="1">
        <v>40</v>
      </c>
      <c r="G2493" s="3"/>
      <c r="H2493" s="7">
        <v>5.2</v>
      </c>
      <c r="I2493" s="7"/>
      <c r="J2493" s="17"/>
      <c r="L2493" s="3"/>
      <c r="M2493" s="3"/>
      <c r="N2493" s="3"/>
      <c r="O2493" s="3"/>
      <c r="P2493" s="3"/>
      <c r="Q2493" s="3"/>
      <c r="R2493" s="3"/>
      <c r="S2493" s="3"/>
    </row>
    <row r="2494" spans="2:19" ht="15.75" customHeight="1" x14ac:dyDescent="0.2">
      <c r="C2494" s="208">
        <v>34863</v>
      </c>
      <c r="D2494" s="19">
        <v>0.5</v>
      </c>
      <c r="E2494" s="1">
        <v>42</v>
      </c>
      <c r="G2494" s="3"/>
      <c r="H2494" s="7">
        <v>5.2</v>
      </c>
      <c r="I2494" s="17"/>
      <c r="L2494" s="3"/>
      <c r="M2494" s="3"/>
      <c r="N2494" s="3"/>
      <c r="O2494" s="3"/>
      <c r="P2494" s="3"/>
      <c r="Q2494" s="3"/>
      <c r="R2494" s="3"/>
      <c r="S2494" s="3"/>
    </row>
    <row r="2495" spans="2:19" ht="15.75" customHeight="1" x14ac:dyDescent="0.2">
      <c r="C2495" s="208"/>
      <c r="D2495" s="19"/>
      <c r="G2495" s="3"/>
      <c r="H2495" s="7"/>
      <c r="I2495" s="17"/>
      <c r="L2495" s="3"/>
      <c r="M2495" s="3"/>
      <c r="N2495" s="3"/>
      <c r="O2495" s="3"/>
      <c r="P2495" s="3"/>
      <c r="Q2495" s="3"/>
      <c r="R2495" s="3"/>
      <c r="S2495" s="3"/>
    </row>
    <row r="2496" spans="2:19" ht="15.75" customHeight="1" x14ac:dyDescent="0.2">
      <c r="C2496" s="208">
        <v>34886</v>
      </c>
      <c r="D2496" s="19">
        <v>0.5</v>
      </c>
      <c r="G2496" s="3"/>
      <c r="H2496" s="7"/>
      <c r="I2496" s="17"/>
      <c r="L2496" s="3"/>
      <c r="M2496" s="3"/>
      <c r="N2496" s="3"/>
      <c r="O2496" s="3"/>
      <c r="P2496" s="3"/>
      <c r="Q2496" s="3"/>
      <c r="R2496" s="3"/>
      <c r="S2496" s="3"/>
    </row>
    <row r="2497" spans="3:19" ht="15.75" customHeight="1" x14ac:dyDescent="0.2">
      <c r="C2497" s="208">
        <v>34886</v>
      </c>
      <c r="D2497" s="19">
        <v>0.5</v>
      </c>
      <c r="E2497" s="1">
        <v>0.5</v>
      </c>
      <c r="G2497" s="3"/>
      <c r="H2497" s="7">
        <v>17.8</v>
      </c>
      <c r="I2497" s="7">
        <v>17.8</v>
      </c>
      <c r="J2497" s="7"/>
      <c r="L2497" s="3"/>
      <c r="M2497" s="3"/>
      <c r="N2497" s="3"/>
      <c r="O2497" s="3"/>
      <c r="P2497" s="3"/>
      <c r="Q2497" s="3"/>
      <c r="R2497" s="3"/>
      <c r="S2497" s="3"/>
    </row>
    <row r="2498" spans="3:19" ht="15.75" customHeight="1" x14ac:dyDescent="0.2">
      <c r="C2498" s="208">
        <v>34886</v>
      </c>
      <c r="D2498" s="19">
        <v>0.5</v>
      </c>
      <c r="E2498" s="1">
        <v>2</v>
      </c>
      <c r="G2498" s="3"/>
      <c r="H2498" s="7">
        <v>17.8</v>
      </c>
      <c r="I2498" s="7">
        <v>17.8</v>
      </c>
      <c r="J2498" s="7"/>
      <c r="L2498" s="3"/>
      <c r="M2498" s="3"/>
      <c r="N2498" s="3"/>
      <c r="O2498" s="3"/>
      <c r="P2498" s="3"/>
      <c r="Q2498" s="3"/>
      <c r="R2498" s="3"/>
      <c r="S2498" s="3"/>
    </row>
    <row r="2499" spans="3:19" ht="15.75" customHeight="1" x14ac:dyDescent="0.2">
      <c r="C2499" s="208">
        <v>34886</v>
      </c>
      <c r="D2499" s="19">
        <v>0.5</v>
      </c>
      <c r="E2499" s="1">
        <v>4</v>
      </c>
      <c r="G2499" s="3"/>
      <c r="H2499" s="7">
        <v>17.8</v>
      </c>
      <c r="I2499" s="7">
        <v>17.8</v>
      </c>
      <c r="J2499" s="7"/>
      <c r="L2499" s="3"/>
      <c r="M2499" s="3"/>
      <c r="N2499" s="3"/>
      <c r="O2499" s="3"/>
      <c r="P2499" s="3"/>
      <c r="Q2499" s="3"/>
      <c r="R2499" s="3"/>
      <c r="S2499" s="3"/>
    </row>
    <row r="2500" spans="3:19" ht="15.75" customHeight="1" x14ac:dyDescent="0.2">
      <c r="C2500" s="208">
        <v>34886</v>
      </c>
      <c r="D2500" s="19">
        <v>0.5</v>
      </c>
      <c r="E2500" s="1">
        <v>6</v>
      </c>
      <c r="G2500" s="3"/>
      <c r="H2500" s="7">
        <v>17.7</v>
      </c>
      <c r="I2500" s="7">
        <v>17.7</v>
      </c>
      <c r="J2500" s="7"/>
      <c r="L2500" s="3"/>
      <c r="M2500" s="3"/>
      <c r="N2500" s="3"/>
      <c r="O2500" s="3"/>
      <c r="P2500" s="3"/>
      <c r="Q2500" s="3"/>
      <c r="R2500" s="3"/>
      <c r="S2500" s="3"/>
    </row>
    <row r="2501" spans="3:19" ht="15.75" customHeight="1" x14ac:dyDescent="0.2">
      <c r="C2501" s="208">
        <v>34886</v>
      </c>
      <c r="D2501" s="19">
        <v>0.5</v>
      </c>
      <c r="E2501" s="1">
        <v>8</v>
      </c>
      <c r="G2501" s="3"/>
      <c r="H2501" s="7">
        <v>17.399999999999999</v>
      </c>
      <c r="I2501" s="7">
        <v>17.399999999999999</v>
      </c>
      <c r="J2501" s="7"/>
      <c r="L2501" s="3"/>
      <c r="M2501" s="3"/>
      <c r="N2501" s="3"/>
      <c r="O2501" s="3"/>
      <c r="P2501" s="3"/>
      <c r="Q2501" s="3"/>
      <c r="R2501" s="3"/>
      <c r="S2501" s="3"/>
    </row>
    <row r="2502" spans="3:19" ht="15.75" customHeight="1" x14ac:dyDescent="0.2">
      <c r="C2502" s="208">
        <v>34886</v>
      </c>
      <c r="D2502" s="19">
        <v>0.5</v>
      </c>
      <c r="E2502" s="1">
        <v>10</v>
      </c>
      <c r="G2502" s="3"/>
      <c r="H2502" s="7">
        <v>15.8</v>
      </c>
      <c r="I2502" s="17">
        <f>AVERAGE(I2497:I2501)</f>
        <v>17.7</v>
      </c>
      <c r="J2502" s="17"/>
      <c r="L2502" s="3"/>
      <c r="M2502" s="3"/>
      <c r="N2502" s="3"/>
      <c r="O2502" s="3"/>
      <c r="P2502" s="3"/>
      <c r="Q2502" s="3"/>
      <c r="R2502" s="3"/>
      <c r="S2502" s="3"/>
    </row>
    <row r="2503" spans="3:19" ht="15.75" customHeight="1" x14ac:dyDescent="0.2">
      <c r="C2503" s="208">
        <v>34886</v>
      </c>
      <c r="D2503" s="19">
        <v>0.5</v>
      </c>
      <c r="E2503" s="1">
        <v>11</v>
      </c>
      <c r="G2503" s="3"/>
      <c r="H2503" s="7">
        <v>13.4</v>
      </c>
      <c r="I2503" s="7"/>
      <c r="J2503" s="7"/>
      <c r="L2503" s="3"/>
      <c r="M2503" s="3"/>
      <c r="N2503" s="3"/>
      <c r="O2503" s="3"/>
      <c r="P2503" s="3"/>
      <c r="Q2503" s="3"/>
      <c r="R2503" s="3"/>
      <c r="S2503" s="3"/>
    </row>
    <row r="2504" spans="3:19" ht="15.75" customHeight="1" x14ac:dyDescent="0.2">
      <c r="C2504" s="208">
        <v>34886</v>
      </c>
      <c r="D2504" s="19">
        <v>0.5</v>
      </c>
      <c r="E2504" s="1">
        <v>12</v>
      </c>
      <c r="G2504" s="3"/>
      <c r="H2504" s="7">
        <v>11.7</v>
      </c>
      <c r="I2504" s="7"/>
      <c r="J2504" s="7"/>
      <c r="L2504" s="3"/>
      <c r="M2504" s="3"/>
      <c r="N2504" s="3"/>
      <c r="O2504" s="3"/>
      <c r="P2504" s="3"/>
      <c r="Q2504" s="3"/>
      <c r="R2504" s="3"/>
      <c r="S2504" s="3"/>
    </row>
    <row r="2505" spans="3:19" ht="15.75" customHeight="1" x14ac:dyDescent="0.2">
      <c r="C2505" s="208">
        <v>34886</v>
      </c>
      <c r="D2505" s="19">
        <v>0.5</v>
      </c>
      <c r="E2505" s="1">
        <v>14</v>
      </c>
      <c r="G2505" s="3"/>
      <c r="H2505" s="7">
        <v>10.9</v>
      </c>
      <c r="I2505" s="7"/>
      <c r="J2505" s="17"/>
      <c r="L2505" s="3"/>
      <c r="M2505" s="3"/>
      <c r="N2505" s="3"/>
      <c r="O2505" s="3"/>
      <c r="P2505" s="3"/>
      <c r="Q2505" s="3"/>
      <c r="R2505" s="3"/>
      <c r="S2505" s="3"/>
    </row>
    <row r="2506" spans="3:19" ht="15.75" customHeight="1" x14ac:dyDescent="0.2">
      <c r="C2506" s="208">
        <v>34886</v>
      </c>
      <c r="D2506" s="19">
        <v>0.5</v>
      </c>
      <c r="E2506" s="1">
        <v>16</v>
      </c>
      <c r="G2506" s="3"/>
      <c r="H2506" s="7">
        <v>7.8</v>
      </c>
      <c r="I2506" s="7"/>
      <c r="L2506" s="3"/>
      <c r="M2506" s="3"/>
      <c r="N2506" s="3"/>
      <c r="O2506" s="3"/>
      <c r="P2506" s="3"/>
      <c r="Q2506" s="3"/>
      <c r="R2506" s="3"/>
      <c r="S2506" s="3"/>
    </row>
    <row r="2507" spans="3:19" ht="15.75" customHeight="1" x14ac:dyDescent="0.2">
      <c r="C2507" s="208">
        <v>34886</v>
      </c>
      <c r="D2507" s="19">
        <v>0.5</v>
      </c>
      <c r="E2507" s="1">
        <v>18</v>
      </c>
      <c r="G2507" s="3"/>
      <c r="H2507" s="7">
        <v>7.2</v>
      </c>
      <c r="I2507" s="7"/>
      <c r="L2507" s="3"/>
      <c r="M2507" s="3"/>
      <c r="N2507" s="3"/>
      <c r="O2507" s="3"/>
      <c r="P2507" s="3"/>
      <c r="Q2507" s="3"/>
      <c r="R2507" s="3"/>
      <c r="S2507" s="3"/>
    </row>
    <row r="2508" spans="3:19" ht="15.75" customHeight="1" x14ac:dyDescent="0.2">
      <c r="C2508" s="208">
        <v>34886</v>
      </c>
      <c r="D2508" s="19">
        <v>0.5</v>
      </c>
      <c r="E2508" s="1">
        <v>20</v>
      </c>
      <c r="G2508" s="3"/>
      <c r="H2508" s="7">
        <v>6.8</v>
      </c>
      <c r="I2508" s="7"/>
      <c r="L2508" s="3"/>
      <c r="M2508" s="3"/>
      <c r="N2508" s="3"/>
      <c r="O2508" s="3"/>
      <c r="P2508" s="3"/>
      <c r="Q2508" s="3"/>
      <c r="R2508" s="3"/>
      <c r="S2508" s="3"/>
    </row>
    <row r="2509" spans="3:19" ht="15.75" customHeight="1" x14ac:dyDescent="0.2">
      <c r="C2509" s="208">
        <v>34886</v>
      </c>
      <c r="D2509" s="19">
        <v>0.5</v>
      </c>
      <c r="E2509" s="1">
        <v>25</v>
      </c>
      <c r="G2509" s="3"/>
      <c r="H2509" s="7">
        <v>6.1</v>
      </c>
      <c r="I2509" s="7"/>
      <c r="L2509" s="3"/>
      <c r="M2509" s="3"/>
      <c r="N2509" s="3"/>
      <c r="O2509" s="3"/>
      <c r="P2509" s="3"/>
      <c r="Q2509" s="3"/>
      <c r="R2509" s="3"/>
      <c r="S2509" s="3"/>
    </row>
    <row r="2510" spans="3:19" ht="15.75" customHeight="1" x14ac:dyDescent="0.2">
      <c r="C2510" s="208">
        <v>34886</v>
      </c>
      <c r="D2510" s="19">
        <v>0.5</v>
      </c>
      <c r="E2510" s="1">
        <v>30</v>
      </c>
      <c r="G2510" s="3"/>
      <c r="H2510" s="7">
        <v>5.7</v>
      </c>
      <c r="I2510" s="7"/>
      <c r="L2510" s="3"/>
      <c r="M2510" s="3"/>
      <c r="N2510" s="3"/>
      <c r="O2510" s="3"/>
      <c r="P2510" s="3"/>
      <c r="Q2510" s="3"/>
      <c r="R2510" s="3"/>
      <c r="S2510" s="3"/>
    </row>
    <row r="2511" spans="3:19" ht="15.75" customHeight="1" x14ac:dyDescent="0.2">
      <c r="C2511" s="208">
        <v>34886</v>
      </c>
      <c r="D2511" s="19">
        <v>0.5</v>
      </c>
      <c r="E2511" s="1">
        <v>35</v>
      </c>
      <c r="G2511" s="3"/>
      <c r="H2511" s="7">
        <v>5.5</v>
      </c>
      <c r="I2511" s="7"/>
      <c r="L2511" s="3"/>
      <c r="M2511" s="3"/>
      <c r="N2511" s="3"/>
      <c r="O2511" s="3"/>
      <c r="P2511" s="3"/>
      <c r="Q2511" s="3"/>
      <c r="R2511" s="3"/>
      <c r="S2511" s="3"/>
    </row>
    <row r="2512" spans="3:19" ht="15.75" customHeight="1" x14ac:dyDescent="0.2">
      <c r="C2512" s="208">
        <v>34886</v>
      </c>
      <c r="D2512" s="19">
        <v>0.5</v>
      </c>
      <c r="E2512" s="1">
        <v>40</v>
      </c>
      <c r="G2512" s="3"/>
      <c r="H2512" s="7">
        <v>5.4</v>
      </c>
      <c r="I2512" s="7"/>
      <c r="L2512" s="3"/>
      <c r="M2512" s="3"/>
      <c r="N2512" s="3"/>
      <c r="O2512" s="3"/>
      <c r="P2512" s="3"/>
      <c r="Q2512" s="3"/>
      <c r="R2512" s="3"/>
      <c r="S2512" s="3"/>
    </row>
    <row r="2513" spans="3:19" ht="15.75" customHeight="1" x14ac:dyDescent="0.2">
      <c r="C2513" s="208">
        <v>34886</v>
      </c>
      <c r="D2513" s="19">
        <v>0.5</v>
      </c>
      <c r="E2513" s="1">
        <v>45</v>
      </c>
      <c r="G2513" s="3"/>
      <c r="H2513" s="7">
        <v>5.3</v>
      </c>
      <c r="I2513" s="7"/>
      <c r="L2513" s="3"/>
      <c r="M2513" s="3"/>
      <c r="N2513" s="3"/>
      <c r="O2513" s="3"/>
      <c r="P2513" s="3"/>
      <c r="Q2513" s="3"/>
      <c r="R2513" s="3"/>
      <c r="S2513" s="3"/>
    </row>
    <row r="2514" spans="3:19" ht="15.75" customHeight="1" x14ac:dyDescent="0.2">
      <c r="C2514" s="208"/>
      <c r="D2514" s="3"/>
      <c r="G2514" s="3"/>
      <c r="H2514" s="7"/>
      <c r="I2514" s="7"/>
      <c r="L2514" s="3"/>
      <c r="M2514" s="3"/>
      <c r="N2514" s="3"/>
      <c r="O2514" s="3"/>
      <c r="P2514" s="3"/>
      <c r="Q2514" s="3"/>
      <c r="R2514" s="3"/>
      <c r="S2514" s="3"/>
    </row>
    <row r="2515" spans="3:19" ht="15.75" customHeight="1" x14ac:dyDescent="0.2">
      <c r="C2515" s="208">
        <v>34907</v>
      </c>
      <c r="D2515" s="19">
        <v>0.5</v>
      </c>
      <c r="E2515" s="1">
        <v>0.5</v>
      </c>
      <c r="G2515" s="3"/>
      <c r="H2515" s="7">
        <v>20.6</v>
      </c>
      <c r="I2515" s="7">
        <v>20.6</v>
      </c>
      <c r="J2515" s="7"/>
      <c r="L2515" s="3"/>
      <c r="M2515" s="3"/>
      <c r="N2515" s="3"/>
      <c r="O2515" s="3"/>
      <c r="P2515" s="3"/>
      <c r="Q2515" s="3"/>
      <c r="R2515" s="3"/>
      <c r="S2515" s="3"/>
    </row>
    <row r="2516" spans="3:19" ht="15.75" customHeight="1" x14ac:dyDescent="0.2">
      <c r="C2516" s="208">
        <v>34907</v>
      </c>
      <c r="D2516" s="19">
        <v>0.5</v>
      </c>
      <c r="E2516" s="1">
        <v>2</v>
      </c>
      <c r="G2516" s="3"/>
      <c r="H2516" s="7">
        <v>20.7</v>
      </c>
      <c r="I2516" s="7">
        <v>20.7</v>
      </c>
      <c r="J2516" s="7"/>
      <c r="L2516" s="3"/>
      <c r="M2516" s="3"/>
      <c r="N2516" s="3"/>
      <c r="O2516" s="3"/>
      <c r="P2516" s="3"/>
      <c r="Q2516" s="3"/>
      <c r="R2516" s="3"/>
      <c r="S2516" s="3"/>
    </row>
    <row r="2517" spans="3:19" ht="15.75" customHeight="1" x14ac:dyDescent="0.2">
      <c r="C2517" s="208">
        <v>34907</v>
      </c>
      <c r="D2517" s="19">
        <v>0.5</v>
      </c>
      <c r="E2517" s="1">
        <v>4</v>
      </c>
      <c r="G2517" s="3"/>
      <c r="H2517" s="7">
        <v>20.7</v>
      </c>
      <c r="I2517" s="7">
        <v>20.7</v>
      </c>
      <c r="J2517" s="7"/>
      <c r="L2517" s="3"/>
      <c r="M2517" s="3"/>
      <c r="N2517" s="3"/>
      <c r="O2517" s="3"/>
      <c r="P2517" s="3"/>
      <c r="Q2517" s="3"/>
      <c r="R2517" s="3"/>
      <c r="S2517" s="3"/>
    </row>
    <row r="2518" spans="3:19" ht="15.75" customHeight="1" x14ac:dyDescent="0.2">
      <c r="C2518" s="208">
        <v>34907</v>
      </c>
      <c r="D2518" s="19">
        <v>0.5</v>
      </c>
      <c r="E2518" s="1">
        <v>6</v>
      </c>
      <c r="G2518" s="3"/>
      <c r="H2518" s="7">
        <v>20.7</v>
      </c>
      <c r="I2518" s="7">
        <v>20.7</v>
      </c>
      <c r="J2518" s="7"/>
      <c r="L2518" s="3"/>
      <c r="M2518" s="3"/>
      <c r="N2518" s="3"/>
      <c r="O2518" s="3"/>
      <c r="P2518" s="3"/>
      <c r="Q2518" s="3"/>
      <c r="R2518" s="3"/>
      <c r="S2518" s="3"/>
    </row>
    <row r="2519" spans="3:19" ht="15.75" customHeight="1" x14ac:dyDescent="0.2">
      <c r="C2519" s="208">
        <v>34907</v>
      </c>
      <c r="D2519" s="19">
        <v>0.5</v>
      </c>
      <c r="E2519" s="1">
        <v>8</v>
      </c>
      <c r="G2519" s="3"/>
      <c r="H2519" s="7">
        <v>20.7</v>
      </c>
      <c r="I2519" s="7">
        <v>20.7</v>
      </c>
      <c r="J2519" s="7"/>
      <c r="L2519" s="3"/>
      <c r="M2519" s="3"/>
      <c r="N2519" s="3"/>
      <c r="O2519" s="3"/>
      <c r="P2519" s="3"/>
      <c r="Q2519" s="3"/>
      <c r="R2519" s="3"/>
      <c r="S2519" s="3"/>
    </row>
    <row r="2520" spans="3:19" ht="15.75" customHeight="1" x14ac:dyDescent="0.2">
      <c r="C2520" s="208">
        <v>34907</v>
      </c>
      <c r="D2520" s="19">
        <v>0.5</v>
      </c>
      <c r="E2520" s="1">
        <v>10</v>
      </c>
      <c r="G2520" s="3"/>
      <c r="H2520" s="7">
        <v>20</v>
      </c>
      <c r="I2520" s="7">
        <v>20</v>
      </c>
      <c r="J2520" s="7"/>
      <c r="L2520" s="3"/>
      <c r="M2520" s="3"/>
      <c r="N2520" s="3"/>
      <c r="O2520" s="3"/>
      <c r="P2520" s="3"/>
      <c r="Q2520" s="3"/>
      <c r="R2520" s="3"/>
      <c r="S2520" s="3"/>
    </row>
    <row r="2521" spans="3:19" ht="15.75" customHeight="1" x14ac:dyDescent="0.2">
      <c r="C2521" s="208">
        <v>34907</v>
      </c>
      <c r="D2521" s="19">
        <v>0.5</v>
      </c>
      <c r="E2521" s="1">
        <v>12</v>
      </c>
      <c r="G2521" s="3"/>
      <c r="H2521" s="7">
        <v>16.5</v>
      </c>
      <c r="I2521" s="17">
        <f>AVERAGE(I2515:I2520)</f>
        <v>20.566666666666666</v>
      </c>
      <c r="J2521" s="17"/>
      <c r="L2521" s="3"/>
      <c r="M2521" s="3"/>
      <c r="N2521" s="3"/>
      <c r="O2521" s="3"/>
      <c r="P2521" s="3"/>
      <c r="Q2521" s="3"/>
      <c r="R2521" s="3"/>
      <c r="S2521" s="3"/>
    </row>
    <row r="2522" spans="3:19" ht="15.75" customHeight="1" x14ac:dyDescent="0.2">
      <c r="C2522" s="208">
        <v>34907</v>
      </c>
      <c r="D2522" s="19">
        <v>0.5</v>
      </c>
      <c r="E2522" s="1">
        <v>14</v>
      </c>
      <c r="G2522" s="3"/>
      <c r="H2522" s="7">
        <v>10.7</v>
      </c>
      <c r="L2522" s="3"/>
      <c r="M2522" s="3"/>
      <c r="N2522" s="3"/>
      <c r="O2522" s="3"/>
      <c r="P2522" s="3"/>
      <c r="Q2522" s="3"/>
      <c r="R2522" s="3"/>
      <c r="S2522" s="3"/>
    </row>
    <row r="2523" spans="3:19" ht="15.75" customHeight="1" x14ac:dyDescent="0.2">
      <c r="C2523" s="208">
        <v>34907</v>
      </c>
      <c r="D2523" s="19">
        <v>0.5</v>
      </c>
      <c r="E2523" s="1">
        <v>16</v>
      </c>
      <c r="G2523" s="3"/>
      <c r="H2523" s="7">
        <v>9.5</v>
      </c>
      <c r="L2523" s="3"/>
      <c r="M2523" s="3"/>
      <c r="N2523" s="3"/>
      <c r="O2523" s="3"/>
      <c r="P2523" s="3"/>
      <c r="Q2523" s="3"/>
      <c r="R2523" s="3"/>
      <c r="S2523" s="3"/>
    </row>
    <row r="2524" spans="3:19" ht="15.75" customHeight="1" x14ac:dyDescent="0.2">
      <c r="C2524" s="208">
        <v>34907</v>
      </c>
      <c r="D2524" s="19">
        <v>0.5</v>
      </c>
      <c r="E2524" s="1">
        <v>18</v>
      </c>
      <c r="G2524" s="3"/>
      <c r="H2524" s="7">
        <v>7.7</v>
      </c>
      <c r="L2524" s="3"/>
      <c r="M2524" s="3"/>
      <c r="N2524" s="3"/>
      <c r="O2524" s="3"/>
      <c r="P2524" s="3"/>
      <c r="Q2524" s="3"/>
      <c r="R2524" s="3"/>
      <c r="S2524" s="3"/>
    </row>
    <row r="2525" spans="3:19" ht="15.75" customHeight="1" x14ac:dyDescent="0.2">
      <c r="C2525" s="208">
        <v>34907</v>
      </c>
      <c r="D2525" s="19">
        <v>0.5</v>
      </c>
      <c r="E2525" s="1">
        <v>20</v>
      </c>
      <c r="G2525" s="3"/>
      <c r="H2525" s="7">
        <v>6.9</v>
      </c>
      <c r="L2525" s="3"/>
      <c r="M2525" s="3"/>
      <c r="N2525" s="3"/>
      <c r="O2525" s="3"/>
      <c r="P2525" s="3"/>
      <c r="Q2525" s="3"/>
      <c r="R2525" s="3"/>
      <c r="S2525" s="3"/>
    </row>
    <row r="2526" spans="3:19" ht="15.75" customHeight="1" x14ac:dyDescent="0.2">
      <c r="C2526" s="208">
        <v>34907</v>
      </c>
      <c r="D2526" s="19">
        <v>0.5</v>
      </c>
      <c r="E2526" s="1">
        <v>30</v>
      </c>
      <c r="G2526" s="3"/>
      <c r="H2526" s="7">
        <v>6</v>
      </c>
      <c r="L2526" s="3"/>
      <c r="M2526" s="3"/>
      <c r="N2526" s="3"/>
      <c r="O2526" s="3"/>
      <c r="P2526" s="3"/>
      <c r="Q2526" s="3"/>
      <c r="R2526" s="3"/>
      <c r="S2526" s="3"/>
    </row>
    <row r="2527" spans="3:19" ht="15.75" customHeight="1" x14ac:dyDescent="0.2">
      <c r="C2527" s="208">
        <v>34907</v>
      </c>
      <c r="D2527" s="19">
        <v>0.5</v>
      </c>
      <c r="E2527" s="1">
        <v>40</v>
      </c>
      <c r="G2527" s="3"/>
      <c r="H2527" s="7">
        <v>5.6</v>
      </c>
      <c r="L2527" s="3"/>
      <c r="M2527" s="3"/>
      <c r="N2527" s="3"/>
      <c r="O2527" s="3"/>
      <c r="P2527" s="3"/>
      <c r="Q2527" s="3"/>
      <c r="R2527" s="3"/>
      <c r="S2527" s="3"/>
    </row>
    <row r="2528" spans="3:19" ht="15.75" customHeight="1" x14ac:dyDescent="0.2">
      <c r="C2528" s="208">
        <v>34907</v>
      </c>
      <c r="D2528" s="19">
        <v>0.5</v>
      </c>
      <c r="E2528" s="1">
        <v>45</v>
      </c>
      <c r="G2528" s="3"/>
      <c r="H2528" s="7">
        <v>5.5</v>
      </c>
      <c r="L2528" s="3"/>
      <c r="M2528" s="3"/>
      <c r="N2528" s="3"/>
      <c r="O2528" s="3"/>
      <c r="P2528" s="3"/>
      <c r="Q2528" s="3"/>
      <c r="R2528" s="3"/>
      <c r="S2528" s="3"/>
    </row>
    <row r="2529" spans="3:19" ht="15.75" customHeight="1" x14ac:dyDescent="0.2">
      <c r="C2529" s="208"/>
      <c r="D2529" s="3"/>
      <c r="G2529" s="3"/>
      <c r="H2529" s="7"/>
      <c r="L2529" s="3"/>
      <c r="M2529" s="3"/>
      <c r="N2529" s="3"/>
      <c r="O2529" s="3"/>
      <c r="P2529" s="3"/>
      <c r="Q2529" s="3"/>
      <c r="R2529" s="3"/>
      <c r="S2529" s="3"/>
    </row>
    <row r="2530" spans="3:19" ht="15.75" customHeight="1" x14ac:dyDescent="0.2">
      <c r="C2530" s="208">
        <v>34934</v>
      </c>
      <c r="D2530" s="19">
        <v>0.5</v>
      </c>
      <c r="E2530" s="1">
        <v>0.5</v>
      </c>
      <c r="G2530" s="3"/>
      <c r="H2530" s="7">
        <v>18.2</v>
      </c>
      <c r="I2530" s="7">
        <v>18.2</v>
      </c>
      <c r="J2530" s="7"/>
      <c r="L2530" s="3"/>
      <c r="M2530" s="3"/>
      <c r="N2530" s="3"/>
      <c r="O2530" s="3"/>
      <c r="P2530" s="3"/>
      <c r="Q2530" s="3"/>
      <c r="R2530" s="3"/>
      <c r="S2530" s="3"/>
    </row>
    <row r="2531" spans="3:19" ht="15.75" customHeight="1" x14ac:dyDescent="0.2">
      <c r="C2531" s="208">
        <v>34934</v>
      </c>
      <c r="D2531" s="19">
        <v>0.5</v>
      </c>
      <c r="E2531" s="1">
        <v>2</v>
      </c>
      <c r="G2531" s="3"/>
      <c r="H2531" s="7">
        <v>18.2</v>
      </c>
      <c r="I2531" s="7">
        <v>18.2</v>
      </c>
      <c r="J2531" s="7"/>
      <c r="L2531" s="3"/>
      <c r="M2531" s="3"/>
      <c r="N2531" s="3"/>
      <c r="O2531" s="3"/>
      <c r="P2531" s="3"/>
      <c r="Q2531" s="3"/>
      <c r="R2531" s="3"/>
      <c r="S2531" s="3"/>
    </row>
    <row r="2532" spans="3:19" ht="15.75" customHeight="1" x14ac:dyDescent="0.2">
      <c r="C2532" s="208">
        <v>34934</v>
      </c>
      <c r="D2532" s="19">
        <v>0.5</v>
      </c>
      <c r="E2532" s="1">
        <v>4</v>
      </c>
      <c r="G2532" s="3"/>
      <c r="H2532" s="7">
        <v>18.100000000000001</v>
      </c>
      <c r="I2532" s="7">
        <v>18.100000000000001</v>
      </c>
      <c r="J2532" s="7"/>
      <c r="L2532" s="3"/>
      <c r="M2532" s="3"/>
      <c r="N2532" s="3"/>
      <c r="O2532" s="3"/>
      <c r="P2532" s="3"/>
      <c r="Q2532" s="3"/>
      <c r="R2532" s="3"/>
      <c r="S2532" s="3"/>
    </row>
    <row r="2533" spans="3:19" ht="15.75" customHeight="1" x14ac:dyDescent="0.2">
      <c r="C2533" s="208">
        <v>34934</v>
      </c>
      <c r="D2533" s="19">
        <v>0.5</v>
      </c>
      <c r="E2533" s="1">
        <v>6</v>
      </c>
      <c r="G2533" s="3"/>
      <c r="H2533" s="7">
        <v>18.100000000000001</v>
      </c>
      <c r="I2533" s="7">
        <v>18.100000000000001</v>
      </c>
      <c r="J2533" s="7"/>
      <c r="L2533" s="3"/>
      <c r="M2533" s="3"/>
      <c r="N2533" s="3"/>
      <c r="O2533" s="3"/>
      <c r="P2533" s="3"/>
      <c r="Q2533" s="3"/>
      <c r="R2533" s="3"/>
      <c r="S2533" s="3"/>
    </row>
    <row r="2534" spans="3:19" ht="15.75" customHeight="1" x14ac:dyDescent="0.2">
      <c r="C2534" s="208">
        <v>34934</v>
      </c>
      <c r="D2534" s="19">
        <v>0.5</v>
      </c>
      <c r="E2534" s="1">
        <v>8</v>
      </c>
      <c r="G2534" s="3"/>
      <c r="H2534" s="7">
        <v>17.8</v>
      </c>
      <c r="I2534" s="7">
        <v>17.8</v>
      </c>
      <c r="J2534" s="7"/>
      <c r="L2534" s="3"/>
      <c r="M2534" s="3"/>
      <c r="N2534" s="3"/>
      <c r="O2534" s="3"/>
      <c r="P2534" s="3"/>
      <c r="Q2534" s="3"/>
      <c r="R2534" s="3"/>
      <c r="S2534" s="3"/>
    </row>
    <row r="2535" spans="3:19" ht="15.75" customHeight="1" x14ac:dyDescent="0.2">
      <c r="C2535" s="208">
        <v>34934</v>
      </c>
      <c r="D2535" s="19">
        <v>0.5</v>
      </c>
      <c r="E2535" s="1">
        <v>10</v>
      </c>
      <c r="G2535" s="3"/>
      <c r="H2535" s="7">
        <v>17.600000000000001</v>
      </c>
      <c r="I2535" s="7">
        <v>17.600000000000001</v>
      </c>
      <c r="J2535" s="7"/>
      <c r="L2535" s="3"/>
      <c r="M2535" s="3"/>
      <c r="N2535" s="3"/>
      <c r="O2535" s="3"/>
      <c r="P2535" s="3"/>
      <c r="Q2535" s="3"/>
      <c r="R2535" s="3"/>
      <c r="S2535" s="3"/>
    </row>
    <row r="2536" spans="3:19" ht="15.75" customHeight="1" x14ac:dyDescent="0.2">
      <c r="C2536" s="208">
        <v>34934</v>
      </c>
      <c r="D2536" s="19">
        <v>0.5</v>
      </c>
      <c r="E2536" s="1">
        <v>11</v>
      </c>
      <c r="G2536" s="3"/>
      <c r="H2536" s="7">
        <v>16.600000000000001</v>
      </c>
      <c r="I2536" s="17">
        <f>AVERAGE(I2530:I2535)</f>
        <v>18</v>
      </c>
      <c r="J2536" s="17"/>
      <c r="L2536" s="3"/>
      <c r="M2536" s="3"/>
      <c r="N2536" s="3"/>
      <c r="O2536" s="3"/>
      <c r="P2536" s="3"/>
      <c r="Q2536" s="3"/>
      <c r="R2536" s="3"/>
      <c r="S2536" s="3"/>
    </row>
    <row r="2537" spans="3:19" ht="15.75" customHeight="1" x14ac:dyDescent="0.2">
      <c r="C2537" s="208">
        <v>34934</v>
      </c>
      <c r="D2537" s="19">
        <v>0.5</v>
      </c>
      <c r="E2537" s="1">
        <v>12</v>
      </c>
      <c r="G2537" s="3"/>
      <c r="H2537" s="7">
        <v>13.7</v>
      </c>
      <c r="L2537" s="3"/>
      <c r="M2537" s="3"/>
      <c r="N2537" s="3"/>
      <c r="O2537" s="3"/>
      <c r="P2537" s="3"/>
      <c r="Q2537" s="3"/>
      <c r="R2537" s="3"/>
      <c r="S2537" s="3"/>
    </row>
    <row r="2538" spans="3:19" ht="15.75" customHeight="1" x14ac:dyDescent="0.2">
      <c r="C2538" s="208">
        <v>34934</v>
      </c>
      <c r="D2538" s="19">
        <v>0.5</v>
      </c>
      <c r="E2538" s="1">
        <v>14</v>
      </c>
      <c r="G2538" s="3"/>
      <c r="H2538" s="7">
        <v>10.7</v>
      </c>
      <c r="L2538" s="3"/>
      <c r="M2538" s="3"/>
      <c r="N2538" s="3"/>
      <c r="O2538" s="3"/>
      <c r="P2538" s="3"/>
      <c r="Q2538" s="3"/>
      <c r="R2538" s="3"/>
      <c r="S2538" s="3"/>
    </row>
    <row r="2539" spans="3:19" ht="15.75" customHeight="1" x14ac:dyDescent="0.2">
      <c r="C2539" s="208">
        <v>34934</v>
      </c>
      <c r="D2539" s="19">
        <v>0.5</v>
      </c>
      <c r="E2539" s="1">
        <v>16</v>
      </c>
      <c r="G2539" s="3"/>
      <c r="H2539" s="7">
        <v>8.5</v>
      </c>
      <c r="L2539" s="3"/>
      <c r="M2539" s="3"/>
      <c r="N2539" s="3"/>
      <c r="O2539" s="3"/>
      <c r="P2539" s="3"/>
      <c r="Q2539" s="3"/>
      <c r="R2539" s="3"/>
      <c r="S2539" s="3"/>
    </row>
    <row r="2540" spans="3:19" ht="15.75" customHeight="1" x14ac:dyDescent="0.2">
      <c r="C2540" s="208">
        <v>34934</v>
      </c>
      <c r="D2540" s="19">
        <v>0.5</v>
      </c>
      <c r="E2540" s="1">
        <v>18</v>
      </c>
      <c r="G2540" s="3"/>
      <c r="H2540" s="7">
        <v>7.5</v>
      </c>
      <c r="L2540" s="3"/>
      <c r="M2540" s="3"/>
      <c r="N2540" s="3"/>
      <c r="O2540" s="3"/>
      <c r="P2540" s="3"/>
      <c r="Q2540" s="3"/>
      <c r="R2540" s="3"/>
      <c r="S2540" s="3"/>
    </row>
    <row r="2541" spans="3:19" ht="15.75" customHeight="1" x14ac:dyDescent="0.2">
      <c r="C2541" s="208">
        <v>34934</v>
      </c>
      <c r="D2541" s="19">
        <v>0.5</v>
      </c>
      <c r="E2541" s="1">
        <v>20</v>
      </c>
      <c r="G2541" s="3"/>
      <c r="H2541" s="7">
        <v>7</v>
      </c>
      <c r="L2541" s="3"/>
      <c r="M2541" s="3"/>
      <c r="N2541" s="3"/>
      <c r="O2541" s="3"/>
      <c r="P2541" s="3"/>
      <c r="Q2541" s="3"/>
      <c r="R2541" s="3"/>
      <c r="S2541" s="3"/>
    </row>
    <row r="2542" spans="3:19" ht="15.75" customHeight="1" x14ac:dyDescent="0.2">
      <c r="C2542" s="208">
        <v>34934</v>
      </c>
      <c r="D2542" s="19">
        <v>0.5</v>
      </c>
      <c r="E2542" s="1">
        <v>30</v>
      </c>
      <c r="G2542" s="3"/>
      <c r="H2542" s="7">
        <v>6.1</v>
      </c>
      <c r="L2542" s="3"/>
      <c r="M2542" s="3"/>
      <c r="N2542" s="3"/>
      <c r="O2542" s="3"/>
      <c r="P2542" s="3"/>
      <c r="Q2542" s="3"/>
      <c r="R2542" s="3"/>
      <c r="S2542" s="3"/>
    </row>
    <row r="2543" spans="3:19" ht="15.75" customHeight="1" x14ac:dyDescent="0.2">
      <c r="C2543" s="208">
        <v>34934</v>
      </c>
      <c r="D2543" s="19">
        <v>0.5</v>
      </c>
      <c r="E2543" s="1">
        <v>40</v>
      </c>
      <c r="G2543" s="3"/>
      <c r="H2543" s="7">
        <v>5.8</v>
      </c>
      <c r="L2543" s="3"/>
      <c r="M2543" s="3"/>
      <c r="N2543" s="3"/>
      <c r="O2543" s="3"/>
      <c r="P2543" s="3"/>
      <c r="Q2543" s="3"/>
      <c r="R2543" s="3"/>
      <c r="S2543" s="3"/>
    </row>
    <row r="2544" spans="3:19" ht="15.75" customHeight="1" x14ac:dyDescent="0.2">
      <c r="C2544" s="208">
        <v>34934</v>
      </c>
      <c r="D2544" s="19">
        <v>0.5</v>
      </c>
      <c r="E2544" s="1">
        <v>46</v>
      </c>
      <c r="G2544" s="3"/>
      <c r="H2544" s="7">
        <v>5.6</v>
      </c>
      <c r="L2544" s="3"/>
      <c r="M2544" s="3"/>
      <c r="N2544" s="3"/>
      <c r="O2544" s="3"/>
      <c r="P2544" s="3"/>
      <c r="Q2544" s="3"/>
      <c r="R2544" s="3"/>
      <c r="S2544" s="3"/>
    </row>
    <row r="2545" spans="3:19" ht="15.75" customHeight="1" x14ac:dyDescent="0.2">
      <c r="C2545" s="208"/>
      <c r="D2545" s="3"/>
      <c r="G2545" s="3"/>
      <c r="H2545" s="7"/>
      <c r="L2545" s="3"/>
      <c r="M2545" s="3"/>
      <c r="N2545" s="3"/>
      <c r="O2545" s="3"/>
      <c r="P2545" s="3"/>
      <c r="Q2545" s="3"/>
      <c r="R2545" s="3"/>
      <c r="S2545" s="3"/>
    </row>
    <row r="2546" spans="3:19" ht="15.75" customHeight="1" x14ac:dyDescent="0.2">
      <c r="C2546" s="208">
        <v>34963</v>
      </c>
      <c r="D2546" s="19">
        <v>0.5</v>
      </c>
      <c r="E2546" s="3">
        <v>0.5</v>
      </c>
      <c r="G2546" s="3"/>
      <c r="H2546" s="3">
        <v>17.7</v>
      </c>
      <c r="I2546" s="3">
        <v>17.7</v>
      </c>
      <c r="J2546" s="3"/>
      <c r="M2546" s="3"/>
      <c r="N2546" s="3"/>
      <c r="O2546" s="3"/>
      <c r="P2546" s="3"/>
      <c r="Q2546" s="3"/>
      <c r="R2546" s="3"/>
      <c r="S2546" s="3"/>
    </row>
    <row r="2547" spans="3:19" ht="15.75" customHeight="1" x14ac:dyDescent="0.2">
      <c r="C2547" s="208">
        <v>34963</v>
      </c>
      <c r="D2547" s="19">
        <v>0.5</v>
      </c>
      <c r="E2547" s="3">
        <v>2</v>
      </c>
      <c r="G2547" s="3"/>
      <c r="H2547" s="3">
        <v>17.7</v>
      </c>
      <c r="I2547" s="3">
        <v>17.7</v>
      </c>
      <c r="J2547" s="3"/>
      <c r="M2547" s="3"/>
      <c r="N2547" s="3"/>
      <c r="O2547" s="3"/>
      <c r="P2547" s="3"/>
      <c r="Q2547" s="3"/>
      <c r="R2547" s="3"/>
      <c r="S2547" s="3"/>
    </row>
    <row r="2548" spans="3:19" ht="15.75" customHeight="1" x14ac:dyDescent="0.2">
      <c r="C2548" s="208">
        <v>34963</v>
      </c>
      <c r="D2548" s="19">
        <v>0.5</v>
      </c>
      <c r="E2548" s="3">
        <v>4</v>
      </c>
      <c r="G2548" s="3"/>
      <c r="H2548" s="3">
        <v>17.7</v>
      </c>
      <c r="I2548" s="3">
        <v>17.7</v>
      </c>
      <c r="J2548" s="3"/>
      <c r="M2548" s="3"/>
      <c r="N2548" s="3"/>
      <c r="O2548" s="3"/>
      <c r="P2548" s="3"/>
      <c r="Q2548" s="3"/>
      <c r="R2548" s="3"/>
      <c r="S2548" s="3"/>
    </row>
    <row r="2549" spans="3:19" ht="15.75" customHeight="1" x14ac:dyDescent="0.2">
      <c r="C2549" s="208">
        <v>34963</v>
      </c>
      <c r="D2549" s="19">
        <v>0.5</v>
      </c>
      <c r="E2549" s="3">
        <v>6</v>
      </c>
      <c r="G2549" s="3"/>
      <c r="H2549" s="3">
        <v>17.7</v>
      </c>
      <c r="I2549" s="3">
        <v>17.7</v>
      </c>
      <c r="J2549" s="3"/>
      <c r="M2549" s="3"/>
      <c r="N2549" s="3"/>
      <c r="O2549" s="3"/>
      <c r="P2549" s="3"/>
      <c r="Q2549" s="3"/>
      <c r="R2549" s="3"/>
      <c r="S2549" s="3"/>
    </row>
    <row r="2550" spans="3:19" ht="15.75" customHeight="1" x14ac:dyDescent="0.2">
      <c r="C2550" s="208">
        <v>34963</v>
      </c>
      <c r="D2550" s="19">
        <v>0.5</v>
      </c>
      <c r="E2550" s="3">
        <v>8</v>
      </c>
      <c r="G2550" s="3"/>
      <c r="H2550" s="3">
        <v>17.7</v>
      </c>
      <c r="I2550" s="3">
        <v>17.7</v>
      </c>
      <c r="J2550" s="3"/>
      <c r="M2550" s="3"/>
      <c r="N2550" s="3"/>
      <c r="O2550" s="3"/>
      <c r="P2550" s="3"/>
      <c r="Q2550" s="3"/>
      <c r="R2550" s="3"/>
      <c r="S2550" s="3"/>
    </row>
    <row r="2551" spans="3:19" ht="15.75" customHeight="1" x14ac:dyDescent="0.2">
      <c r="C2551" s="208">
        <v>34963</v>
      </c>
      <c r="D2551" s="19">
        <v>0.5</v>
      </c>
      <c r="E2551" s="3">
        <v>10</v>
      </c>
      <c r="G2551" s="3"/>
      <c r="H2551" s="3">
        <v>17.7</v>
      </c>
      <c r="I2551" s="3">
        <v>17.7</v>
      </c>
      <c r="J2551" s="3"/>
      <c r="M2551" s="3"/>
      <c r="N2551" s="3"/>
      <c r="O2551" s="3"/>
      <c r="P2551" s="3"/>
      <c r="Q2551" s="3"/>
      <c r="R2551" s="3"/>
      <c r="S2551" s="3"/>
    </row>
    <row r="2552" spans="3:19" ht="15.75" customHeight="1" x14ac:dyDescent="0.2">
      <c r="C2552" s="208">
        <v>34963</v>
      </c>
      <c r="D2552" s="19">
        <v>0.5</v>
      </c>
      <c r="E2552" s="3">
        <v>12</v>
      </c>
      <c r="G2552" s="3"/>
      <c r="H2552" s="3">
        <v>15.8</v>
      </c>
      <c r="I2552" s="54">
        <f>AVERAGE(I2546:I2551)</f>
        <v>17.7</v>
      </c>
      <c r="M2552" s="3"/>
      <c r="N2552" s="3"/>
      <c r="O2552" s="3"/>
      <c r="P2552" s="3"/>
      <c r="Q2552" s="3"/>
      <c r="R2552" s="3"/>
      <c r="S2552" s="3"/>
    </row>
    <row r="2553" spans="3:19" ht="15.75" customHeight="1" x14ac:dyDescent="0.2">
      <c r="C2553" s="208">
        <v>34963</v>
      </c>
      <c r="D2553" s="19">
        <v>0.5</v>
      </c>
      <c r="E2553" s="3">
        <v>14</v>
      </c>
      <c r="G2553" s="3"/>
      <c r="H2553" s="3">
        <v>12.1</v>
      </c>
      <c r="M2553" s="3"/>
      <c r="N2553" s="3"/>
      <c r="O2553" s="3"/>
      <c r="P2553" s="3"/>
      <c r="Q2553" s="3"/>
      <c r="R2553" s="3"/>
      <c r="S2553" s="3"/>
    </row>
    <row r="2554" spans="3:19" ht="15.75" customHeight="1" x14ac:dyDescent="0.2">
      <c r="C2554" s="208">
        <v>34963</v>
      </c>
      <c r="D2554" s="19">
        <v>0.5</v>
      </c>
      <c r="E2554" s="3">
        <v>16</v>
      </c>
      <c r="G2554" s="3"/>
      <c r="H2554" s="7">
        <v>9.1</v>
      </c>
      <c r="I2554" s="7"/>
      <c r="J2554" s="7"/>
      <c r="M2554" s="3"/>
      <c r="N2554" s="3"/>
      <c r="O2554" s="3"/>
      <c r="P2554" s="3"/>
      <c r="Q2554" s="3"/>
      <c r="R2554" s="3"/>
      <c r="S2554" s="3"/>
    </row>
    <row r="2555" spans="3:19" ht="15.75" customHeight="1" x14ac:dyDescent="0.2">
      <c r="C2555" s="208">
        <v>34963</v>
      </c>
      <c r="D2555" s="19">
        <v>0.5</v>
      </c>
      <c r="E2555" s="3">
        <v>18</v>
      </c>
      <c r="F2555" s="3"/>
      <c r="G2555" s="3"/>
      <c r="H2555" s="7">
        <v>7.8</v>
      </c>
      <c r="I2555" s="7"/>
      <c r="J2555" s="7"/>
      <c r="M2555" s="3"/>
      <c r="N2555" s="3"/>
      <c r="O2555" s="3"/>
      <c r="P2555" s="3"/>
      <c r="Q2555" s="3"/>
      <c r="R2555" s="3"/>
      <c r="S2555" s="3"/>
    </row>
    <row r="2556" spans="3:19" ht="15.75" customHeight="1" x14ac:dyDescent="0.2">
      <c r="C2556" s="208">
        <v>34963</v>
      </c>
      <c r="D2556" s="19">
        <v>0.5</v>
      </c>
      <c r="E2556" s="3">
        <v>20</v>
      </c>
      <c r="F2556" s="3"/>
      <c r="G2556" s="3"/>
      <c r="H2556" s="7">
        <v>7.4</v>
      </c>
      <c r="I2556" s="7"/>
      <c r="J2556" s="7"/>
      <c r="M2556" s="3"/>
      <c r="N2556" s="3"/>
      <c r="O2556" s="3"/>
      <c r="P2556" s="3"/>
      <c r="Q2556" s="3"/>
      <c r="R2556" s="3"/>
      <c r="S2556" s="3"/>
    </row>
    <row r="2557" spans="3:19" ht="15.75" customHeight="1" x14ac:dyDescent="0.2">
      <c r="C2557" s="208">
        <v>34963</v>
      </c>
      <c r="D2557" s="19">
        <v>0.5</v>
      </c>
      <c r="E2557" s="3">
        <v>30</v>
      </c>
      <c r="F2557" s="3"/>
      <c r="G2557" s="3"/>
      <c r="H2557" s="7">
        <v>6.4</v>
      </c>
      <c r="I2557" s="7"/>
      <c r="J2557" s="7"/>
      <c r="M2557" s="3"/>
      <c r="N2557" s="3"/>
      <c r="O2557" s="3"/>
      <c r="P2557" s="3"/>
      <c r="Q2557" s="3"/>
      <c r="R2557" s="3"/>
      <c r="S2557" s="3"/>
    </row>
    <row r="2558" spans="3:19" ht="15.75" customHeight="1" x14ac:dyDescent="0.2">
      <c r="C2558" s="208">
        <v>34963</v>
      </c>
      <c r="D2558" s="19">
        <v>0.5</v>
      </c>
      <c r="E2558" s="3">
        <v>40</v>
      </c>
      <c r="F2558" s="3"/>
      <c r="G2558" s="3"/>
      <c r="H2558" s="7">
        <v>6.1</v>
      </c>
      <c r="I2558" s="7"/>
      <c r="J2558" s="7"/>
      <c r="M2558" s="3"/>
      <c r="N2558" s="3"/>
      <c r="O2558" s="3"/>
      <c r="P2558" s="3"/>
      <c r="Q2558" s="3"/>
      <c r="R2558" s="3"/>
      <c r="S2558" s="3"/>
    </row>
    <row r="2559" spans="3:19" ht="15.75" customHeight="1" x14ac:dyDescent="0.2">
      <c r="C2559" s="208">
        <v>34963</v>
      </c>
      <c r="D2559" s="19">
        <v>0.5</v>
      </c>
      <c r="E2559" s="3">
        <v>45</v>
      </c>
      <c r="F2559" s="3"/>
      <c r="G2559" s="3"/>
      <c r="H2559" s="7">
        <v>5.9</v>
      </c>
      <c r="I2559" s="7"/>
      <c r="J2559" s="7"/>
      <c r="M2559" s="3"/>
      <c r="N2559" s="3"/>
      <c r="O2559" s="3"/>
      <c r="P2559" s="3"/>
      <c r="Q2559" s="3"/>
      <c r="R2559" s="3"/>
      <c r="S2559" s="3"/>
    </row>
    <row r="2560" spans="3:19" ht="15.75" customHeight="1" x14ac:dyDescent="0.2">
      <c r="C2560" s="208"/>
      <c r="D2560" s="19"/>
      <c r="F2560" s="3"/>
      <c r="G2560" s="3"/>
      <c r="H2560" s="7"/>
      <c r="I2560" s="7"/>
      <c r="J2560" s="7"/>
      <c r="K2560" s="64"/>
      <c r="L2560" s="64"/>
      <c r="M2560" s="3"/>
      <c r="N2560" s="3"/>
      <c r="O2560" s="3"/>
      <c r="P2560" s="3"/>
      <c r="Q2560" s="3"/>
      <c r="R2560" s="3"/>
      <c r="S2560" s="3"/>
    </row>
    <row r="2561" spans="3:19" ht="15.75" customHeight="1" x14ac:dyDescent="0.2">
      <c r="C2561" s="208">
        <v>34995</v>
      </c>
      <c r="D2561" s="19">
        <v>0.5</v>
      </c>
      <c r="E2561" s="1">
        <v>0.5</v>
      </c>
      <c r="F2561" s="3"/>
      <c r="G2561" s="3"/>
      <c r="H2561" s="7">
        <v>11.8</v>
      </c>
      <c r="I2561" s="7">
        <v>11.8</v>
      </c>
      <c r="J2561" s="7"/>
      <c r="L2561" s="3"/>
      <c r="M2561" s="3"/>
      <c r="N2561" s="3"/>
      <c r="O2561" s="3"/>
      <c r="P2561" s="3"/>
      <c r="Q2561" s="3"/>
      <c r="R2561" s="3"/>
      <c r="S2561" s="3"/>
    </row>
    <row r="2562" spans="3:19" ht="15.75" customHeight="1" x14ac:dyDescent="0.2">
      <c r="C2562" s="208">
        <v>34995</v>
      </c>
      <c r="D2562" s="19">
        <v>0.5</v>
      </c>
      <c r="E2562" s="1">
        <v>5</v>
      </c>
      <c r="F2562" s="3"/>
      <c r="G2562" s="3"/>
      <c r="H2562" s="7">
        <v>11.7</v>
      </c>
      <c r="I2562" s="7">
        <v>11.7</v>
      </c>
      <c r="J2562" s="7"/>
      <c r="L2562" s="3"/>
      <c r="M2562" s="3"/>
      <c r="N2562" s="3"/>
      <c r="O2562" s="3"/>
      <c r="P2562" s="3"/>
      <c r="Q2562" s="3"/>
      <c r="R2562" s="3"/>
      <c r="S2562" s="3"/>
    </row>
    <row r="2563" spans="3:19" ht="15.75" customHeight="1" x14ac:dyDescent="0.2">
      <c r="C2563" s="208">
        <v>34995</v>
      </c>
      <c r="D2563" s="19">
        <v>0.5</v>
      </c>
      <c r="E2563" s="1">
        <v>10</v>
      </c>
      <c r="F2563" s="3"/>
      <c r="G2563" s="3"/>
      <c r="H2563" s="7">
        <v>11.7</v>
      </c>
      <c r="I2563" s="7">
        <v>11.7</v>
      </c>
      <c r="J2563" s="7"/>
      <c r="L2563" s="3"/>
      <c r="M2563" s="3"/>
      <c r="N2563" s="3"/>
      <c r="O2563" s="3"/>
      <c r="P2563" s="3"/>
      <c r="Q2563" s="3"/>
      <c r="R2563" s="3"/>
      <c r="S2563" s="3"/>
    </row>
    <row r="2564" spans="3:19" ht="15.75" customHeight="1" x14ac:dyDescent="0.2">
      <c r="C2564" s="208">
        <v>34995</v>
      </c>
      <c r="D2564" s="19">
        <v>0.5</v>
      </c>
      <c r="E2564" s="1">
        <v>15</v>
      </c>
      <c r="F2564" s="3"/>
      <c r="G2564" s="3"/>
      <c r="H2564" s="7">
        <v>11.4</v>
      </c>
      <c r="I2564" s="7">
        <v>11.4</v>
      </c>
      <c r="J2564" s="7"/>
      <c r="L2564" s="3"/>
      <c r="M2564" s="3"/>
      <c r="N2564" s="3"/>
      <c r="O2564" s="3"/>
      <c r="P2564" s="3"/>
      <c r="Q2564" s="3"/>
      <c r="R2564" s="3"/>
      <c r="S2564" s="3"/>
    </row>
    <row r="2565" spans="3:19" ht="15.75" customHeight="1" x14ac:dyDescent="0.2">
      <c r="C2565" s="208">
        <v>34995</v>
      </c>
      <c r="D2565" s="19">
        <v>0.5</v>
      </c>
      <c r="E2565" s="1">
        <v>20</v>
      </c>
      <c r="F2565" s="3"/>
      <c r="G2565" s="3"/>
      <c r="H2565" s="7">
        <v>7.1</v>
      </c>
      <c r="I2565" s="17">
        <f>AVERAGE(I2561:I2564)</f>
        <v>11.65</v>
      </c>
      <c r="J2565" s="7"/>
      <c r="L2565" s="3"/>
      <c r="M2565" s="3"/>
      <c r="N2565" s="3"/>
      <c r="O2565" s="3"/>
      <c r="P2565" s="3"/>
      <c r="Q2565" s="3"/>
      <c r="R2565" s="3"/>
      <c r="S2565" s="3"/>
    </row>
    <row r="2566" spans="3:19" ht="15.75" customHeight="1" x14ac:dyDescent="0.2">
      <c r="C2566" s="208">
        <v>34995</v>
      </c>
      <c r="D2566" s="19">
        <v>0.5</v>
      </c>
      <c r="E2566" s="1">
        <v>30</v>
      </c>
      <c r="F2566" s="3"/>
      <c r="G2566" s="3"/>
      <c r="H2566" s="7">
        <v>6.2</v>
      </c>
      <c r="J2566" s="7"/>
      <c r="L2566" s="3"/>
      <c r="M2566" s="3"/>
      <c r="N2566" s="3"/>
      <c r="O2566" s="3"/>
      <c r="P2566" s="3"/>
      <c r="Q2566" s="3"/>
      <c r="R2566" s="3"/>
      <c r="S2566" s="3"/>
    </row>
    <row r="2567" spans="3:19" ht="15.75" customHeight="1" x14ac:dyDescent="0.2">
      <c r="C2567" s="208">
        <v>34995</v>
      </c>
      <c r="D2567" s="19">
        <v>0.5</v>
      </c>
      <c r="E2567" s="1">
        <v>40</v>
      </c>
      <c r="F2567" s="3"/>
      <c r="G2567" s="3"/>
      <c r="H2567" s="7">
        <v>5.9</v>
      </c>
      <c r="J2567" s="7"/>
      <c r="L2567" s="3"/>
      <c r="M2567" s="3"/>
      <c r="N2567" s="3"/>
      <c r="O2567" s="3"/>
      <c r="P2567" s="3"/>
      <c r="Q2567" s="3"/>
      <c r="R2567" s="3"/>
      <c r="S2567" s="3"/>
    </row>
    <row r="2568" spans="3:19" ht="15.75" customHeight="1" x14ac:dyDescent="0.2">
      <c r="C2568" s="208">
        <v>34995</v>
      </c>
      <c r="D2568" s="19">
        <v>0.5</v>
      </c>
      <c r="E2568" s="1">
        <v>43</v>
      </c>
      <c r="F2568" s="3"/>
      <c r="G2568" s="3"/>
      <c r="H2568" s="7">
        <v>5.9</v>
      </c>
      <c r="J2568" s="7"/>
      <c r="L2568" s="3"/>
      <c r="M2568" s="3"/>
      <c r="N2568" s="3"/>
      <c r="O2568" s="3"/>
      <c r="P2568" s="3"/>
      <c r="Q2568" s="3"/>
      <c r="R2568" s="3"/>
      <c r="S2568" s="3"/>
    </row>
    <row r="2569" spans="3:19" ht="15.75" customHeight="1" x14ac:dyDescent="0.2">
      <c r="C2569" s="208"/>
      <c r="D2569" s="19"/>
      <c r="G2569" s="3"/>
      <c r="H2569" s="7"/>
      <c r="J2569" s="7"/>
      <c r="L2569" s="3"/>
      <c r="M2569" s="3"/>
      <c r="N2569" s="3"/>
      <c r="O2569" s="3"/>
      <c r="P2569" s="3"/>
      <c r="Q2569" s="3"/>
      <c r="R2569" s="3"/>
      <c r="S2569" s="3"/>
    </row>
    <row r="2570" spans="3:19" ht="15.75" customHeight="1" x14ac:dyDescent="0.2">
      <c r="C2570" s="208">
        <v>34423</v>
      </c>
      <c r="D2570" s="3"/>
      <c r="E2570" s="1">
        <v>0.5</v>
      </c>
      <c r="G2570" s="3"/>
      <c r="H2570" s="1">
        <v>4.5999999999999996</v>
      </c>
      <c r="I2570" s="1">
        <v>4.5999999999999996</v>
      </c>
      <c r="J2570" s="7"/>
      <c r="O2570" s="3"/>
      <c r="P2570" s="3"/>
      <c r="Q2570" s="3"/>
      <c r="R2570" s="3"/>
      <c r="S2570" s="3"/>
    </row>
    <row r="2571" spans="3:19" ht="15.75" customHeight="1" x14ac:dyDescent="0.2">
      <c r="C2571" s="208">
        <v>34423</v>
      </c>
      <c r="D2571" s="3"/>
      <c r="E2571" s="1">
        <v>7</v>
      </c>
      <c r="G2571" s="3"/>
      <c r="H2571" s="1">
        <v>4.0999999999999996</v>
      </c>
      <c r="J2571" s="7"/>
      <c r="O2571" s="3"/>
      <c r="P2571" s="3"/>
      <c r="Q2571" s="3"/>
      <c r="R2571" s="3"/>
      <c r="S2571" s="3"/>
    </row>
    <row r="2572" spans="3:19" ht="15.75" customHeight="1" x14ac:dyDescent="0.2">
      <c r="C2572" s="208"/>
      <c r="D2572" s="3"/>
      <c r="G2572" s="3"/>
      <c r="J2572" s="7"/>
      <c r="O2572" s="3"/>
      <c r="P2572" s="3"/>
      <c r="Q2572" s="3"/>
      <c r="R2572" s="3"/>
      <c r="S2572" s="3"/>
    </row>
    <row r="2573" spans="3:19" ht="15.75" customHeight="1" x14ac:dyDescent="0.2">
      <c r="C2573" s="208">
        <v>34451</v>
      </c>
      <c r="D2573" s="3"/>
      <c r="E2573" s="1">
        <v>0.5</v>
      </c>
      <c r="G2573" s="3"/>
      <c r="H2573" s="1">
        <v>5.3</v>
      </c>
      <c r="I2573" s="1">
        <v>5.3</v>
      </c>
      <c r="J2573" s="7"/>
      <c r="O2573" s="3"/>
      <c r="P2573" s="3"/>
      <c r="Q2573" s="3"/>
      <c r="R2573" s="3"/>
      <c r="S2573" s="3"/>
    </row>
    <row r="2574" spans="3:19" ht="15.75" customHeight="1" x14ac:dyDescent="0.2">
      <c r="C2574" s="208">
        <v>34451</v>
      </c>
      <c r="D2574" s="3"/>
      <c r="E2574" s="1">
        <v>10</v>
      </c>
      <c r="G2574" s="3"/>
      <c r="H2574" s="1">
        <v>5.2</v>
      </c>
      <c r="J2574" s="7"/>
      <c r="O2574" s="3"/>
      <c r="P2574" s="3"/>
      <c r="Q2574" s="3"/>
      <c r="R2574" s="3"/>
      <c r="S2574" s="3"/>
    </row>
    <row r="2575" spans="3:19" ht="15.75" customHeight="1" x14ac:dyDescent="0.2">
      <c r="C2575" s="208"/>
      <c r="D2575" s="3"/>
      <c r="G2575" s="3"/>
      <c r="J2575" s="7"/>
      <c r="O2575" s="3"/>
      <c r="P2575" s="3"/>
      <c r="Q2575" s="3"/>
      <c r="R2575" s="3"/>
      <c r="S2575" s="3"/>
    </row>
    <row r="2576" spans="3:19" ht="15.75" customHeight="1" x14ac:dyDescent="0.2">
      <c r="C2576" s="208">
        <v>34473</v>
      </c>
      <c r="D2576" s="3"/>
      <c r="E2576" s="1">
        <v>0.5</v>
      </c>
      <c r="G2576" s="3"/>
      <c r="H2576" s="1">
        <v>11.2</v>
      </c>
      <c r="I2576" s="1">
        <v>11.2</v>
      </c>
      <c r="J2576" s="7"/>
      <c r="O2576" s="3"/>
      <c r="P2576" s="3"/>
      <c r="Q2576" s="3"/>
      <c r="R2576" s="3"/>
      <c r="S2576" s="3"/>
    </row>
    <row r="2577" spans="3:19" ht="15.75" customHeight="1" x14ac:dyDescent="0.2">
      <c r="C2577" s="208">
        <v>34473</v>
      </c>
      <c r="D2577" s="3"/>
      <c r="E2577" s="1">
        <v>10</v>
      </c>
      <c r="G2577" s="3"/>
      <c r="H2577" s="1">
        <v>7.8</v>
      </c>
      <c r="J2577" s="7"/>
      <c r="O2577" s="3"/>
      <c r="P2577" s="3"/>
      <c r="Q2577" s="3"/>
      <c r="R2577" s="3"/>
      <c r="S2577" s="3"/>
    </row>
    <row r="2578" spans="3:19" ht="15.75" customHeight="1" x14ac:dyDescent="0.2">
      <c r="C2578" s="208"/>
      <c r="D2578" s="3"/>
      <c r="G2578" s="3"/>
      <c r="J2578" s="7"/>
      <c r="O2578" s="3"/>
      <c r="P2578" s="3"/>
      <c r="Q2578" s="3"/>
      <c r="R2578" s="3"/>
      <c r="S2578" s="3"/>
    </row>
    <row r="2579" spans="3:19" ht="15.75" customHeight="1" x14ac:dyDescent="0.2">
      <c r="C2579" s="208">
        <v>34488</v>
      </c>
      <c r="D2579" s="3"/>
      <c r="E2579" s="1">
        <v>0.5</v>
      </c>
      <c r="G2579" s="3"/>
      <c r="H2579" s="1">
        <v>13</v>
      </c>
      <c r="I2579" s="1">
        <v>13</v>
      </c>
      <c r="J2579" s="7"/>
      <c r="O2579" s="3"/>
      <c r="P2579" s="3"/>
      <c r="Q2579" s="3"/>
      <c r="R2579" s="3"/>
      <c r="S2579" s="3"/>
    </row>
    <row r="2580" spans="3:19" ht="15.75" customHeight="1" x14ac:dyDescent="0.2">
      <c r="C2580" s="208">
        <v>34488</v>
      </c>
      <c r="D2580" s="3"/>
      <c r="E2580" s="1">
        <v>2</v>
      </c>
      <c r="G2580" s="3"/>
      <c r="H2580" s="1">
        <v>12.6</v>
      </c>
      <c r="J2580" s="7"/>
      <c r="O2580" s="3"/>
      <c r="P2580" s="3"/>
      <c r="Q2580" s="3"/>
      <c r="R2580" s="3"/>
      <c r="S2580" s="3"/>
    </row>
    <row r="2581" spans="3:19" ht="15.75" customHeight="1" x14ac:dyDescent="0.2">
      <c r="C2581" s="208"/>
      <c r="D2581" s="3"/>
      <c r="G2581" s="3"/>
      <c r="J2581" s="7"/>
      <c r="O2581" s="3"/>
      <c r="P2581" s="3"/>
      <c r="Q2581" s="3"/>
      <c r="R2581" s="3"/>
      <c r="S2581" s="3"/>
    </row>
    <row r="2582" spans="3:19" ht="15.75" customHeight="1" x14ac:dyDescent="0.2">
      <c r="C2582" s="208">
        <v>34507</v>
      </c>
      <c r="D2582" s="3"/>
      <c r="E2582" s="1">
        <v>0.5</v>
      </c>
      <c r="G2582" s="3"/>
      <c r="H2582" s="1">
        <v>19</v>
      </c>
      <c r="I2582" s="1">
        <v>19</v>
      </c>
      <c r="J2582" s="7"/>
      <c r="O2582" s="3"/>
      <c r="P2582" s="3"/>
      <c r="Q2582" s="3"/>
      <c r="R2582" s="3"/>
      <c r="S2582" s="3"/>
    </row>
    <row r="2583" spans="3:19" ht="15.75" customHeight="1" x14ac:dyDescent="0.2">
      <c r="C2583" s="208">
        <v>34507</v>
      </c>
      <c r="D2583" s="3"/>
      <c r="E2583" s="1">
        <v>2</v>
      </c>
      <c r="G2583" s="3"/>
      <c r="H2583" s="1">
        <v>17.8</v>
      </c>
      <c r="J2583" s="7"/>
      <c r="O2583" s="3"/>
      <c r="P2583" s="3"/>
      <c r="Q2583" s="3"/>
      <c r="R2583" s="3"/>
      <c r="S2583" s="3"/>
    </row>
    <row r="2584" spans="3:19" ht="15.75" customHeight="1" x14ac:dyDescent="0.2">
      <c r="C2584" s="208"/>
      <c r="D2584" s="3"/>
      <c r="G2584" s="3"/>
      <c r="J2584" s="7"/>
      <c r="O2584" s="3"/>
      <c r="P2584" s="3"/>
      <c r="Q2584" s="3"/>
      <c r="R2584" s="3"/>
      <c r="S2584" s="3"/>
    </row>
    <row r="2585" spans="3:19" ht="15.75" customHeight="1" x14ac:dyDescent="0.2">
      <c r="C2585" s="208"/>
      <c r="D2585" s="19"/>
      <c r="G2585" s="3"/>
      <c r="H2585" s="7"/>
      <c r="I2585" s="7"/>
      <c r="J2585" s="7"/>
      <c r="O2585" s="3"/>
      <c r="P2585" s="3"/>
      <c r="Q2585" s="3"/>
      <c r="R2585" s="3"/>
      <c r="S2585" s="3"/>
    </row>
    <row r="2586" spans="3:19" ht="15.75" customHeight="1" x14ac:dyDescent="0.2">
      <c r="C2586" s="208">
        <v>34527</v>
      </c>
      <c r="D2586" s="12">
        <v>0.5</v>
      </c>
      <c r="E2586" s="1" t="s">
        <v>258</v>
      </c>
      <c r="H2586" s="1" t="s">
        <v>259</v>
      </c>
      <c r="I2586" s="1">
        <v>20.2</v>
      </c>
      <c r="L2586" s="3"/>
      <c r="M2586" s="3"/>
      <c r="N2586" s="3"/>
      <c r="O2586" s="3"/>
      <c r="P2586" s="3"/>
      <c r="Q2586" s="3"/>
      <c r="R2586" s="3"/>
      <c r="S2586" s="3"/>
    </row>
    <row r="2587" spans="3:19" ht="15.75" customHeight="1" x14ac:dyDescent="0.2">
      <c r="C2587" s="208">
        <v>34527</v>
      </c>
      <c r="D2587" s="12">
        <v>0.5</v>
      </c>
      <c r="E2587" s="1" t="s">
        <v>132</v>
      </c>
      <c r="H2587" s="1" t="s">
        <v>212</v>
      </c>
      <c r="I2587" s="1">
        <v>20</v>
      </c>
      <c r="L2587" s="3"/>
      <c r="M2587" s="3"/>
      <c r="N2587" s="3"/>
      <c r="O2587" s="3"/>
      <c r="P2587" s="3"/>
      <c r="Q2587" s="3"/>
      <c r="R2587" s="3"/>
      <c r="S2587" s="3"/>
    </row>
    <row r="2588" spans="3:19" ht="15.75" customHeight="1" x14ac:dyDescent="0.2">
      <c r="C2588" s="208">
        <v>34527</v>
      </c>
      <c r="D2588" s="12">
        <v>0.5</v>
      </c>
      <c r="E2588" s="1" t="s">
        <v>188</v>
      </c>
      <c r="H2588" s="1" t="s">
        <v>260</v>
      </c>
      <c r="I2588" s="1">
        <v>19.8</v>
      </c>
      <c r="L2588" s="3"/>
      <c r="M2588" s="3"/>
      <c r="N2588" s="3"/>
      <c r="O2588" s="3"/>
      <c r="P2588" s="3"/>
      <c r="Q2588" s="3"/>
      <c r="R2588" s="3"/>
      <c r="S2588" s="3"/>
    </row>
    <row r="2589" spans="3:19" ht="15.75" customHeight="1" x14ac:dyDescent="0.2">
      <c r="C2589" s="208">
        <v>34527</v>
      </c>
      <c r="D2589" s="12">
        <v>0.5</v>
      </c>
      <c r="E2589" s="1" t="s">
        <v>190</v>
      </c>
      <c r="H2589" s="1" t="s">
        <v>135</v>
      </c>
      <c r="I2589" s="1">
        <v>19.600000000000001</v>
      </c>
      <c r="L2589" s="3"/>
      <c r="M2589" s="3"/>
      <c r="N2589" s="3"/>
      <c r="O2589" s="3"/>
      <c r="P2589" s="3"/>
      <c r="Q2589" s="3"/>
      <c r="R2589" s="3"/>
      <c r="S2589" s="3"/>
    </row>
    <row r="2590" spans="3:19" ht="15.75" customHeight="1" x14ac:dyDescent="0.2">
      <c r="C2590" s="208">
        <v>34527</v>
      </c>
      <c r="D2590" s="12">
        <v>0.5</v>
      </c>
      <c r="E2590" s="1" t="s">
        <v>194</v>
      </c>
      <c r="H2590" s="1" t="s">
        <v>114</v>
      </c>
      <c r="I2590" s="47">
        <f>AVERAGE(I2586:I2589)</f>
        <v>19.899999999999999</v>
      </c>
      <c r="L2590" s="3"/>
      <c r="M2590" s="3"/>
      <c r="N2590" s="3"/>
      <c r="O2590" s="3"/>
      <c r="P2590" s="3"/>
      <c r="Q2590" s="3"/>
      <c r="R2590" s="3"/>
      <c r="S2590" s="3"/>
    </row>
    <row r="2591" spans="3:19" ht="15.75" customHeight="1" x14ac:dyDescent="0.2">
      <c r="C2591" s="208">
        <v>34527</v>
      </c>
      <c r="D2591" s="12">
        <v>0.5</v>
      </c>
      <c r="E2591" s="1" t="s">
        <v>186</v>
      </c>
      <c r="H2591" s="1" t="s">
        <v>261</v>
      </c>
      <c r="I2591" s="3"/>
      <c r="L2591" s="3"/>
      <c r="M2591" s="3"/>
      <c r="N2591" s="3"/>
      <c r="O2591" s="3"/>
      <c r="P2591" s="3"/>
      <c r="Q2591" s="3"/>
      <c r="R2591" s="3"/>
      <c r="S2591" s="3"/>
    </row>
    <row r="2592" spans="3:19" ht="15.75" customHeight="1" x14ac:dyDescent="0.2">
      <c r="C2592" s="208">
        <v>34527</v>
      </c>
      <c r="D2592" s="12">
        <v>0.5</v>
      </c>
      <c r="E2592" s="1" t="s">
        <v>117</v>
      </c>
      <c r="H2592" s="1" t="s">
        <v>182</v>
      </c>
      <c r="I2592" s="3"/>
      <c r="L2592" s="3"/>
      <c r="M2592" s="3"/>
      <c r="N2592" s="3"/>
      <c r="O2592" s="3"/>
      <c r="P2592" s="3"/>
      <c r="Q2592" s="3"/>
      <c r="R2592" s="3"/>
      <c r="S2592" s="3"/>
    </row>
    <row r="2593" spans="3:19" ht="15.75" customHeight="1" x14ac:dyDescent="0.2">
      <c r="C2593" s="208">
        <v>34527</v>
      </c>
      <c r="D2593" s="12">
        <v>0.5</v>
      </c>
      <c r="E2593" s="1" t="s">
        <v>202</v>
      </c>
      <c r="H2593" s="1" t="s">
        <v>196</v>
      </c>
      <c r="I2593" s="3"/>
      <c r="L2593" s="3"/>
      <c r="M2593" s="3"/>
      <c r="N2593" s="3"/>
      <c r="O2593" s="3"/>
      <c r="P2593" s="3"/>
      <c r="Q2593" s="3"/>
      <c r="R2593" s="3"/>
      <c r="S2593" s="3"/>
    </row>
    <row r="2594" spans="3:19" ht="15.75" customHeight="1" x14ac:dyDescent="0.2">
      <c r="C2594" s="208">
        <v>34527</v>
      </c>
      <c r="D2594" s="12">
        <v>0.5</v>
      </c>
      <c r="E2594" s="1" t="s">
        <v>181</v>
      </c>
      <c r="H2594" s="1" t="s">
        <v>239</v>
      </c>
      <c r="I2594" s="3"/>
      <c r="L2594" s="3"/>
      <c r="M2594" s="3"/>
      <c r="N2594" s="3"/>
      <c r="O2594" s="3"/>
      <c r="P2594" s="3"/>
      <c r="Q2594" s="3"/>
      <c r="R2594" s="3"/>
      <c r="S2594" s="3"/>
    </row>
    <row r="2595" spans="3:19" ht="15.75" customHeight="1" x14ac:dyDescent="0.2">
      <c r="C2595" s="208">
        <v>34527</v>
      </c>
      <c r="D2595" s="12">
        <v>0.5</v>
      </c>
      <c r="E2595" s="1" t="s">
        <v>209</v>
      </c>
      <c r="H2595" s="1" t="s">
        <v>242</v>
      </c>
      <c r="I2595" s="3"/>
      <c r="L2595" s="3"/>
      <c r="M2595" s="3"/>
      <c r="N2595" s="3"/>
      <c r="O2595" s="3"/>
      <c r="P2595" s="3"/>
      <c r="Q2595" s="3"/>
      <c r="R2595" s="3"/>
      <c r="S2595" s="3"/>
    </row>
    <row r="2596" spans="3:19" ht="15.75" customHeight="1" x14ac:dyDescent="0.2">
      <c r="C2596" s="208">
        <v>34527</v>
      </c>
      <c r="D2596" s="12">
        <v>0.5</v>
      </c>
      <c r="E2596" s="1" t="s">
        <v>212</v>
      </c>
      <c r="H2596" s="1" t="s">
        <v>231</v>
      </c>
      <c r="I2596" s="3"/>
      <c r="L2596" s="3"/>
      <c r="M2596" s="3"/>
      <c r="N2596" s="3"/>
      <c r="O2596" s="3"/>
      <c r="P2596" s="3"/>
      <c r="Q2596" s="3"/>
      <c r="R2596" s="3"/>
      <c r="S2596" s="3"/>
    </row>
    <row r="2597" spans="3:19" ht="15.75" customHeight="1" x14ac:dyDescent="0.2">
      <c r="C2597" s="208">
        <v>34527</v>
      </c>
      <c r="D2597" s="12">
        <v>0.5</v>
      </c>
      <c r="E2597" s="1" t="s">
        <v>262</v>
      </c>
      <c r="H2597" s="1" t="s">
        <v>249</v>
      </c>
      <c r="I2597" s="3"/>
      <c r="L2597" s="3"/>
      <c r="M2597" s="3"/>
      <c r="N2597" s="3"/>
      <c r="O2597" s="3"/>
      <c r="P2597" s="3"/>
      <c r="Q2597" s="3"/>
      <c r="R2597" s="3"/>
      <c r="S2597" s="3"/>
    </row>
    <row r="2598" spans="3:19" ht="15.75" customHeight="1" x14ac:dyDescent="0.2">
      <c r="C2598" s="208">
        <v>34527</v>
      </c>
      <c r="D2598" s="12">
        <v>0.5</v>
      </c>
      <c r="E2598" s="1" t="s">
        <v>263</v>
      </c>
      <c r="H2598" s="1" t="s">
        <v>264</v>
      </c>
      <c r="I2598" s="3"/>
      <c r="L2598" s="3"/>
      <c r="M2598" s="3"/>
      <c r="N2598" s="3"/>
      <c r="O2598" s="3"/>
      <c r="P2598" s="3"/>
      <c r="Q2598" s="3"/>
      <c r="R2598" s="3"/>
      <c r="S2598" s="3"/>
    </row>
    <row r="2599" spans="3:19" ht="15.75" customHeight="1" x14ac:dyDescent="0.2">
      <c r="C2599" s="208">
        <v>34527</v>
      </c>
      <c r="D2599" s="12">
        <v>0.5</v>
      </c>
      <c r="E2599" s="1" t="s">
        <v>265</v>
      </c>
      <c r="H2599" s="1" t="s">
        <v>266</v>
      </c>
      <c r="I2599" s="3"/>
      <c r="L2599" s="3"/>
      <c r="M2599" s="3"/>
      <c r="N2599" s="3"/>
      <c r="O2599" s="3"/>
      <c r="P2599" s="3"/>
      <c r="Q2599" s="3"/>
      <c r="R2599" s="3"/>
      <c r="S2599" s="3"/>
    </row>
    <row r="2600" spans="3:19" ht="15.75" customHeight="1" x14ac:dyDescent="0.2">
      <c r="C2600" s="208"/>
      <c r="D2600" s="19"/>
      <c r="E2600" s="3"/>
      <c r="G2600" s="3"/>
      <c r="H2600" s="7"/>
      <c r="I2600" s="7"/>
      <c r="J2600" s="7"/>
      <c r="L2600" s="3"/>
      <c r="M2600" s="3"/>
      <c r="N2600" s="3"/>
      <c r="O2600" s="3"/>
      <c r="P2600" s="3"/>
      <c r="Q2600" s="3"/>
      <c r="R2600" s="3"/>
      <c r="S2600" s="3"/>
    </row>
    <row r="2601" spans="3:19" ht="15.75" customHeight="1" x14ac:dyDescent="0.2">
      <c r="C2601" s="208">
        <v>34555</v>
      </c>
      <c r="D2601" s="19">
        <v>0.5</v>
      </c>
      <c r="E2601" s="1">
        <v>0.5</v>
      </c>
      <c r="G2601" s="3"/>
      <c r="H2601" s="7">
        <v>21.4</v>
      </c>
      <c r="I2601" s="7">
        <v>21.4</v>
      </c>
      <c r="J2601" s="7"/>
      <c r="L2601" s="3"/>
      <c r="M2601" s="3"/>
      <c r="N2601" s="3"/>
      <c r="O2601" s="3"/>
      <c r="P2601" s="3"/>
      <c r="Q2601" s="3"/>
      <c r="R2601" s="3"/>
      <c r="S2601" s="3"/>
    </row>
    <row r="2602" spans="3:19" ht="15.75" customHeight="1" x14ac:dyDescent="0.2">
      <c r="C2602" s="208">
        <v>34555</v>
      </c>
      <c r="D2602" s="19">
        <v>0.5</v>
      </c>
      <c r="E2602" s="1">
        <v>2</v>
      </c>
      <c r="G2602" s="3"/>
      <c r="H2602" s="7">
        <v>21.5</v>
      </c>
      <c r="I2602" s="7">
        <v>21.5</v>
      </c>
      <c r="J2602" s="7"/>
      <c r="L2602" s="3"/>
      <c r="M2602" s="3"/>
      <c r="N2602" s="3"/>
      <c r="O2602" s="3"/>
      <c r="P2602" s="3"/>
      <c r="Q2602" s="3"/>
      <c r="R2602" s="3"/>
      <c r="S2602" s="3"/>
    </row>
    <row r="2603" spans="3:19" ht="15.75" customHeight="1" x14ac:dyDescent="0.2">
      <c r="C2603" s="208">
        <v>34555</v>
      </c>
      <c r="D2603" s="19">
        <v>0.5</v>
      </c>
      <c r="E2603" s="1">
        <v>4</v>
      </c>
      <c r="G2603" s="3"/>
      <c r="H2603" s="7">
        <v>21.5</v>
      </c>
      <c r="I2603" s="7">
        <v>21.5</v>
      </c>
      <c r="J2603" s="7"/>
      <c r="L2603" s="3"/>
      <c r="M2603" s="3"/>
      <c r="N2603" s="3"/>
      <c r="O2603" s="3"/>
      <c r="P2603" s="3"/>
      <c r="Q2603" s="3"/>
      <c r="R2603" s="3"/>
      <c r="S2603" s="3"/>
    </row>
    <row r="2604" spans="3:19" ht="15.75" customHeight="1" x14ac:dyDescent="0.2">
      <c r="C2604" s="208">
        <v>34555</v>
      </c>
      <c r="D2604" s="19">
        <v>0.5</v>
      </c>
      <c r="E2604" s="1">
        <v>6</v>
      </c>
      <c r="G2604" s="3"/>
      <c r="H2604" s="7">
        <v>21.5</v>
      </c>
      <c r="I2604" s="7">
        <v>21.5</v>
      </c>
      <c r="J2604" s="7"/>
      <c r="L2604" s="3"/>
      <c r="M2604" s="3"/>
      <c r="N2604" s="3"/>
      <c r="O2604" s="3"/>
      <c r="P2604" s="3"/>
      <c r="Q2604" s="3"/>
      <c r="R2604" s="3"/>
      <c r="S2604" s="3"/>
    </row>
    <row r="2605" spans="3:19" ht="15.75" customHeight="1" x14ac:dyDescent="0.2">
      <c r="C2605" s="208">
        <v>34555</v>
      </c>
      <c r="D2605" s="19">
        <v>0.5</v>
      </c>
      <c r="E2605" s="1">
        <v>8</v>
      </c>
      <c r="G2605" s="3"/>
      <c r="H2605" s="7">
        <v>21.4</v>
      </c>
      <c r="I2605" s="7">
        <v>21.4</v>
      </c>
      <c r="J2605" s="7"/>
      <c r="L2605" s="3"/>
      <c r="M2605" s="3"/>
      <c r="N2605" s="3"/>
      <c r="O2605" s="3"/>
      <c r="P2605" s="3"/>
      <c r="Q2605" s="3"/>
      <c r="R2605" s="3"/>
      <c r="S2605" s="3"/>
    </row>
    <row r="2606" spans="3:19" ht="15.75" customHeight="1" x14ac:dyDescent="0.2">
      <c r="C2606" s="208">
        <v>34555</v>
      </c>
      <c r="D2606" s="19">
        <v>0.5</v>
      </c>
      <c r="E2606" s="1">
        <v>10</v>
      </c>
      <c r="G2606" s="3"/>
      <c r="H2606" s="7">
        <v>17.100000000000001</v>
      </c>
      <c r="I2606" s="17">
        <f>AVERAGE(I2601:I2605)</f>
        <v>21.46</v>
      </c>
      <c r="J2606" s="17"/>
      <c r="L2606" s="3"/>
      <c r="M2606" s="3"/>
      <c r="N2606" s="3"/>
      <c r="O2606" s="3"/>
      <c r="P2606" s="3"/>
      <c r="Q2606" s="3"/>
      <c r="R2606" s="3"/>
      <c r="S2606" s="3"/>
    </row>
    <row r="2607" spans="3:19" ht="15.75" customHeight="1" x14ac:dyDescent="0.2">
      <c r="C2607" s="208">
        <v>34555</v>
      </c>
      <c r="D2607" s="19">
        <v>0.5</v>
      </c>
      <c r="E2607" s="1">
        <v>12</v>
      </c>
      <c r="G2607" s="3"/>
      <c r="H2607" s="7">
        <v>13.1</v>
      </c>
      <c r="I2607" s="7"/>
      <c r="J2607" s="7"/>
      <c r="L2607" s="3"/>
      <c r="M2607" s="3"/>
      <c r="N2607" s="3"/>
      <c r="O2607" s="3"/>
      <c r="P2607" s="3"/>
      <c r="Q2607" s="3"/>
      <c r="R2607" s="3"/>
      <c r="S2607" s="3"/>
    </row>
    <row r="2608" spans="3:19" ht="15.75" customHeight="1" x14ac:dyDescent="0.2">
      <c r="C2608" s="208">
        <v>34555</v>
      </c>
      <c r="D2608" s="19">
        <v>0.5</v>
      </c>
      <c r="E2608" s="1">
        <v>14</v>
      </c>
      <c r="G2608" s="3"/>
      <c r="H2608" s="7">
        <v>9.9</v>
      </c>
      <c r="I2608" s="7"/>
      <c r="J2608" s="7"/>
      <c r="L2608" s="3"/>
      <c r="M2608" s="3"/>
      <c r="N2608" s="3"/>
      <c r="O2608" s="3"/>
      <c r="P2608" s="3"/>
      <c r="Q2608" s="3"/>
      <c r="R2608" s="3"/>
      <c r="S2608" s="3"/>
    </row>
    <row r="2609" spans="3:19" ht="15.75" customHeight="1" x14ac:dyDescent="0.2">
      <c r="C2609" s="208">
        <v>34555</v>
      </c>
      <c r="D2609" s="19">
        <v>0.5</v>
      </c>
      <c r="E2609" s="1">
        <v>16</v>
      </c>
      <c r="G2609" s="3"/>
      <c r="H2609" s="7">
        <v>7.9</v>
      </c>
      <c r="I2609" s="7"/>
      <c r="J2609" s="7"/>
      <c r="L2609" s="3"/>
      <c r="M2609" s="3"/>
      <c r="N2609" s="3"/>
      <c r="O2609" s="3"/>
      <c r="P2609" s="3"/>
      <c r="Q2609" s="3"/>
      <c r="R2609" s="3"/>
      <c r="S2609" s="3"/>
    </row>
    <row r="2610" spans="3:19" ht="15.75" customHeight="1" x14ac:dyDescent="0.2">
      <c r="C2610" s="208">
        <v>34555</v>
      </c>
      <c r="D2610" s="19">
        <v>0.5</v>
      </c>
      <c r="E2610" s="1">
        <v>17</v>
      </c>
      <c r="G2610" s="3"/>
      <c r="H2610" s="7">
        <v>7.6</v>
      </c>
      <c r="I2610" s="7"/>
      <c r="J2610" s="7"/>
      <c r="L2610" s="3"/>
      <c r="M2610" s="3"/>
      <c r="N2610" s="3"/>
      <c r="O2610" s="3"/>
      <c r="P2610" s="3"/>
      <c r="Q2610" s="3"/>
      <c r="R2610" s="3"/>
      <c r="S2610" s="3"/>
    </row>
    <row r="2611" spans="3:19" ht="15.75" customHeight="1" x14ac:dyDescent="0.2">
      <c r="C2611" s="208">
        <v>34555</v>
      </c>
      <c r="D2611" s="19">
        <v>0.5</v>
      </c>
      <c r="E2611" s="1">
        <v>18</v>
      </c>
      <c r="G2611" s="3"/>
      <c r="H2611" s="7">
        <v>7.3</v>
      </c>
      <c r="I2611" s="7"/>
      <c r="J2611" s="7"/>
      <c r="L2611" s="3"/>
      <c r="M2611" s="3"/>
      <c r="N2611" s="3"/>
      <c r="O2611" s="3"/>
      <c r="P2611" s="3"/>
      <c r="Q2611" s="3"/>
      <c r="R2611" s="3"/>
      <c r="S2611" s="3"/>
    </row>
    <row r="2612" spans="3:19" ht="15.75" customHeight="1" x14ac:dyDescent="0.2">
      <c r="C2612" s="208">
        <v>34555</v>
      </c>
      <c r="D2612" s="19">
        <v>0.5</v>
      </c>
      <c r="E2612" s="1">
        <v>20</v>
      </c>
      <c r="G2612" s="3"/>
      <c r="H2612" s="7">
        <v>6.9</v>
      </c>
      <c r="I2612" s="7"/>
      <c r="J2612" s="7"/>
      <c r="L2612" s="3"/>
      <c r="M2612" s="3"/>
      <c r="N2612" s="3"/>
      <c r="O2612" s="3"/>
      <c r="P2612" s="3"/>
      <c r="Q2612" s="3"/>
      <c r="R2612" s="3"/>
      <c r="S2612" s="3"/>
    </row>
    <row r="2613" spans="3:19" ht="15.75" customHeight="1" x14ac:dyDescent="0.2">
      <c r="C2613" s="208">
        <v>34555</v>
      </c>
      <c r="D2613" s="19">
        <v>0.5</v>
      </c>
      <c r="E2613" s="1">
        <v>30</v>
      </c>
      <c r="G2613" s="3"/>
      <c r="H2613" s="7">
        <v>5.5</v>
      </c>
      <c r="I2613" s="7"/>
      <c r="J2613" s="7"/>
      <c r="L2613" s="3"/>
      <c r="M2613" s="3"/>
      <c r="N2613" s="3"/>
      <c r="O2613" s="3"/>
      <c r="P2613" s="3"/>
      <c r="Q2613" s="3"/>
      <c r="R2613" s="3"/>
      <c r="S2613" s="3"/>
    </row>
    <row r="2614" spans="3:19" ht="15.75" customHeight="1" x14ac:dyDescent="0.2">
      <c r="C2614" s="208">
        <v>34555</v>
      </c>
      <c r="D2614" s="19">
        <v>0.5</v>
      </c>
      <c r="E2614" s="1">
        <v>40</v>
      </c>
      <c r="G2614" s="3"/>
      <c r="H2614" s="7">
        <v>5.3</v>
      </c>
      <c r="I2614" s="7"/>
      <c r="J2614" s="7"/>
      <c r="L2614" s="3"/>
      <c r="M2614" s="3"/>
      <c r="N2614" s="3"/>
      <c r="O2614" s="3"/>
      <c r="P2614" s="3"/>
      <c r="Q2614" s="3"/>
      <c r="R2614" s="3"/>
      <c r="S2614" s="3"/>
    </row>
    <row r="2615" spans="3:19" ht="15.75" customHeight="1" x14ac:dyDescent="0.2">
      <c r="C2615" s="208">
        <v>34555</v>
      </c>
      <c r="D2615" s="19">
        <v>0.5</v>
      </c>
      <c r="E2615" s="1">
        <v>47</v>
      </c>
      <c r="G2615" s="3"/>
      <c r="H2615" s="7">
        <v>5.3</v>
      </c>
      <c r="I2615" s="7"/>
      <c r="J2615" s="7"/>
      <c r="L2615" s="3"/>
      <c r="M2615" s="3"/>
      <c r="N2615" s="3"/>
      <c r="O2615" s="3"/>
      <c r="P2615" s="3"/>
      <c r="Q2615" s="3"/>
      <c r="R2615" s="3"/>
      <c r="S2615" s="3"/>
    </row>
    <row r="2616" spans="3:19" ht="15.75" customHeight="1" x14ac:dyDescent="0.2">
      <c r="C2616" s="208"/>
      <c r="D2616" s="19"/>
      <c r="G2616" s="3"/>
      <c r="H2616" s="7"/>
      <c r="I2616" s="7"/>
      <c r="J2616" s="7"/>
      <c r="L2616" s="3"/>
      <c r="M2616" s="3"/>
      <c r="N2616" s="3"/>
      <c r="O2616" s="3"/>
      <c r="P2616" s="3"/>
      <c r="Q2616" s="3"/>
      <c r="R2616" s="3"/>
      <c r="S2616" s="3"/>
    </row>
    <row r="2617" spans="3:19" ht="15.75" customHeight="1" x14ac:dyDescent="0.2">
      <c r="C2617" s="208">
        <v>34584</v>
      </c>
      <c r="D2617" s="3"/>
      <c r="E2617" s="3">
        <v>0.5</v>
      </c>
      <c r="F2617" s="3"/>
      <c r="G2617" s="3"/>
      <c r="H2617" s="3">
        <v>19.899999999999999</v>
      </c>
      <c r="I2617" s="3"/>
      <c r="J2617" s="7"/>
      <c r="K2617" s="1">
        <v>19.899999999999999</v>
      </c>
      <c r="L2617" s="3"/>
      <c r="M2617" s="3"/>
      <c r="N2617" s="3"/>
      <c r="O2617" s="3"/>
      <c r="P2617" s="3"/>
      <c r="Q2617" s="3"/>
      <c r="R2617" s="3"/>
      <c r="S2617" s="3"/>
    </row>
    <row r="2618" spans="3:19" ht="15.75" customHeight="1" x14ac:dyDescent="0.2">
      <c r="C2618" s="208">
        <v>34584</v>
      </c>
      <c r="D2618" s="3"/>
      <c r="E2618" s="3">
        <v>2</v>
      </c>
      <c r="F2618" s="3"/>
      <c r="G2618" s="3"/>
      <c r="H2618" s="3">
        <v>19.3</v>
      </c>
      <c r="I2618" s="3"/>
      <c r="J2618" s="7"/>
      <c r="L2618" s="3"/>
      <c r="M2618" s="3"/>
      <c r="N2618" s="3"/>
      <c r="O2618" s="3"/>
      <c r="P2618" s="3"/>
      <c r="Q2618" s="3"/>
      <c r="R2618" s="3"/>
      <c r="S2618" s="3"/>
    </row>
    <row r="2619" spans="3:19" ht="15.75" customHeight="1" x14ac:dyDescent="0.2">
      <c r="C2619" s="208"/>
      <c r="D2619" s="3"/>
      <c r="E2619" s="3"/>
      <c r="F2619" s="3"/>
      <c r="G2619" s="3"/>
      <c r="H2619" s="3"/>
      <c r="I2619" s="3"/>
      <c r="J2619" s="7"/>
      <c r="L2619" s="3"/>
      <c r="M2619" s="3"/>
      <c r="N2619" s="3"/>
      <c r="O2619" s="3"/>
      <c r="P2619" s="3"/>
      <c r="Q2619" s="3"/>
      <c r="R2619" s="3"/>
      <c r="S2619" s="3"/>
    </row>
    <row r="2620" spans="3:19" ht="15.75" customHeight="1" x14ac:dyDescent="0.2">
      <c r="C2620" s="208">
        <v>34612</v>
      </c>
      <c r="D2620" s="3"/>
      <c r="E2620" s="3">
        <v>0.5</v>
      </c>
      <c r="F2620" s="3"/>
      <c r="G2620" s="3"/>
      <c r="H2620" s="3">
        <v>16.2</v>
      </c>
      <c r="I2620" s="3"/>
      <c r="J2620" s="7"/>
      <c r="K2620" s="1">
        <v>16.2</v>
      </c>
      <c r="L2620" s="3"/>
      <c r="M2620" s="3"/>
      <c r="N2620" s="3"/>
      <c r="O2620" s="3"/>
      <c r="P2620" s="3"/>
      <c r="Q2620" s="3"/>
      <c r="R2620" s="3"/>
      <c r="S2620" s="3"/>
    </row>
    <row r="2621" spans="3:19" ht="15.75" customHeight="1" x14ac:dyDescent="0.2">
      <c r="C2621" s="208">
        <v>34612</v>
      </c>
      <c r="D2621" s="3"/>
      <c r="E2621" s="3">
        <v>2</v>
      </c>
      <c r="F2621" s="3"/>
      <c r="G2621" s="3"/>
      <c r="H2621" s="3">
        <v>16.2</v>
      </c>
      <c r="I2621" s="3"/>
      <c r="J2621" s="7"/>
      <c r="L2621" s="3"/>
      <c r="M2621" s="3"/>
      <c r="N2621" s="3"/>
      <c r="O2621" s="3"/>
      <c r="P2621" s="3"/>
      <c r="Q2621" s="3"/>
      <c r="R2621" s="3"/>
      <c r="S2621" s="3"/>
    </row>
    <row r="2622" spans="3:19" ht="15.75" customHeight="1" x14ac:dyDescent="0.2">
      <c r="C2622" s="208"/>
      <c r="D2622" s="3"/>
      <c r="E2622" s="3"/>
      <c r="F2622" s="3"/>
      <c r="G2622" s="3"/>
      <c r="H2622" s="3"/>
      <c r="I2622" s="3"/>
      <c r="J2622" s="7"/>
      <c r="L2622" s="3"/>
      <c r="M2622" s="3"/>
      <c r="N2622" s="3"/>
      <c r="O2622" s="3"/>
      <c r="P2622" s="3"/>
      <c r="Q2622" s="3"/>
      <c r="R2622" s="3"/>
      <c r="S2622" s="3"/>
    </row>
    <row r="2623" spans="3:19" ht="15.75" customHeight="1" x14ac:dyDescent="0.2">
      <c r="C2623" s="208">
        <v>34107</v>
      </c>
      <c r="D2623" s="12">
        <v>0.5</v>
      </c>
      <c r="E2623" s="1">
        <v>0.5</v>
      </c>
      <c r="F2623" s="3"/>
      <c r="G2623" s="3"/>
      <c r="H2623" s="1">
        <v>10.4</v>
      </c>
      <c r="I2623" s="3"/>
      <c r="J2623" s="7"/>
      <c r="L2623" s="3"/>
      <c r="M2623" s="3"/>
      <c r="N2623" s="3"/>
      <c r="O2623" s="3"/>
      <c r="P2623" s="3"/>
      <c r="Q2623" s="3"/>
      <c r="R2623" s="3"/>
      <c r="S2623" s="3"/>
    </row>
    <row r="2624" spans="3:19" ht="15.75" customHeight="1" x14ac:dyDescent="0.2">
      <c r="C2624" s="208">
        <v>34107</v>
      </c>
      <c r="D2624" s="12">
        <v>0.5</v>
      </c>
      <c r="E2624" s="1">
        <v>10</v>
      </c>
      <c r="F2624" s="3"/>
      <c r="G2624" s="3"/>
      <c r="H2624" s="1">
        <v>8.6999999999999993</v>
      </c>
      <c r="I2624" s="3"/>
      <c r="J2624" s="7"/>
      <c r="L2624" s="3"/>
      <c r="M2624" s="3"/>
      <c r="N2624" s="3"/>
      <c r="O2624" s="3"/>
      <c r="P2624" s="3"/>
      <c r="Q2624" s="3"/>
      <c r="R2624" s="3"/>
      <c r="S2624" s="3"/>
    </row>
    <row r="2625" spans="3:19" ht="15.75" customHeight="1" x14ac:dyDescent="0.2">
      <c r="C2625" s="208">
        <v>34107</v>
      </c>
      <c r="D2625" s="12">
        <v>0.5</v>
      </c>
      <c r="E2625" s="1">
        <v>15</v>
      </c>
      <c r="F2625" s="3"/>
      <c r="G2625" s="3"/>
      <c r="H2625" s="1">
        <v>7.6</v>
      </c>
      <c r="I2625" s="3"/>
      <c r="J2625" s="7"/>
      <c r="L2625" s="3"/>
      <c r="M2625" s="3"/>
      <c r="N2625" s="3"/>
      <c r="O2625" s="3"/>
      <c r="P2625" s="3"/>
      <c r="Q2625" s="3"/>
      <c r="R2625" s="3"/>
      <c r="S2625" s="3"/>
    </row>
    <row r="2626" spans="3:19" ht="15.75" customHeight="1" x14ac:dyDescent="0.2">
      <c r="C2626" s="208"/>
      <c r="D2626" s="3"/>
      <c r="E2626" s="3"/>
      <c r="F2626" s="3"/>
      <c r="G2626" s="3"/>
      <c r="H2626" s="3"/>
      <c r="I2626" s="3"/>
      <c r="J2626" s="7"/>
      <c r="L2626" s="3"/>
      <c r="M2626" s="3"/>
      <c r="N2626" s="3"/>
      <c r="O2626" s="3"/>
      <c r="P2626" s="3"/>
      <c r="Q2626" s="3"/>
      <c r="R2626" s="3"/>
      <c r="S2626" s="3"/>
    </row>
    <row r="2627" spans="3:19" ht="15.75" customHeight="1" x14ac:dyDescent="0.2">
      <c r="C2627" s="208">
        <v>34135</v>
      </c>
      <c r="D2627" s="12">
        <v>0.5</v>
      </c>
      <c r="E2627" s="1">
        <v>0.5</v>
      </c>
      <c r="F2627" s="3"/>
      <c r="G2627" s="3"/>
      <c r="H2627" s="1">
        <v>15.3</v>
      </c>
      <c r="I2627" s="3"/>
      <c r="J2627" s="7"/>
      <c r="L2627" s="3"/>
      <c r="M2627" s="3"/>
      <c r="N2627" s="3"/>
      <c r="O2627" s="3"/>
      <c r="P2627" s="3"/>
      <c r="Q2627" s="3"/>
      <c r="R2627" s="3"/>
      <c r="S2627" s="3"/>
    </row>
    <row r="2628" spans="3:19" ht="15.75" customHeight="1" x14ac:dyDescent="0.2">
      <c r="C2628" s="208">
        <v>34135</v>
      </c>
      <c r="D2628" s="12">
        <v>0.5</v>
      </c>
      <c r="E2628" s="1">
        <v>10</v>
      </c>
      <c r="F2628" s="3"/>
      <c r="G2628" s="3"/>
      <c r="H2628" s="1">
        <v>10.1</v>
      </c>
      <c r="I2628" s="3"/>
      <c r="J2628" s="7"/>
      <c r="L2628" s="3"/>
      <c r="M2628" s="3"/>
      <c r="N2628" s="3"/>
      <c r="O2628" s="3"/>
      <c r="P2628" s="3"/>
      <c r="Q2628" s="3"/>
      <c r="R2628" s="3"/>
      <c r="S2628" s="3"/>
    </row>
    <row r="2629" spans="3:19" ht="15.75" customHeight="1" x14ac:dyDescent="0.2">
      <c r="C2629" s="208">
        <v>34135</v>
      </c>
      <c r="D2629" s="12">
        <v>0.5</v>
      </c>
      <c r="E2629" s="1">
        <v>20</v>
      </c>
      <c r="F2629" s="3"/>
      <c r="G2629" s="3"/>
      <c r="H2629" s="1">
        <v>5.7</v>
      </c>
      <c r="I2629" s="3"/>
      <c r="J2629" s="7"/>
      <c r="L2629" s="3"/>
      <c r="M2629" s="3"/>
      <c r="N2629" s="3"/>
      <c r="O2629" s="3"/>
      <c r="P2629" s="3"/>
      <c r="Q2629" s="3"/>
      <c r="R2629" s="3"/>
      <c r="S2629" s="3"/>
    </row>
    <row r="2630" spans="3:19" ht="15.75" customHeight="1" x14ac:dyDescent="0.2">
      <c r="C2630" s="208"/>
      <c r="D2630" s="12"/>
      <c r="F2630" s="3"/>
      <c r="G2630" s="3"/>
      <c r="I2630" s="3"/>
      <c r="J2630" s="7"/>
      <c r="L2630" s="3"/>
      <c r="M2630" s="3"/>
      <c r="N2630" s="3"/>
      <c r="O2630" s="3"/>
      <c r="P2630" s="3"/>
      <c r="Q2630" s="3"/>
      <c r="R2630" s="3"/>
      <c r="S2630" s="3"/>
    </row>
    <row r="2631" spans="3:19" ht="15.75" customHeight="1" x14ac:dyDescent="0.2">
      <c r="C2631" s="208">
        <v>34157</v>
      </c>
      <c r="D2631" s="12">
        <v>0.5</v>
      </c>
      <c r="E2631" s="1">
        <v>0.5</v>
      </c>
      <c r="F2631" s="3"/>
      <c r="G2631" s="3"/>
      <c r="H2631" s="1">
        <v>17.100000000000001</v>
      </c>
      <c r="I2631" s="3"/>
      <c r="J2631" s="7"/>
      <c r="L2631" s="3"/>
      <c r="M2631" s="3"/>
      <c r="N2631" s="3"/>
      <c r="O2631" s="3"/>
      <c r="P2631" s="3"/>
      <c r="Q2631" s="3"/>
      <c r="R2631" s="3"/>
      <c r="S2631" s="3"/>
    </row>
    <row r="2632" spans="3:19" ht="15.75" customHeight="1" x14ac:dyDescent="0.2">
      <c r="C2632" s="208">
        <v>34157</v>
      </c>
      <c r="D2632" s="12">
        <v>0.5</v>
      </c>
      <c r="E2632" s="1">
        <v>2</v>
      </c>
      <c r="F2632" s="3"/>
      <c r="G2632" s="3"/>
      <c r="H2632" s="1">
        <v>17</v>
      </c>
      <c r="I2632" s="3"/>
      <c r="J2632" s="7"/>
      <c r="L2632" s="3"/>
      <c r="M2632" s="3"/>
      <c r="N2632" s="3"/>
      <c r="O2632" s="3"/>
      <c r="P2632" s="3"/>
      <c r="Q2632" s="3"/>
      <c r="R2632" s="3"/>
      <c r="S2632" s="3"/>
    </row>
    <row r="2633" spans="3:19" ht="15.75" customHeight="1" x14ac:dyDescent="0.2">
      <c r="C2633" s="208">
        <v>34157</v>
      </c>
      <c r="D2633" s="12">
        <v>0.5</v>
      </c>
      <c r="E2633" s="1">
        <v>4</v>
      </c>
      <c r="F2633" s="3"/>
      <c r="G2633" s="3"/>
      <c r="H2633" s="1">
        <v>16.8</v>
      </c>
      <c r="I2633" s="3"/>
      <c r="J2633" s="7"/>
      <c r="L2633" s="3"/>
      <c r="M2633" s="3"/>
      <c r="N2633" s="3"/>
      <c r="O2633" s="3"/>
      <c r="P2633" s="3"/>
      <c r="Q2633" s="3"/>
      <c r="R2633" s="3"/>
      <c r="S2633" s="3"/>
    </row>
    <row r="2634" spans="3:19" ht="15.75" customHeight="1" x14ac:dyDescent="0.2">
      <c r="C2634" s="208">
        <v>34157</v>
      </c>
      <c r="D2634" s="12">
        <v>0.5</v>
      </c>
      <c r="E2634" s="1">
        <v>6</v>
      </c>
      <c r="F2634" s="3"/>
      <c r="G2634" s="3"/>
      <c r="H2634" s="1">
        <v>16.5</v>
      </c>
      <c r="I2634" s="3"/>
      <c r="J2634" s="7"/>
      <c r="L2634" s="3"/>
      <c r="M2634" s="3"/>
      <c r="N2634" s="3"/>
      <c r="O2634" s="3"/>
      <c r="P2634" s="3"/>
      <c r="Q2634" s="3"/>
      <c r="R2634" s="3"/>
      <c r="S2634" s="3"/>
    </row>
    <row r="2635" spans="3:19" ht="15.75" customHeight="1" x14ac:dyDescent="0.2">
      <c r="C2635" s="208">
        <v>34157</v>
      </c>
      <c r="D2635" s="12">
        <v>0.5</v>
      </c>
      <c r="E2635" s="1">
        <v>8</v>
      </c>
      <c r="F2635" s="3"/>
      <c r="G2635" s="3"/>
      <c r="H2635" s="1">
        <v>16.399999999999999</v>
      </c>
      <c r="I2635" s="3"/>
      <c r="J2635" s="7"/>
      <c r="L2635" s="3"/>
      <c r="M2635" s="3"/>
      <c r="N2635" s="3"/>
      <c r="O2635" s="3"/>
      <c r="P2635" s="3"/>
      <c r="Q2635" s="3"/>
      <c r="R2635" s="3"/>
      <c r="S2635" s="3"/>
    </row>
    <row r="2636" spans="3:19" ht="15.75" customHeight="1" x14ac:dyDescent="0.2">
      <c r="C2636" s="208">
        <v>34157</v>
      </c>
      <c r="D2636" s="12">
        <v>0.5</v>
      </c>
      <c r="E2636" s="1">
        <v>10</v>
      </c>
      <c r="F2636" s="3"/>
      <c r="G2636" s="3"/>
      <c r="H2636" s="1">
        <v>13.3</v>
      </c>
      <c r="I2636" s="3"/>
      <c r="J2636" s="7"/>
      <c r="L2636" s="3"/>
      <c r="M2636" s="3"/>
      <c r="N2636" s="3"/>
      <c r="O2636" s="3"/>
      <c r="P2636" s="3"/>
      <c r="Q2636" s="3"/>
      <c r="R2636" s="3"/>
      <c r="S2636" s="3"/>
    </row>
    <row r="2637" spans="3:19" ht="15.75" customHeight="1" x14ac:dyDescent="0.2">
      <c r="C2637" s="208">
        <v>34157</v>
      </c>
      <c r="D2637" s="12">
        <v>0.5</v>
      </c>
      <c r="E2637" s="1">
        <v>12</v>
      </c>
      <c r="G2637" s="3"/>
      <c r="H2637" s="1">
        <v>8.9</v>
      </c>
      <c r="I2637" s="3"/>
      <c r="J2637" s="7"/>
      <c r="L2637" s="3"/>
      <c r="M2637" s="3"/>
      <c r="N2637" s="3"/>
      <c r="O2637" s="3"/>
      <c r="P2637" s="3"/>
      <c r="Q2637" s="3"/>
      <c r="R2637" s="3"/>
      <c r="S2637" s="3"/>
    </row>
    <row r="2638" spans="3:19" ht="15.75" customHeight="1" x14ac:dyDescent="0.2">
      <c r="C2638" s="208">
        <v>34157</v>
      </c>
      <c r="D2638" s="12">
        <v>0.5</v>
      </c>
      <c r="E2638" s="1">
        <v>15</v>
      </c>
      <c r="G2638" s="3"/>
      <c r="H2638" s="1">
        <v>6.5</v>
      </c>
      <c r="I2638" s="3"/>
      <c r="J2638" s="7"/>
      <c r="L2638" s="3"/>
      <c r="M2638" s="3"/>
      <c r="N2638" s="3"/>
      <c r="O2638" s="3"/>
      <c r="P2638" s="3"/>
      <c r="Q2638" s="3"/>
      <c r="R2638" s="3"/>
      <c r="S2638" s="3"/>
    </row>
    <row r="2639" spans="3:19" ht="15.75" customHeight="1" x14ac:dyDescent="0.2">
      <c r="C2639" s="208">
        <v>34157</v>
      </c>
      <c r="D2639" s="12">
        <v>0.5</v>
      </c>
      <c r="E2639" s="1">
        <v>25</v>
      </c>
      <c r="G2639" s="3"/>
      <c r="H2639" s="1">
        <v>5.0999999999999996</v>
      </c>
      <c r="I2639" s="3"/>
      <c r="J2639" s="7"/>
      <c r="L2639" s="3"/>
      <c r="M2639" s="3"/>
      <c r="N2639" s="3"/>
      <c r="O2639" s="3"/>
      <c r="P2639" s="3"/>
      <c r="Q2639" s="3"/>
      <c r="R2639" s="3"/>
      <c r="S2639" s="3"/>
    </row>
    <row r="2640" spans="3:19" ht="15.75" customHeight="1" x14ac:dyDescent="0.2">
      <c r="C2640" s="208">
        <v>34157</v>
      </c>
      <c r="D2640" s="12">
        <v>0.5</v>
      </c>
      <c r="E2640" s="1">
        <v>35</v>
      </c>
      <c r="G2640" s="3"/>
      <c r="H2640" s="1">
        <v>5.0999999999999996</v>
      </c>
      <c r="I2640" s="3"/>
      <c r="J2640" s="7"/>
      <c r="L2640" s="3"/>
      <c r="M2640" s="3"/>
      <c r="N2640" s="3"/>
      <c r="O2640" s="3"/>
      <c r="P2640" s="3"/>
      <c r="Q2640" s="3"/>
      <c r="R2640" s="3"/>
      <c r="S2640" s="3"/>
    </row>
    <row r="2641" spans="3:19" ht="15.75" customHeight="1" x14ac:dyDescent="0.2">
      <c r="C2641" s="208">
        <v>34157</v>
      </c>
      <c r="D2641" s="12">
        <v>0.5</v>
      </c>
      <c r="E2641" s="1">
        <v>45</v>
      </c>
      <c r="G2641" s="3"/>
      <c r="H2641" s="1">
        <v>4.8</v>
      </c>
      <c r="I2641" s="3"/>
      <c r="J2641" s="7"/>
      <c r="L2641" s="3"/>
      <c r="M2641" s="3"/>
      <c r="N2641" s="3"/>
      <c r="O2641" s="3"/>
      <c r="P2641" s="3"/>
      <c r="Q2641" s="3"/>
      <c r="R2641" s="3"/>
      <c r="S2641" s="3"/>
    </row>
    <row r="2642" spans="3:19" ht="15.75" customHeight="1" x14ac:dyDescent="0.2">
      <c r="C2642" s="208">
        <v>34157</v>
      </c>
      <c r="D2642" s="12">
        <v>0.5</v>
      </c>
      <c r="E2642" s="1">
        <v>50</v>
      </c>
      <c r="G2642" s="3"/>
      <c r="H2642" s="1">
        <v>4.8</v>
      </c>
      <c r="I2642" s="3"/>
      <c r="J2642" s="7"/>
      <c r="L2642" s="3"/>
      <c r="M2642" s="3"/>
      <c r="N2642" s="3"/>
      <c r="O2642" s="3"/>
      <c r="P2642" s="3"/>
      <c r="Q2642" s="3"/>
      <c r="R2642" s="3"/>
      <c r="S2642" s="3"/>
    </row>
    <row r="2643" spans="3:19" ht="15.75" customHeight="1" x14ac:dyDescent="0.2">
      <c r="C2643" s="208"/>
      <c r="D2643" s="19"/>
      <c r="G2643" s="3"/>
      <c r="H2643" s="7"/>
      <c r="I2643" s="7"/>
      <c r="J2643" s="7"/>
      <c r="L2643" s="3"/>
      <c r="M2643" s="3"/>
      <c r="N2643" s="3"/>
      <c r="O2643" s="3"/>
      <c r="P2643" s="3"/>
      <c r="Q2643" s="3"/>
      <c r="R2643" s="3"/>
      <c r="S2643" s="3"/>
    </row>
    <row r="2644" spans="3:19" ht="15.75" customHeight="1" x14ac:dyDescent="0.2">
      <c r="C2644" s="208">
        <v>34198</v>
      </c>
      <c r="D2644" s="19">
        <v>0.5</v>
      </c>
      <c r="E2644" s="1">
        <v>0.5</v>
      </c>
      <c r="G2644" s="3"/>
      <c r="H2644" s="7">
        <v>19.399999999999999</v>
      </c>
      <c r="I2644" s="7">
        <v>19.399999999999999</v>
      </c>
      <c r="J2644" s="7"/>
      <c r="L2644" s="3"/>
      <c r="M2644" s="3"/>
      <c r="N2644" s="3"/>
      <c r="O2644" s="3"/>
      <c r="P2644" s="3"/>
      <c r="Q2644" s="3"/>
      <c r="R2644" s="3"/>
      <c r="S2644" s="3"/>
    </row>
    <row r="2645" spans="3:19" ht="15.75" customHeight="1" x14ac:dyDescent="0.2">
      <c r="C2645" s="208">
        <v>34198</v>
      </c>
      <c r="D2645" s="19">
        <v>0.5</v>
      </c>
      <c r="E2645" s="1">
        <v>2</v>
      </c>
      <c r="G2645" s="3"/>
      <c r="H2645" s="7">
        <v>19.5</v>
      </c>
      <c r="I2645" s="7">
        <v>19.5</v>
      </c>
      <c r="J2645" s="7"/>
      <c r="L2645" s="3"/>
      <c r="M2645" s="3"/>
      <c r="N2645" s="3"/>
      <c r="O2645" s="3"/>
      <c r="P2645" s="3"/>
      <c r="Q2645" s="3"/>
      <c r="R2645" s="3"/>
      <c r="S2645" s="3"/>
    </row>
    <row r="2646" spans="3:19" ht="15.75" customHeight="1" x14ac:dyDescent="0.2">
      <c r="C2646" s="208">
        <v>34198</v>
      </c>
      <c r="D2646" s="19">
        <v>0.5</v>
      </c>
      <c r="E2646" s="1">
        <v>4</v>
      </c>
      <c r="G2646" s="3"/>
      <c r="H2646" s="7">
        <v>19.5</v>
      </c>
      <c r="I2646" s="7">
        <v>19.5</v>
      </c>
      <c r="J2646" s="7"/>
      <c r="L2646" s="3"/>
      <c r="M2646" s="3"/>
      <c r="N2646" s="3"/>
      <c r="O2646" s="3"/>
      <c r="P2646" s="3"/>
      <c r="Q2646" s="3"/>
      <c r="R2646" s="3"/>
      <c r="S2646" s="3"/>
    </row>
    <row r="2647" spans="3:19" ht="15.75" customHeight="1" x14ac:dyDescent="0.2">
      <c r="C2647" s="208">
        <v>34198</v>
      </c>
      <c r="D2647" s="19">
        <v>0.5</v>
      </c>
      <c r="E2647" s="1">
        <v>6</v>
      </c>
      <c r="G2647" s="3"/>
      <c r="H2647" s="7">
        <v>19.5</v>
      </c>
      <c r="I2647" s="7">
        <v>19.5</v>
      </c>
      <c r="J2647" s="7"/>
      <c r="L2647" s="3"/>
      <c r="M2647" s="3"/>
      <c r="N2647" s="3"/>
      <c r="O2647" s="3"/>
      <c r="P2647" s="3"/>
      <c r="Q2647" s="3"/>
      <c r="R2647" s="3"/>
      <c r="S2647" s="3"/>
    </row>
    <row r="2648" spans="3:19" ht="15.75" customHeight="1" x14ac:dyDescent="0.2">
      <c r="C2648" s="208">
        <v>34198</v>
      </c>
      <c r="D2648" s="19">
        <v>0.5</v>
      </c>
      <c r="E2648" s="1">
        <v>8</v>
      </c>
      <c r="G2648" s="3"/>
      <c r="H2648" s="7">
        <v>19.5</v>
      </c>
      <c r="I2648" s="7">
        <v>19.5</v>
      </c>
      <c r="J2648" s="7"/>
      <c r="L2648" s="3"/>
      <c r="M2648" s="3"/>
      <c r="N2648" s="3"/>
      <c r="O2648" s="3"/>
      <c r="P2648" s="3"/>
      <c r="Q2648" s="3"/>
      <c r="R2648" s="3"/>
      <c r="S2648" s="3"/>
    </row>
    <row r="2649" spans="3:19" ht="15.75" customHeight="1" x14ac:dyDescent="0.2">
      <c r="C2649" s="208">
        <v>34198</v>
      </c>
      <c r="D2649" s="19">
        <v>0.5</v>
      </c>
      <c r="E2649" s="1">
        <v>10</v>
      </c>
      <c r="G2649" s="3"/>
      <c r="H2649" s="7">
        <v>18.2</v>
      </c>
      <c r="I2649" s="7">
        <v>18.2</v>
      </c>
      <c r="J2649" s="7"/>
      <c r="L2649" s="3"/>
      <c r="M2649" s="3"/>
      <c r="N2649" s="3"/>
      <c r="O2649" s="3"/>
      <c r="P2649" s="3"/>
      <c r="Q2649" s="3"/>
      <c r="R2649" s="3"/>
      <c r="S2649" s="3"/>
    </row>
    <row r="2650" spans="3:19" ht="15.75" customHeight="1" x14ac:dyDescent="0.2">
      <c r="C2650" s="208">
        <v>34198</v>
      </c>
      <c r="D2650" s="19">
        <v>0.5</v>
      </c>
      <c r="E2650" s="1">
        <v>12</v>
      </c>
      <c r="G2650" s="3"/>
      <c r="H2650" s="7">
        <v>15.6</v>
      </c>
      <c r="I2650" s="17">
        <f>AVERAGE(I2644:I2649)</f>
        <v>19.266666666666669</v>
      </c>
      <c r="J2650" s="17"/>
      <c r="L2650" s="3"/>
      <c r="M2650" s="3"/>
      <c r="N2650" s="3"/>
      <c r="O2650" s="3"/>
      <c r="P2650" s="3"/>
      <c r="Q2650" s="3"/>
      <c r="R2650" s="3"/>
      <c r="S2650" s="3"/>
    </row>
    <row r="2651" spans="3:19" ht="15.75" customHeight="1" x14ac:dyDescent="0.2">
      <c r="C2651" s="208">
        <v>34198</v>
      </c>
      <c r="D2651" s="19">
        <v>0.5</v>
      </c>
      <c r="E2651" s="1">
        <v>14</v>
      </c>
      <c r="G2651" s="3"/>
      <c r="H2651" s="7">
        <v>12.3</v>
      </c>
      <c r="I2651" s="7"/>
      <c r="J2651" s="7"/>
      <c r="L2651" s="3"/>
      <c r="M2651" s="3"/>
      <c r="N2651" s="3"/>
      <c r="O2651" s="3"/>
      <c r="P2651" s="3"/>
      <c r="Q2651" s="3"/>
      <c r="R2651" s="3"/>
      <c r="S2651" s="3"/>
    </row>
    <row r="2652" spans="3:19" ht="15.75" customHeight="1" x14ac:dyDescent="0.2">
      <c r="C2652" s="208">
        <v>34198</v>
      </c>
      <c r="D2652" s="19">
        <v>0.5</v>
      </c>
      <c r="E2652" s="1">
        <v>16</v>
      </c>
      <c r="G2652" s="3"/>
      <c r="H2652" s="7">
        <v>9.6</v>
      </c>
      <c r="I2652" s="7"/>
      <c r="J2652" s="7"/>
      <c r="L2652" s="3"/>
      <c r="M2652" s="3"/>
      <c r="N2652" s="3"/>
      <c r="O2652" s="3"/>
      <c r="P2652" s="3"/>
      <c r="Q2652" s="3"/>
      <c r="R2652" s="3"/>
      <c r="S2652" s="3"/>
    </row>
    <row r="2653" spans="3:19" ht="15.75" customHeight="1" x14ac:dyDescent="0.2">
      <c r="C2653" s="208">
        <v>34198</v>
      </c>
      <c r="D2653" s="19">
        <v>0.5</v>
      </c>
      <c r="E2653" s="1">
        <v>20</v>
      </c>
      <c r="G2653" s="3"/>
      <c r="H2653" s="7">
        <v>6.9</v>
      </c>
      <c r="I2653" s="7"/>
      <c r="J2653" s="7"/>
      <c r="L2653" s="3"/>
      <c r="M2653" s="3"/>
      <c r="N2653" s="3"/>
      <c r="O2653" s="3"/>
      <c r="P2653" s="3"/>
      <c r="Q2653" s="3"/>
      <c r="R2653" s="3"/>
      <c r="S2653" s="3"/>
    </row>
    <row r="2654" spans="3:19" ht="15.75" customHeight="1" x14ac:dyDescent="0.2">
      <c r="C2654" s="208">
        <v>34198</v>
      </c>
      <c r="D2654" s="19">
        <v>0.5</v>
      </c>
      <c r="E2654" s="1">
        <v>25</v>
      </c>
      <c r="G2654" s="3"/>
      <c r="H2654" s="7">
        <v>6</v>
      </c>
      <c r="I2654" s="7"/>
      <c r="J2654" s="7"/>
      <c r="L2654" s="3"/>
      <c r="M2654" s="3"/>
      <c r="N2654" s="3"/>
      <c r="O2654" s="3"/>
      <c r="P2654" s="3"/>
      <c r="Q2654" s="3"/>
      <c r="R2654" s="3"/>
      <c r="S2654" s="3"/>
    </row>
    <row r="2655" spans="3:19" ht="15.75" customHeight="1" x14ac:dyDescent="0.2">
      <c r="C2655" s="208">
        <v>34198</v>
      </c>
      <c r="D2655" s="19">
        <v>0.5</v>
      </c>
      <c r="E2655" s="1">
        <v>30</v>
      </c>
      <c r="G2655" s="3"/>
      <c r="H2655" s="7">
        <v>5.5</v>
      </c>
      <c r="I2655" s="7"/>
      <c r="J2655" s="7"/>
      <c r="L2655" s="3"/>
      <c r="M2655" s="3"/>
      <c r="N2655" s="3"/>
      <c r="O2655" s="3"/>
      <c r="P2655" s="3"/>
      <c r="Q2655" s="3"/>
      <c r="R2655" s="3"/>
      <c r="S2655" s="3"/>
    </row>
    <row r="2656" spans="3:19" ht="15.75" customHeight="1" x14ac:dyDescent="0.2">
      <c r="C2656" s="208">
        <v>34198</v>
      </c>
      <c r="D2656" s="19">
        <v>0.5</v>
      </c>
      <c r="E2656" s="1">
        <v>35</v>
      </c>
      <c r="G2656" s="3"/>
      <c r="H2656" s="7">
        <v>5.3</v>
      </c>
      <c r="I2656" s="7"/>
      <c r="J2656" s="7"/>
      <c r="L2656" s="3"/>
      <c r="M2656" s="3"/>
      <c r="N2656" s="3"/>
      <c r="O2656" s="3"/>
      <c r="P2656" s="3"/>
      <c r="Q2656" s="3"/>
      <c r="R2656" s="3"/>
      <c r="S2656" s="3"/>
    </row>
    <row r="2657" spans="3:19" ht="15.75" customHeight="1" x14ac:dyDescent="0.2">
      <c r="C2657" s="208">
        <v>34198</v>
      </c>
      <c r="D2657" s="19">
        <v>0.5</v>
      </c>
      <c r="E2657" s="1">
        <v>40</v>
      </c>
      <c r="G2657" s="3"/>
      <c r="H2657" s="7">
        <v>5.0999999999999996</v>
      </c>
      <c r="I2657" s="7"/>
      <c r="J2657" s="7"/>
      <c r="L2657" s="3"/>
      <c r="M2657" s="3"/>
      <c r="N2657" s="3"/>
      <c r="O2657" s="3"/>
      <c r="P2657" s="3"/>
      <c r="Q2657" s="3"/>
      <c r="R2657" s="3"/>
      <c r="S2657" s="3"/>
    </row>
    <row r="2658" spans="3:19" ht="15.75" customHeight="1" x14ac:dyDescent="0.2">
      <c r="C2658" s="208">
        <v>34198</v>
      </c>
      <c r="D2658" s="19">
        <v>0.5</v>
      </c>
      <c r="E2658" s="1">
        <v>50</v>
      </c>
      <c r="G2658" s="3"/>
      <c r="H2658" s="7">
        <v>4.9000000000000004</v>
      </c>
      <c r="I2658" s="7"/>
      <c r="J2658" s="7"/>
      <c r="L2658" s="3"/>
      <c r="M2658" s="3"/>
      <c r="N2658" s="3"/>
      <c r="O2658" s="3"/>
      <c r="P2658" s="3"/>
      <c r="Q2658" s="3"/>
      <c r="R2658" s="3"/>
      <c r="S2658" s="3"/>
    </row>
    <row r="2659" spans="3:19" ht="15.75" customHeight="1" x14ac:dyDescent="0.2">
      <c r="C2659" s="208"/>
      <c r="D2659" s="19"/>
      <c r="G2659" s="3"/>
      <c r="H2659" s="7"/>
      <c r="I2659" s="7"/>
      <c r="J2659" s="7"/>
      <c r="L2659" s="3"/>
      <c r="M2659" s="3"/>
      <c r="N2659" s="3"/>
      <c r="O2659" s="3"/>
      <c r="P2659" s="3"/>
      <c r="Q2659" s="3"/>
      <c r="R2659" s="3"/>
      <c r="S2659" s="3"/>
    </row>
    <row r="2660" spans="3:19" ht="15.75" customHeight="1" x14ac:dyDescent="0.2">
      <c r="C2660" s="208">
        <v>34226</v>
      </c>
      <c r="D2660" s="12">
        <v>0.5</v>
      </c>
      <c r="E2660" s="1">
        <v>0.5</v>
      </c>
      <c r="G2660" s="3"/>
      <c r="H2660" s="1">
        <v>17.8</v>
      </c>
      <c r="I2660" s="3"/>
      <c r="J2660" s="7"/>
      <c r="L2660" s="3"/>
      <c r="M2660" s="3"/>
      <c r="N2660" s="3"/>
      <c r="O2660" s="3"/>
      <c r="P2660" s="3"/>
      <c r="Q2660" s="3"/>
      <c r="R2660" s="3"/>
      <c r="S2660" s="3"/>
    </row>
    <row r="2661" spans="3:19" ht="15.75" customHeight="1" x14ac:dyDescent="0.2">
      <c r="C2661" s="208">
        <v>34226</v>
      </c>
      <c r="D2661" s="12">
        <v>0.5</v>
      </c>
      <c r="E2661" s="1">
        <v>2</v>
      </c>
      <c r="G2661" s="3"/>
      <c r="H2661" s="1">
        <v>17.899999999999999</v>
      </c>
      <c r="I2661" s="3"/>
      <c r="J2661" s="7"/>
      <c r="L2661" s="3"/>
      <c r="M2661" s="3"/>
      <c r="N2661" s="3"/>
      <c r="O2661" s="3"/>
      <c r="P2661" s="3"/>
      <c r="Q2661" s="3"/>
      <c r="R2661" s="3"/>
      <c r="S2661" s="3"/>
    </row>
    <row r="2662" spans="3:19" ht="15.75" customHeight="1" x14ac:dyDescent="0.2">
      <c r="C2662" s="208">
        <v>34226</v>
      </c>
      <c r="D2662" s="12">
        <v>0.5</v>
      </c>
      <c r="E2662" s="1">
        <v>4</v>
      </c>
      <c r="G2662" s="3"/>
      <c r="H2662" s="1">
        <v>17.899999999999999</v>
      </c>
      <c r="I2662" s="3"/>
      <c r="J2662" s="7"/>
      <c r="L2662" s="3"/>
      <c r="M2662" s="3"/>
      <c r="N2662" s="3"/>
      <c r="O2662" s="3"/>
      <c r="P2662" s="3"/>
      <c r="Q2662" s="3"/>
      <c r="R2662" s="3"/>
      <c r="S2662" s="3"/>
    </row>
    <row r="2663" spans="3:19" ht="15.75" customHeight="1" x14ac:dyDescent="0.2">
      <c r="C2663" s="208">
        <v>34226</v>
      </c>
      <c r="D2663" s="12">
        <v>0.5</v>
      </c>
      <c r="E2663" s="1">
        <v>6</v>
      </c>
      <c r="G2663" s="3"/>
      <c r="H2663" s="1">
        <v>17.899999999999999</v>
      </c>
      <c r="I2663" s="3"/>
      <c r="J2663" s="7"/>
      <c r="L2663" s="3"/>
      <c r="M2663" s="3"/>
      <c r="N2663" s="3"/>
      <c r="O2663" s="3"/>
      <c r="P2663" s="3"/>
      <c r="Q2663" s="3"/>
      <c r="R2663" s="3"/>
      <c r="S2663" s="3"/>
    </row>
    <row r="2664" spans="3:19" ht="15.75" customHeight="1" x14ac:dyDescent="0.2">
      <c r="C2664" s="208">
        <v>34226</v>
      </c>
      <c r="D2664" s="12">
        <v>0.5</v>
      </c>
      <c r="E2664" s="1">
        <v>8</v>
      </c>
      <c r="G2664" s="3"/>
      <c r="H2664" s="1">
        <v>17.899999999999999</v>
      </c>
      <c r="I2664" s="3"/>
      <c r="J2664" s="7"/>
      <c r="L2664" s="3"/>
      <c r="M2664" s="3"/>
      <c r="N2664" s="3"/>
      <c r="O2664" s="3"/>
      <c r="P2664" s="3"/>
      <c r="Q2664" s="3"/>
      <c r="R2664" s="3"/>
      <c r="S2664" s="3"/>
    </row>
    <row r="2665" spans="3:19" ht="15.75" customHeight="1" x14ac:dyDescent="0.2">
      <c r="C2665" s="208">
        <v>34226</v>
      </c>
      <c r="D2665" s="12">
        <v>0.5</v>
      </c>
      <c r="E2665" s="1">
        <v>10</v>
      </c>
      <c r="G2665" s="3"/>
      <c r="H2665" s="1">
        <v>17.600000000000001</v>
      </c>
      <c r="I2665" s="3"/>
      <c r="J2665" s="7"/>
      <c r="L2665" s="3"/>
      <c r="M2665" s="3"/>
      <c r="N2665" s="3"/>
      <c r="O2665" s="3"/>
      <c r="P2665" s="3"/>
      <c r="Q2665" s="3"/>
      <c r="R2665" s="3"/>
      <c r="S2665" s="3"/>
    </row>
    <row r="2666" spans="3:19" ht="15.75" customHeight="1" x14ac:dyDescent="0.2">
      <c r="C2666" s="208">
        <v>34226</v>
      </c>
      <c r="D2666" s="12">
        <v>0.5</v>
      </c>
      <c r="E2666" s="1">
        <v>12</v>
      </c>
      <c r="G2666" s="3"/>
      <c r="H2666" s="1">
        <v>14.2</v>
      </c>
      <c r="I2666" s="3"/>
      <c r="J2666" s="7"/>
      <c r="L2666" s="3"/>
      <c r="M2666" s="3"/>
      <c r="N2666" s="3"/>
      <c r="O2666" s="3"/>
      <c r="P2666" s="3"/>
      <c r="Q2666" s="3"/>
      <c r="R2666" s="3"/>
      <c r="S2666" s="3"/>
    </row>
    <row r="2667" spans="3:19" ht="15.75" customHeight="1" x14ac:dyDescent="0.2">
      <c r="C2667" s="208">
        <v>34226</v>
      </c>
      <c r="D2667" s="12">
        <v>0.5</v>
      </c>
      <c r="E2667" s="1">
        <v>14</v>
      </c>
      <c r="G2667" s="3"/>
      <c r="H2667" s="1">
        <v>9.5</v>
      </c>
      <c r="I2667" s="3"/>
      <c r="J2667" s="7"/>
      <c r="L2667" s="3"/>
      <c r="M2667" s="3"/>
      <c r="N2667" s="3"/>
      <c r="O2667" s="3"/>
      <c r="P2667" s="3"/>
      <c r="Q2667" s="3"/>
      <c r="R2667" s="3"/>
      <c r="S2667" s="3"/>
    </row>
    <row r="2668" spans="3:19" ht="15.75" customHeight="1" x14ac:dyDescent="0.2">
      <c r="C2668" s="208">
        <v>34226</v>
      </c>
      <c r="D2668" s="12">
        <v>0.5</v>
      </c>
      <c r="E2668" s="1">
        <v>20</v>
      </c>
      <c r="G2668" s="3"/>
      <c r="H2668" s="1">
        <v>6.6</v>
      </c>
      <c r="I2668" s="3"/>
      <c r="J2668" s="7"/>
      <c r="L2668" s="3"/>
      <c r="M2668" s="3"/>
      <c r="N2668" s="3"/>
      <c r="O2668" s="3"/>
      <c r="P2668" s="3"/>
      <c r="Q2668" s="3"/>
      <c r="R2668" s="3"/>
      <c r="S2668" s="3"/>
    </row>
    <row r="2669" spans="3:19" ht="15.75" customHeight="1" x14ac:dyDescent="0.2">
      <c r="C2669" s="208">
        <v>34226</v>
      </c>
      <c r="D2669" s="12">
        <v>0.5</v>
      </c>
      <c r="E2669" s="1">
        <v>30</v>
      </c>
      <c r="G2669" s="3"/>
      <c r="H2669" s="1">
        <v>5.6</v>
      </c>
      <c r="I2669" s="3"/>
      <c r="J2669" s="7"/>
      <c r="L2669" s="3"/>
      <c r="M2669" s="3"/>
      <c r="N2669" s="3"/>
      <c r="O2669" s="3"/>
      <c r="P2669" s="3"/>
      <c r="Q2669" s="3"/>
      <c r="R2669" s="3"/>
      <c r="S2669" s="3"/>
    </row>
    <row r="2670" spans="3:19" ht="15.75" customHeight="1" x14ac:dyDescent="0.2">
      <c r="C2670" s="208">
        <v>34226</v>
      </c>
      <c r="D2670" s="12">
        <v>0.5</v>
      </c>
      <c r="E2670" s="1">
        <v>40</v>
      </c>
      <c r="G2670" s="3"/>
      <c r="H2670" s="1">
        <v>5.2</v>
      </c>
      <c r="I2670" s="3"/>
      <c r="J2670" s="7"/>
      <c r="L2670" s="3"/>
      <c r="M2670" s="3"/>
      <c r="N2670" s="3"/>
      <c r="O2670" s="3"/>
      <c r="P2670" s="3"/>
      <c r="Q2670" s="3"/>
      <c r="R2670" s="3"/>
      <c r="S2670" s="3"/>
    </row>
    <row r="2671" spans="3:19" ht="15.75" customHeight="1" x14ac:dyDescent="0.2">
      <c r="C2671" s="208">
        <v>34226</v>
      </c>
      <c r="D2671" s="12">
        <v>0.5</v>
      </c>
      <c r="E2671" s="1">
        <v>50</v>
      </c>
      <c r="G2671" s="3"/>
      <c r="H2671" s="1">
        <v>5</v>
      </c>
      <c r="I2671" s="3"/>
      <c r="J2671" s="7"/>
      <c r="L2671" s="3"/>
      <c r="M2671" s="3"/>
      <c r="N2671" s="3"/>
      <c r="O2671" s="3"/>
      <c r="P2671" s="3"/>
      <c r="Q2671" s="3"/>
      <c r="R2671" s="3"/>
      <c r="S2671" s="3"/>
    </row>
    <row r="2672" spans="3:19" ht="15.75" customHeight="1" x14ac:dyDescent="0.2">
      <c r="C2672" s="208"/>
      <c r="D2672" s="19"/>
      <c r="G2672" s="3"/>
      <c r="H2672" s="7"/>
      <c r="I2672" s="7"/>
      <c r="J2672" s="7"/>
      <c r="L2672" s="3"/>
      <c r="M2672" s="3"/>
      <c r="N2672" s="3"/>
      <c r="O2672" s="3"/>
      <c r="P2672" s="3"/>
      <c r="Q2672" s="3"/>
      <c r="R2672" s="3"/>
      <c r="S2672" s="3"/>
    </row>
    <row r="2673" spans="3:19" ht="15.75" customHeight="1" x14ac:dyDescent="0.2">
      <c r="C2673" s="208">
        <v>34254</v>
      </c>
      <c r="D2673" s="12">
        <v>0.5</v>
      </c>
      <c r="E2673" s="1">
        <v>0.5</v>
      </c>
      <c r="G2673" s="3"/>
      <c r="H2673" s="1">
        <v>14.9</v>
      </c>
      <c r="I2673" s="3"/>
      <c r="J2673" s="7"/>
      <c r="L2673" s="3"/>
      <c r="M2673" s="3"/>
      <c r="N2673" s="3"/>
      <c r="O2673" s="3"/>
      <c r="P2673" s="3"/>
      <c r="Q2673" s="3"/>
      <c r="R2673" s="3"/>
      <c r="S2673" s="3"/>
    </row>
    <row r="2674" spans="3:19" ht="15.75" customHeight="1" x14ac:dyDescent="0.2">
      <c r="C2674" s="208">
        <v>34254</v>
      </c>
      <c r="D2674" s="12">
        <v>0.5</v>
      </c>
      <c r="E2674" s="1">
        <v>2</v>
      </c>
      <c r="G2674" s="3"/>
      <c r="H2674" s="1">
        <v>14.8</v>
      </c>
      <c r="I2674" s="3"/>
      <c r="J2674" s="7"/>
      <c r="L2674" s="3"/>
      <c r="M2674" s="3"/>
      <c r="N2674" s="3"/>
      <c r="O2674" s="3"/>
      <c r="P2674" s="3"/>
      <c r="Q2674" s="3"/>
      <c r="R2674" s="3"/>
      <c r="S2674" s="3"/>
    </row>
    <row r="2675" spans="3:19" ht="15.75" customHeight="1" x14ac:dyDescent="0.2">
      <c r="C2675" s="208">
        <v>34254</v>
      </c>
      <c r="D2675" s="12">
        <v>0.5</v>
      </c>
      <c r="E2675" s="1">
        <v>4</v>
      </c>
      <c r="G2675" s="3"/>
      <c r="H2675" s="1">
        <v>14.8</v>
      </c>
      <c r="I2675" s="3"/>
      <c r="J2675" s="7"/>
      <c r="L2675" s="3"/>
      <c r="M2675" s="3"/>
      <c r="N2675" s="3"/>
      <c r="O2675" s="3"/>
      <c r="P2675" s="3"/>
      <c r="Q2675" s="3"/>
      <c r="R2675" s="3"/>
      <c r="S2675" s="3"/>
    </row>
    <row r="2676" spans="3:19" ht="15.75" customHeight="1" x14ac:dyDescent="0.2">
      <c r="C2676" s="208">
        <v>34254</v>
      </c>
      <c r="D2676" s="12">
        <v>0.5</v>
      </c>
      <c r="E2676" s="1">
        <v>6</v>
      </c>
      <c r="G2676" s="3"/>
      <c r="H2676" s="1">
        <v>14.7</v>
      </c>
      <c r="I2676" s="3"/>
      <c r="J2676" s="7"/>
      <c r="L2676" s="3"/>
      <c r="M2676" s="3"/>
      <c r="N2676" s="3"/>
      <c r="O2676" s="3"/>
      <c r="P2676" s="3"/>
      <c r="Q2676" s="3"/>
      <c r="R2676" s="3"/>
      <c r="S2676" s="3"/>
    </row>
    <row r="2677" spans="3:19" ht="15.75" customHeight="1" x14ac:dyDescent="0.2">
      <c r="C2677" s="208">
        <v>34254</v>
      </c>
      <c r="D2677" s="12">
        <v>0.5</v>
      </c>
      <c r="E2677" s="1">
        <v>8</v>
      </c>
      <c r="G2677" s="3"/>
      <c r="H2677" s="1">
        <v>14.6</v>
      </c>
      <c r="I2677" s="3"/>
      <c r="J2677" s="7"/>
      <c r="L2677" s="3"/>
      <c r="M2677" s="3"/>
      <c r="N2677" s="3"/>
      <c r="O2677" s="3"/>
      <c r="P2677" s="3"/>
      <c r="Q2677" s="3"/>
      <c r="R2677" s="3"/>
      <c r="S2677" s="3"/>
    </row>
    <row r="2678" spans="3:19" ht="15.75" customHeight="1" x14ac:dyDescent="0.2">
      <c r="C2678" s="208">
        <v>34254</v>
      </c>
      <c r="D2678" s="12">
        <v>0.5</v>
      </c>
      <c r="E2678" s="1">
        <v>10</v>
      </c>
      <c r="G2678" s="3"/>
      <c r="H2678" s="1">
        <v>14.5</v>
      </c>
      <c r="I2678" s="3"/>
      <c r="J2678" s="7"/>
      <c r="L2678" s="3"/>
      <c r="M2678" s="3"/>
      <c r="N2678" s="3"/>
      <c r="O2678" s="3"/>
      <c r="P2678" s="3"/>
      <c r="Q2678" s="3"/>
      <c r="R2678" s="3"/>
      <c r="S2678" s="3"/>
    </row>
    <row r="2679" spans="3:19" ht="15.75" customHeight="1" x14ac:dyDescent="0.2">
      <c r="C2679" s="208">
        <v>34254</v>
      </c>
      <c r="D2679" s="12">
        <v>0.5</v>
      </c>
      <c r="E2679" s="1">
        <v>12</v>
      </c>
      <c r="G2679" s="3"/>
      <c r="H2679" s="1">
        <v>14.4</v>
      </c>
      <c r="I2679" s="3"/>
      <c r="J2679" s="7"/>
      <c r="L2679" s="3"/>
      <c r="M2679" s="3"/>
      <c r="N2679" s="3"/>
      <c r="O2679" s="3"/>
      <c r="P2679" s="3"/>
      <c r="Q2679" s="3"/>
      <c r="R2679" s="3"/>
      <c r="S2679" s="3"/>
    </row>
    <row r="2680" spans="3:19" ht="15.75" customHeight="1" x14ac:dyDescent="0.2">
      <c r="C2680" s="208">
        <v>34254</v>
      </c>
      <c r="D2680" s="12">
        <v>0.5</v>
      </c>
      <c r="E2680" s="1">
        <v>14</v>
      </c>
      <c r="G2680" s="3"/>
      <c r="H2680" s="1">
        <v>13.8</v>
      </c>
      <c r="I2680" s="3"/>
      <c r="J2680" s="7"/>
      <c r="L2680" s="3"/>
      <c r="M2680" s="3"/>
      <c r="N2680" s="3"/>
      <c r="O2680" s="3"/>
      <c r="P2680" s="3"/>
      <c r="Q2680" s="3"/>
      <c r="R2680" s="3"/>
      <c r="S2680" s="3"/>
    </row>
    <row r="2681" spans="3:19" ht="15.75" customHeight="1" x14ac:dyDescent="0.2">
      <c r="C2681" s="208">
        <v>34254</v>
      </c>
      <c r="D2681" s="12">
        <v>0.5</v>
      </c>
      <c r="E2681" s="1">
        <v>16</v>
      </c>
      <c r="G2681" s="3"/>
      <c r="H2681" s="1">
        <v>9.3000000000000007</v>
      </c>
      <c r="I2681" s="3"/>
      <c r="J2681" s="7"/>
      <c r="L2681" s="3"/>
      <c r="M2681" s="3"/>
      <c r="N2681" s="3"/>
      <c r="O2681" s="3"/>
      <c r="P2681" s="3"/>
      <c r="Q2681" s="3"/>
      <c r="R2681" s="3"/>
      <c r="S2681" s="3"/>
    </row>
    <row r="2682" spans="3:19" ht="15.75" customHeight="1" x14ac:dyDescent="0.2">
      <c r="C2682" s="208">
        <v>34254</v>
      </c>
      <c r="D2682" s="12">
        <v>0.5</v>
      </c>
      <c r="E2682" s="1">
        <v>18</v>
      </c>
      <c r="G2682" s="3"/>
      <c r="H2682" s="1">
        <v>7.2</v>
      </c>
      <c r="I2682" s="3"/>
      <c r="J2682" s="7"/>
      <c r="L2682" s="3"/>
      <c r="M2682" s="3"/>
      <c r="N2682" s="3"/>
      <c r="O2682" s="3"/>
      <c r="P2682" s="3"/>
      <c r="Q2682" s="3"/>
      <c r="R2682" s="3"/>
      <c r="S2682" s="3"/>
    </row>
    <row r="2683" spans="3:19" ht="15.75" customHeight="1" x14ac:dyDescent="0.2">
      <c r="C2683" s="208">
        <v>34254</v>
      </c>
      <c r="D2683" s="12">
        <v>0.5</v>
      </c>
      <c r="E2683" s="1">
        <v>20</v>
      </c>
      <c r="G2683" s="3"/>
      <c r="H2683" s="1">
        <v>6.7</v>
      </c>
      <c r="I2683" s="3"/>
      <c r="J2683" s="7"/>
      <c r="L2683" s="3"/>
      <c r="M2683" s="3"/>
      <c r="N2683" s="3"/>
      <c r="O2683" s="3"/>
      <c r="P2683" s="3"/>
      <c r="Q2683" s="3"/>
      <c r="R2683" s="3"/>
      <c r="S2683" s="3"/>
    </row>
    <row r="2684" spans="3:19" ht="15.75" customHeight="1" x14ac:dyDescent="0.2">
      <c r="C2684" s="208">
        <v>34254</v>
      </c>
      <c r="D2684" s="12">
        <v>0.5</v>
      </c>
      <c r="E2684" s="1">
        <v>30</v>
      </c>
      <c r="G2684" s="3"/>
      <c r="H2684" s="1">
        <v>5.7</v>
      </c>
      <c r="I2684" s="3"/>
      <c r="J2684" s="7"/>
      <c r="L2684" s="3"/>
      <c r="M2684" s="3"/>
      <c r="N2684" s="3"/>
      <c r="O2684" s="3"/>
      <c r="P2684" s="3"/>
      <c r="Q2684" s="3"/>
      <c r="R2684" s="3"/>
      <c r="S2684" s="3"/>
    </row>
    <row r="2685" spans="3:19" ht="15.75" customHeight="1" x14ac:dyDescent="0.2">
      <c r="C2685" s="208">
        <v>34254</v>
      </c>
      <c r="D2685" s="12">
        <v>0.5</v>
      </c>
      <c r="E2685" s="1">
        <v>40</v>
      </c>
      <c r="G2685" s="3"/>
      <c r="H2685" s="1">
        <v>5.3</v>
      </c>
      <c r="I2685" s="3"/>
      <c r="J2685" s="7"/>
      <c r="L2685" s="3"/>
      <c r="M2685" s="3"/>
      <c r="N2685" s="3"/>
      <c r="O2685" s="3"/>
      <c r="P2685" s="3"/>
      <c r="Q2685" s="3"/>
      <c r="R2685" s="3"/>
      <c r="S2685" s="3"/>
    </row>
    <row r="2686" spans="3:19" ht="15.75" customHeight="1" x14ac:dyDescent="0.2">
      <c r="C2686" s="208">
        <v>34254</v>
      </c>
      <c r="D2686" s="12">
        <v>0.5</v>
      </c>
      <c r="E2686" s="1">
        <v>48</v>
      </c>
      <c r="G2686" s="3"/>
      <c r="H2686" s="1">
        <v>5.0999999999999996</v>
      </c>
      <c r="I2686" s="3"/>
      <c r="J2686" s="7"/>
      <c r="L2686" s="3"/>
      <c r="M2686" s="3"/>
      <c r="N2686" s="3"/>
      <c r="O2686" s="3"/>
      <c r="P2686" s="3"/>
      <c r="Q2686" s="3"/>
      <c r="R2686" s="3"/>
      <c r="S2686" s="3"/>
    </row>
    <row r="2687" spans="3:19" ht="15.75" customHeight="1" x14ac:dyDescent="0.2">
      <c r="C2687" s="208"/>
      <c r="D2687" s="3"/>
      <c r="E2687" s="3"/>
      <c r="G2687" s="3"/>
      <c r="H2687" s="20"/>
      <c r="I2687" s="20"/>
      <c r="L2687" s="3"/>
      <c r="M2687" s="3"/>
      <c r="N2687" s="3"/>
      <c r="O2687" s="3"/>
      <c r="P2687" s="3"/>
      <c r="Q2687" s="3"/>
      <c r="R2687" s="3"/>
      <c r="S2687" s="3"/>
    </row>
    <row r="2688" spans="3:19" ht="15.75" customHeight="1" x14ac:dyDescent="0.2">
      <c r="C2688" s="208">
        <v>33049</v>
      </c>
      <c r="D2688" s="3"/>
      <c r="E2688" s="1">
        <v>0.1</v>
      </c>
      <c r="G2688" s="3"/>
      <c r="H2688" s="7">
        <v>17.3</v>
      </c>
      <c r="I2688" s="7"/>
      <c r="J2688" s="7"/>
      <c r="L2688" s="3"/>
      <c r="M2688" s="3"/>
      <c r="N2688" s="3"/>
      <c r="O2688" s="3"/>
      <c r="P2688" s="3"/>
      <c r="Q2688" s="3"/>
      <c r="R2688" s="3"/>
      <c r="S2688" s="3"/>
    </row>
    <row r="2689" spans="3:19" ht="15.75" customHeight="1" x14ac:dyDescent="0.2">
      <c r="C2689" s="208">
        <v>33049</v>
      </c>
      <c r="D2689" s="3"/>
      <c r="E2689" s="1">
        <v>1</v>
      </c>
      <c r="G2689" s="3"/>
      <c r="H2689" s="7">
        <v>10.4</v>
      </c>
      <c r="I2689" s="7"/>
      <c r="J2689" s="7"/>
      <c r="L2689" s="3"/>
      <c r="M2689" s="3"/>
      <c r="N2689" s="3"/>
      <c r="O2689" s="3"/>
      <c r="P2689" s="3"/>
      <c r="Q2689" s="3"/>
      <c r="R2689" s="3"/>
      <c r="S2689" s="3"/>
    </row>
    <row r="2690" spans="3:19" ht="15.75" customHeight="1" x14ac:dyDescent="0.2">
      <c r="C2690" s="208">
        <v>33049</v>
      </c>
      <c r="D2690" s="3"/>
      <c r="E2690" s="1">
        <v>5</v>
      </c>
      <c r="G2690" s="3"/>
      <c r="H2690" s="7">
        <v>9.6</v>
      </c>
      <c r="I2690" s="7"/>
      <c r="J2690" s="7"/>
      <c r="L2690" s="3"/>
      <c r="M2690" s="3"/>
      <c r="N2690" s="3"/>
      <c r="O2690" s="3"/>
      <c r="P2690" s="3"/>
      <c r="Q2690" s="3"/>
      <c r="R2690" s="3"/>
      <c r="S2690" s="3"/>
    </row>
    <row r="2691" spans="3:19" ht="15.75" customHeight="1" x14ac:dyDescent="0.2">
      <c r="C2691" s="208">
        <v>33049</v>
      </c>
      <c r="D2691" s="3"/>
      <c r="E2691" s="1">
        <v>10</v>
      </c>
      <c r="G2691" s="3"/>
      <c r="H2691" s="7">
        <v>7.3</v>
      </c>
      <c r="I2691" s="7"/>
      <c r="J2691" s="7"/>
      <c r="L2691" s="3"/>
      <c r="M2691" s="3"/>
      <c r="N2691" s="3"/>
      <c r="O2691" s="3"/>
      <c r="P2691" s="3"/>
      <c r="Q2691" s="3"/>
      <c r="R2691" s="3"/>
      <c r="S2691" s="3"/>
    </row>
    <row r="2692" spans="3:19" ht="15.75" customHeight="1" x14ac:dyDescent="0.2">
      <c r="C2692" s="208">
        <v>33049</v>
      </c>
      <c r="D2692" s="3"/>
      <c r="E2692" s="1">
        <v>15</v>
      </c>
      <c r="G2692" s="3"/>
      <c r="H2692" s="7">
        <v>6.4</v>
      </c>
      <c r="I2692" s="7"/>
      <c r="J2692" s="7"/>
      <c r="L2692" s="3"/>
      <c r="M2692" s="3"/>
      <c r="N2692" s="3"/>
      <c r="O2692" s="3"/>
      <c r="P2692" s="3"/>
      <c r="Q2692" s="3"/>
      <c r="R2692" s="3"/>
      <c r="S2692" s="3"/>
    </row>
    <row r="2693" spans="3:19" ht="15.75" customHeight="1" x14ac:dyDescent="0.2">
      <c r="C2693" s="208">
        <v>33049</v>
      </c>
      <c r="D2693" s="3"/>
      <c r="E2693" s="1">
        <v>20</v>
      </c>
      <c r="G2693" s="3"/>
      <c r="H2693" s="7">
        <v>5.9</v>
      </c>
      <c r="I2693" s="7"/>
      <c r="J2693" s="7"/>
      <c r="L2693" s="3"/>
      <c r="M2693" s="3"/>
      <c r="N2693" s="3"/>
      <c r="O2693" s="3"/>
      <c r="P2693" s="3"/>
      <c r="Q2693" s="3"/>
      <c r="R2693" s="3"/>
      <c r="S2693" s="3"/>
    </row>
    <row r="2694" spans="3:19" ht="15.75" customHeight="1" x14ac:dyDescent="0.2">
      <c r="C2694" s="208">
        <v>33049</v>
      </c>
      <c r="D2694" s="3"/>
      <c r="E2694" s="1">
        <v>25</v>
      </c>
      <c r="G2694" s="3"/>
      <c r="H2694" s="7">
        <v>5.7</v>
      </c>
      <c r="I2694" s="7"/>
      <c r="J2694" s="7"/>
      <c r="L2694" s="3"/>
      <c r="M2694" s="3"/>
      <c r="N2694" s="3"/>
      <c r="O2694" s="3"/>
      <c r="P2694" s="3"/>
      <c r="Q2694" s="3"/>
      <c r="R2694" s="3"/>
      <c r="S2694" s="3"/>
    </row>
    <row r="2695" spans="3:19" ht="15.75" customHeight="1" x14ac:dyDescent="0.2">
      <c r="C2695" s="208">
        <v>33049</v>
      </c>
      <c r="D2695" s="3"/>
      <c r="E2695" s="1">
        <v>30</v>
      </c>
      <c r="G2695" s="3"/>
      <c r="H2695" s="7">
        <v>5.7</v>
      </c>
      <c r="I2695" s="7"/>
      <c r="J2695" s="7"/>
      <c r="L2695" s="3"/>
      <c r="M2695" s="3"/>
      <c r="N2695" s="3"/>
      <c r="O2695" s="3"/>
      <c r="P2695" s="3"/>
      <c r="Q2695" s="3"/>
      <c r="R2695" s="3"/>
      <c r="S2695" s="3"/>
    </row>
    <row r="2696" spans="3:19" ht="15.75" customHeight="1" x14ac:dyDescent="0.2">
      <c r="C2696" s="208">
        <v>33049</v>
      </c>
      <c r="D2696" s="3"/>
      <c r="E2696" s="1">
        <v>35</v>
      </c>
      <c r="G2696" s="3"/>
      <c r="H2696" s="7">
        <v>5.0999999999999996</v>
      </c>
      <c r="I2696" s="7"/>
      <c r="J2696" s="7"/>
      <c r="L2696" s="3"/>
      <c r="M2696" s="3"/>
      <c r="N2696" s="3"/>
      <c r="O2696" s="3"/>
      <c r="P2696" s="3"/>
      <c r="Q2696" s="3"/>
      <c r="R2696" s="3"/>
      <c r="S2696" s="3"/>
    </row>
    <row r="2697" spans="3:19" ht="15.75" customHeight="1" x14ac:dyDescent="0.2">
      <c r="C2697" s="208">
        <v>33049</v>
      </c>
      <c r="D2697" s="3"/>
      <c r="E2697" s="1">
        <v>40</v>
      </c>
      <c r="G2697" s="3"/>
      <c r="H2697" s="7">
        <v>5.0999999999999996</v>
      </c>
      <c r="I2697" s="7"/>
      <c r="J2697" s="7"/>
      <c r="L2697" s="3"/>
      <c r="M2697" s="3"/>
      <c r="N2697" s="3"/>
      <c r="O2697" s="3"/>
      <c r="P2697" s="3"/>
      <c r="Q2697" s="3"/>
      <c r="R2697" s="3"/>
      <c r="S2697" s="3"/>
    </row>
    <row r="2698" spans="3:19" ht="15.75" customHeight="1" x14ac:dyDescent="0.2">
      <c r="C2698" s="208">
        <v>33049</v>
      </c>
      <c r="D2698" s="3"/>
      <c r="E2698" s="1">
        <v>45</v>
      </c>
      <c r="G2698" s="3"/>
      <c r="H2698" s="7">
        <v>5.0999999999999996</v>
      </c>
      <c r="I2698" s="7"/>
      <c r="J2698" s="7"/>
      <c r="L2698" s="3"/>
      <c r="M2698" s="3"/>
      <c r="N2698" s="3"/>
      <c r="O2698" s="3"/>
      <c r="P2698" s="3"/>
      <c r="Q2698" s="3"/>
      <c r="R2698" s="3"/>
      <c r="S2698" s="3"/>
    </row>
    <row r="2699" spans="3:19" ht="15.75" customHeight="1" x14ac:dyDescent="0.2">
      <c r="C2699" s="208">
        <v>33049</v>
      </c>
      <c r="D2699" s="3"/>
      <c r="E2699" s="1">
        <v>50</v>
      </c>
      <c r="G2699" s="3"/>
      <c r="H2699" s="7">
        <v>5.0999999999999996</v>
      </c>
      <c r="I2699" s="7"/>
      <c r="J2699" s="7"/>
      <c r="L2699" s="3"/>
      <c r="M2699" s="3"/>
      <c r="N2699" s="3"/>
      <c r="O2699" s="3"/>
      <c r="P2699" s="3"/>
      <c r="Q2699" s="3"/>
      <c r="R2699" s="3"/>
      <c r="S2699" s="3"/>
    </row>
    <row r="2700" spans="3:19" ht="15.75" customHeight="1" x14ac:dyDescent="0.2">
      <c r="C2700" s="208">
        <v>33049</v>
      </c>
      <c r="D2700" s="3"/>
      <c r="E2700" s="1">
        <v>55</v>
      </c>
      <c r="G2700" s="3"/>
      <c r="H2700" s="7">
        <v>5.0999999999999996</v>
      </c>
      <c r="I2700" s="7"/>
      <c r="J2700" s="7"/>
      <c r="L2700" s="3"/>
      <c r="M2700" s="3"/>
      <c r="N2700" s="3"/>
      <c r="O2700" s="3"/>
      <c r="P2700" s="3"/>
      <c r="Q2700" s="3"/>
      <c r="R2700" s="3"/>
      <c r="S2700" s="3"/>
    </row>
    <row r="2701" spans="3:19" ht="15.75" customHeight="1" x14ac:dyDescent="0.2">
      <c r="C2701" s="208">
        <v>33049</v>
      </c>
      <c r="D2701" s="3"/>
      <c r="E2701" s="1">
        <v>60</v>
      </c>
      <c r="G2701" s="3"/>
      <c r="H2701" s="7">
        <v>5.0999999999999996</v>
      </c>
      <c r="I2701" s="7"/>
      <c r="J2701" s="7"/>
      <c r="L2701" s="3"/>
      <c r="M2701" s="3"/>
      <c r="N2701" s="3"/>
      <c r="O2701" s="3"/>
      <c r="P2701" s="3"/>
      <c r="Q2701" s="3"/>
      <c r="R2701" s="3"/>
      <c r="S2701" s="3"/>
    </row>
    <row r="2702" spans="3:19" ht="15.75" customHeight="1" x14ac:dyDescent="0.2">
      <c r="C2702" s="208">
        <v>33049</v>
      </c>
      <c r="D2702" s="3"/>
      <c r="E2702" s="1">
        <v>65</v>
      </c>
      <c r="G2702" s="3"/>
      <c r="H2702" s="7">
        <v>5.0999999999999996</v>
      </c>
      <c r="I2702" s="7"/>
      <c r="J2702" s="7"/>
      <c r="L2702" s="3"/>
      <c r="M2702" s="3"/>
      <c r="N2702" s="3"/>
      <c r="O2702" s="3"/>
      <c r="P2702" s="3"/>
      <c r="Q2702" s="3"/>
      <c r="R2702" s="3"/>
      <c r="S2702" s="3"/>
    </row>
    <row r="2703" spans="3:19" ht="15.75" customHeight="1" x14ac:dyDescent="0.2">
      <c r="C2703" s="208">
        <v>33049</v>
      </c>
      <c r="D2703" s="3"/>
      <c r="E2703" s="1">
        <v>70</v>
      </c>
      <c r="G2703" s="3"/>
      <c r="H2703" s="7">
        <v>5</v>
      </c>
      <c r="I2703" s="7"/>
      <c r="J2703" s="7"/>
      <c r="L2703" s="3"/>
      <c r="M2703" s="3"/>
      <c r="N2703" s="3"/>
      <c r="O2703" s="3"/>
      <c r="P2703" s="3"/>
      <c r="Q2703" s="3"/>
      <c r="R2703" s="3"/>
      <c r="S2703" s="3"/>
    </row>
    <row r="2704" spans="3:19" ht="15.75" customHeight="1" x14ac:dyDescent="0.2">
      <c r="C2704" s="208"/>
      <c r="D2704" s="3"/>
      <c r="G2704" s="3"/>
      <c r="H2704" s="7"/>
      <c r="I2704" s="7"/>
      <c r="J2704" s="7"/>
      <c r="L2704" s="3"/>
      <c r="M2704" s="3"/>
      <c r="N2704" s="3"/>
      <c r="O2704" s="3"/>
      <c r="P2704" s="3"/>
      <c r="Q2704" s="3"/>
      <c r="R2704" s="3"/>
      <c r="S2704" s="3"/>
    </row>
    <row r="2705" spans="3:19" ht="15.75" customHeight="1" x14ac:dyDescent="0.2">
      <c r="C2705" s="208">
        <v>33092</v>
      </c>
      <c r="D2705" s="3"/>
      <c r="E2705" s="1">
        <v>0.1</v>
      </c>
      <c r="G2705" s="3"/>
      <c r="H2705" s="7">
        <v>22.6</v>
      </c>
      <c r="I2705" s="7">
        <v>22.6</v>
      </c>
      <c r="J2705" s="7"/>
      <c r="L2705" s="3"/>
      <c r="M2705" s="3"/>
      <c r="N2705" s="3"/>
      <c r="O2705" s="3"/>
      <c r="P2705" s="3"/>
      <c r="Q2705" s="3"/>
      <c r="R2705" s="3"/>
      <c r="S2705" s="3"/>
    </row>
    <row r="2706" spans="3:19" ht="15.75" customHeight="1" x14ac:dyDescent="0.2">
      <c r="C2706" s="208">
        <v>33092</v>
      </c>
      <c r="D2706" s="3"/>
      <c r="E2706" s="1">
        <v>1</v>
      </c>
      <c r="G2706" s="3"/>
      <c r="H2706" s="7">
        <v>21.9</v>
      </c>
      <c r="I2706" s="7">
        <v>21.9</v>
      </c>
      <c r="J2706" s="7"/>
      <c r="L2706" s="3"/>
      <c r="M2706" s="3"/>
      <c r="N2706" s="3"/>
      <c r="O2706" s="3"/>
      <c r="P2706" s="3"/>
      <c r="Q2706" s="3"/>
      <c r="R2706" s="3"/>
      <c r="S2706" s="3"/>
    </row>
    <row r="2707" spans="3:19" ht="15.75" customHeight="1" x14ac:dyDescent="0.2">
      <c r="C2707" s="208">
        <v>33092</v>
      </c>
      <c r="D2707" s="3"/>
      <c r="E2707" s="1">
        <v>5</v>
      </c>
      <c r="G2707" s="3"/>
      <c r="H2707" s="7">
        <v>14.6</v>
      </c>
      <c r="I2707" s="7">
        <v>14.6</v>
      </c>
      <c r="J2707" s="7"/>
      <c r="L2707" s="3"/>
      <c r="M2707" s="3"/>
      <c r="N2707" s="3"/>
      <c r="O2707" s="3"/>
      <c r="P2707" s="3"/>
      <c r="Q2707" s="3"/>
      <c r="R2707" s="3"/>
      <c r="S2707" s="3"/>
    </row>
    <row r="2708" spans="3:19" ht="15.75" customHeight="1" x14ac:dyDescent="0.2">
      <c r="C2708" s="208">
        <v>33092</v>
      </c>
      <c r="D2708" s="3"/>
      <c r="E2708" s="1">
        <v>10</v>
      </c>
      <c r="G2708" s="3"/>
      <c r="H2708" s="7">
        <v>9</v>
      </c>
      <c r="I2708" s="17">
        <f>AVERAGE(I2705:I2707)</f>
        <v>19.7</v>
      </c>
      <c r="J2708" s="7"/>
      <c r="L2708" s="3"/>
      <c r="M2708" s="3"/>
      <c r="N2708" s="3"/>
      <c r="O2708" s="3"/>
      <c r="P2708" s="3"/>
      <c r="Q2708" s="3"/>
      <c r="R2708" s="3"/>
      <c r="S2708" s="3"/>
    </row>
    <row r="2709" spans="3:19" ht="15.75" customHeight="1" x14ac:dyDescent="0.2">
      <c r="C2709" s="208">
        <v>33092</v>
      </c>
      <c r="D2709" s="3"/>
      <c r="E2709" s="1">
        <v>15</v>
      </c>
      <c r="G2709" s="3"/>
      <c r="H2709" s="7">
        <v>7.6</v>
      </c>
      <c r="I2709" s="7"/>
      <c r="J2709" s="7"/>
      <c r="L2709" s="3"/>
      <c r="M2709" s="3"/>
      <c r="N2709" s="3"/>
      <c r="O2709" s="3"/>
      <c r="P2709" s="3"/>
      <c r="Q2709" s="3"/>
      <c r="R2709" s="3"/>
      <c r="S2709" s="3"/>
    </row>
    <row r="2710" spans="3:19" ht="15.75" customHeight="1" x14ac:dyDescent="0.2">
      <c r="C2710" s="208">
        <v>33092</v>
      </c>
      <c r="D2710" s="3"/>
      <c r="E2710" s="1">
        <v>20</v>
      </c>
      <c r="G2710" s="3"/>
      <c r="H2710" s="7">
        <v>6.6</v>
      </c>
      <c r="I2710" s="7"/>
      <c r="J2710" s="7"/>
      <c r="L2710" s="3"/>
      <c r="M2710" s="3"/>
      <c r="N2710" s="3"/>
      <c r="O2710" s="3"/>
      <c r="P2710" s="3"/>
      <c r="Q2710" s="3"/>
      <c r="R2710" s="3"/>
      <c r="S2710" s="3"/>
    </row>
    <row r="2711" spans="3:19" ht="15.75" customHeight="1" x14ac:dyDescent="0.2">
      <c r="C2711" s="208">
        <v>33092</v>
      </c>
      <c r="D2711" s="3"/>
      <c r="E2711" s="1">
        <v>25</v>
      </c>
      <c r="G2711" s="3"/>
      <c r="H2711" s="7">
        <v>6.2</v>
      </c>
      <c r="I2711" s="7"/>
      <c r="J2711" s="7"/>
      <c r="L2711" s="3"/>
      <c r="M2711" s="3"/>
      <c r="N2711" s="3"/>
      <c r="O2711" s="3"/>
      <c r="P2711" s="3"/>
      <c r="Q2711" s="3"/>
      <c r="R2711" s="3"/>
      <c r="S2711" s="3"/>
    </row>
    <row r="2712" spans="3:19" ht="15.75" customHeight="1" x14ac:dyDescent="0.2">
      <c r="C2712" s="208">
        <v>33092</v>
      </c>
      <c r="D2712" s="3"/>
      <c r="E2712" s="1">
        <v>30</v>
      </c>
      <c r="G2712" s="3"/>
      <c r="H2712" s="7">
        <v>5.9</v>
      </c>
      <c r="I2712" s="7"/>
      <c r="J2712" s="7"/>
      <c r="L2712" s="3"/>
      <c r="M2712" s="3"/>
      <c r="N2712" s="3"/>
      <c r="O2712" s="3"/>
      <c r="P2712" s="3"/>
      <c r="Q2712" s="3"/>
      <c r="R2712" s="3"/>
      <c r="S2712" s="3"/>
    </row>
    <row r="2713" spans="3:19" ht="15.75" customHeight="1" x14ac:dyDescent="0.2">
      <c r="C2713" s="208">
        <v>33092</v>
      </c>
      <c r="D2713" s="3"/>
      <c r="E2713" s="1">
        <v>35</v>
      </c>
      <c r="G2713" s="3"/>
      <c r="H2713" s="7">
        <v>5.7</v>
      </c>
      <c r="I2713" s="7"/>
      <c r="J2713" s="7"/>
      <c r="L2713" s="3"/>
      <c r="M2713" s="3"/>
      <c r="N2713" s="3"/>
      <c r="O2713" s="3"/>
      <c r="P2713" s="3"/>
      <c r="Q2713" s="3"/>
      <c r="R2713" s="3"/>
      <c r="S2713" s="3"/>
    </row>
    <row r="2714" spans="3:19" ht="15.75" customHeight="1" x14ac:dyDescent="0.2">
      <c r="C2714" s="208">
        <v>33092</v>
      </c>
      <c r="D2714" s="3"/>
      <c r="E2714" s="1">
        <v>40</v>
      </c>
      <c r="G2714" s="3"/>
      <c r="H2714" s="7">
        <v>5.4</v>
      </c>
      <c r="I2714" s="7"/>
      <c r="J2714" s="7"/>
      <c r="L2714" s="3"/>
      <c r="M2714" s="3"/>
      <c r="N2714" s="3"/>
      <c r="O2714" s="3"/>
      <c r="P2714" s="3"/>
      <c r="Q2714" s="3"/>
      <c r="R2714" s="3"/>
      <c r="S2714" s="3"/>
    </row>
    <row r="2715" spans="3:19" ht="15.75" customHeight="1" x14ac:dyDescent="0.2">
      <c r="C2715" s="208">
        <v>33092</v>
      </c>
      <c r="D2715" s="3"/>
      <c r="E2715" s="1">
        <v>45</v>
      </c>
      <c r="G2715" s="3"/>
      <c r="H2715" s="7">
        <v>5.3</v>
      </c>
      <c r="I2715" s="7"/>
      <c r="J2715" s="7"/>
      <c r="L2715" s="3"/>
      <c r="M2715" s="3"/>
      <c r="N2715" s="3"/>
      <c r="O2715" s="3"/>
      <c r="P2715" s="3"/>
      <c r="Q2715" s="3"/>
      <c r="R2715" s="3"/>
      <c r="S2715" s="3"/>
    </row>
    <row r="2716" spans="3:19" ht="15.75" customHeight="1" x14ac:dyDescent="0.2">
      <c r="C2716" s="208">
        <v>33092</v>
      </c>
      <c r="D2716" s="3"/>
      <c r="E2716" s="1">
        <v>50</v>
      </c>
      <c r="G2716" s="3"/>
      <c r="H2716" s="7">
        <v>5.2</v>
      </c>
      <c r="I2716" s="7"/>
      <c r="J2716" s="7"/>
      <c r="L2716" s="3"/>
      <c r="M2716" s="3"/>
      <c r="N2716" s="3"/>
      <c r="O2716" s="3"/>
      <c r="P2716" s="3"/>
      <c r="Q2716" s="3"/>
      <c r="R2716" s="3"/>
      <c r="S2716" s="3"/>
    </row>
    <row r="2717" spans="3:19" ht="15.75" customHeight="1" x14ac:dyDescent="0.2">
      <c r="C2717" s="208"/>
      <c r="D2717" s="3"/>
      <c r="G2717" s="3"/>
      <c r="H2717" s="7"/>
      <c r="I2717" s="7"/>
      <c r="J2717" s="7"/>
      <c r="L2717" s="3"/>
      <c r="M2717" s="3"/>
      <c r="N2717" s="3"/>
      <c r="O2717" s="3"/>
      <c r="P2717" s="3"/>
      <c r="Q2717" s="3"/>
      <c r="R2717" s="3"/>
      <c r="S2717" s="3"/>
    </row>
    <row r="2718" spans="3:19" ht="15.75" customHeight="1" x14ac:dyDescent="0.2">
      <c r="C2718" s="208">
        <v>33134</v>
      </c>
      <c r="D2718" s="3"/>
      <c r="E2718" s="1">
        <v>0.1</v>
      </c>
      <c r="G2718" s="3"/>
      <c r="H2718" s="7">
        <v>18.7</v>
      </c>
      <c r="I2718" s="7">
        <v>18.7</v>
      </c>
      <c r="J2718" s="7"/>
      <c r="L2718" s="3"/>
      <c r="M2718" s="3"/>
      <c r="N2718" s="3"/>
      <c r="O2718" s="3"/>
      <c r="P2718" s="3"/>
      <c r="Q2718" s="3"/>
      <c r="R2718" s="3"/>
      <c r="S2718" s="3"/>
    </row>
    <row r="2719" spans="3:19" ht="15.75" customHeight="1" x14ac:dyDescent="0.2">
      <c r="C2719" s="208">
        <v>33134</v>
      </c>
      <c r="D2719" s="3"/>
      <c r="E2719" s="1">
        <v>1</v>
      </c>
      <c r="G2719" s="3"/>
      <c r="H2719" s="7">
        <v>18.600000000000001</v>
      </c>
      <c r="I2719" s="7">
        <v>18.600000000000001</v>
      </c>
      <c r="J2719" s="7"/>
      <c r="L2719" s="3"/>
      <c r="M2719" s="3"/>
      <c r="N2719" s="3"/>
      <c r="O2719" s="3"/>
      <c r="P2719" s="3"/>
      <c r="Q2719" s="3"/>
      <c r="R2719" s="3"/>
      <c r="S2719" s="3"/>
    </row>
    <row r="2720" spans="3:19" ht="15.75" customHeight="1" x14ac:dyDescent="0.2">
      <c r="C2720" s="208">
        <v>33134</v>
      </c>
      <c r="D2720" s="3"/>
      <c r="E2720" s="1">
        <v>5</v>
      </c>
      <c r="G2720" s="3"/>
      <c r="H2720" s="7">
        <v>18.399999999999999</v>
      </c>
      <c r="I2720" s="7">
        <v>18.399999999999999</v>
      </c>
      <c r="J2720" s="7"/>
      <c r="L2720" s="3"/>
      <c r="M2720" s="3"/>
      <c r="N2720" s="3"/>
      <c r="O2720" s="3"/>
      <c r="P2720" s="3"/>
      <c r="Q2720" s="3"/>
      <c r="R2720" s="3"/>
      <c r="S2720" s="3"/>
    </row>
    <row r="2721" spans="3:19" ht="15.75" customHeight="1" x14ac:dyDescent="0.2">
      <c r="C2721" s="208">
        <v>33134</v>
      </c>
      <c r="D2721" s="3"/>
      <c r="E2721" s="1">
        <v>10</v>
      </c>
      <c r="G2721" s="3"/>
      <c r="H2721" s="7">
        <v>18.3</v>
      </c>
      <c r="I2721" s="7">
        <v>18.3</v>
      </c>
      <c r="J2721" s="7"/>
      <c r="L2721" s="3"/>
      <c r="M2721" s="3"/>
      <c r="N2721" s="3"/>
      <c r="O2721" s="3"/>
      <c r="P2721" s="3"/>
      <c r="Q2721" s="3"/>
      <c r="R2721" s="3"/>
      <c r="S2721" s="3"/>
    </row>
    <row r="2722" spans="3:19" ht="15.75" customHeight="1" x14ac:dyDescent="0.2">
      <c r="C2722" s="208">
        <v>33134</v>
      </c>
      <c r="D2722" s="3"/>
      <c r="E2722" s="1">
        <v>15</v>
      </c>
      <c r="G2722" s="3"/>
      <c r="H2722" s="7">
        <v>10.8</v>
      </c>
      <c r="I2722" s="7">
        <f>AVERAGE(I2718:I2721)</f>
        <v>18.5</v>
      </c>
      <c r="J2722" s="7"/>
      <c r="L2722" s="3"/>
      <c r="M2722" s="3"/>
      <c r="N2722" s="3"/>
      <c r="O2722" s="3"/>
      <c r="P2722" s="3"/>
      <c r="Q2722" s="3"/>
      <c r="R2722" s="3"/>
      <c r="S2722" s="3"/>
    </row>
    <row r="2723" spans="3:19" ht="15.75" customHeight="1" x14ac:dyDescent="0.2">
      <c r="C2723" s="208">
        <v>33134</v>
      </c>
      <c r="D2723" s="3"/>
      <c r="E2723" s="1">
        <v>20</v>
      </c>
      <c r="G2723" s="3"/>
      <c r="H2723" s="7">
        <v>7.6</v>
      </c>
      <c r="I2723" s="7"/>
      <c r="J2723" s="7"/>
      <c r="L2723" s="3"/>
      <c r="M2723" s="3"/>
      <c r="N2723" s="3"/>
      <c r="O2723" s="3"/>
      <c r="P2723" s="3"/>
      <c r="Q2723" s="3"/>
      <c r="R2723" s="3"/>
      <c r="S2723" s="3"/>
    </row>
    <row r="2724" spans="3:19" ht="15.75" customHeight="1" x14ac:dyDescent="0.2">
      <c r="C2724" s="208">
        <v>33134</v>
      </c>
      <c r="D2724" s="3"/>
      <c r="E2724" s="1">
        <v>25</v>
      </c>
      <c r="G2724" s="3"/>
      <c r="H2724" s="7">
        <v>6.8</v>
      </c>
      <c r="I2724" s="7"/>
      <c r="J2724" s="7"/>
      <c r="L2724" s="3"/>
      <c r="M2724" s="3"/>
      <c r="N2724" s="3"/>
      <c r="O2724" s="3"/>
      <c r="P2724" s="3"/>
      <c r="Q2724" s="3"/>
      <c r="R2724" s="3"/>
      <c r="S2724" s="3"/>
    </row>
    <row r="2725" spans="3:19" ht="15.75" customHeight="1" x14ac:dyDescent="0.2">
      <c r="C2725" s="208">
        <v>33134</v>
      </c>
      <c r="D2725" s="3"/>
      <c r="E2725" s="1">
        <v>30</v>
      </c>
      <c r="G2725" s="3"/>
      <c r="H2725" s="7">
        <v>6.4</v>
      </c>
      <c r="I2725" s="7"/>
      <c r="J2725" s="7"/>
      <c r="L2725" s="3"/>
      <c r="M2725" s="3"/>
      <c r="N2725" s="3"/>
      <c r="O2725" s="3"/>
      <c r="P2725" s="3"/>
      <c r="Q2725" s="3"/>
      <c r="R2725" s="3"/>
      <c r="S2725" s="3"/>
    </row>
    <row r="2726" spans="3:19" ht="15.75" customHeight="1" x14ac:dyDescent="0.2">
      <c r="C2726" s="208">
        <v>33134</v>
      </c>
      <c r="D2726" s="3"/>
      <c r="E2726" s="1">
        <v>35</v>
      </c>
      <c r="G2726" s="3"/>
      <c r="H2726" s="7">
        <v>6.3</v>
      </c>
      <c r="I2726" s="7"/>
      <c r="J2726" s="7"/>
      <c r="L2726" s="3"/>
      <c r="M2726" s="3"/>
      <c r="N2726" s="3"/>
      <c r="O2726" s="3"/>
      <c r="P2726" s="3"/>
      <c r="Q2726" s="3"/>
      <c r="R2726" s="3"/>
      <c r="S2726" s="3"/>
    </row>
    <row r="2727" spans="3:19" ht="15.75" customHeight="1" x14ac:dyDescent="0.2">
      <c r="C2727" s="208">
        <v>33134</v>
      </c>
      <c r="D2727" s="3"/>
      <c r="E2727" s="1">
        <v>40</v>
      </c>
      <c r="G2727" s="3"/>
      <c r="H2727" s="7">
        <v>6</v>
      </c>
      <c r="I2727" s="7"/>
      <c r="J2727" s="7"/>
      <c r="L2727" s="3"/>
      <c r="M2727" s="3"/>
      <c r="N2727" s="3"/>
      <c r="O2727" s="3"/>
      <c r="P2727" s="3"/>
      <c r="Q2727" s="3"/>
      <c r="R2727" s="3"/>
      <c r="S2727" s="3"/>
    </row>
    <row r="2728" spans="3:19" ht="15.75" customHeight="1" x14ac:dyDescent="0.2">
      <c r="C2728" s="208">
        <v>33134</v>
      </c>
      <c r="D2728" s="3"/>
      <c r="E2728" s="1">
        <v>45</v>
      </c>
      <c r="G2728" s="3"/>
      <c r="H2728" s="7">
        <v>5.7</v>
      </c>
      <c r="I2728" s="7"/>
      <c r="J2728" s="7"/>
      <c r="L2728" s="3"/>
      <c r="M2728" s="3"/>
      <c r="N2728" s="3"/>
      <c r="O2728" s="3"/>
      <c r="P2728" s="3"/>
      <c r="Q2728" s="3"/>
      <c r="R2728" s="3"/>
      <c r="S2728" s="3"/>
    </row>
    <row r="2729" spans="3:19" ht="15.75" customHeight="1" x14ac:dyDescent="0.2">
      <c r="C2729" s="208">
        <v>33134</v>
      </c>
      <c r="D2729" s="3"/>
      <c r="E2729" s="1">
        <v>50</v>
      </c>
      <c r="G2729" s="3"/>
      <c r="H2729" s="7">
        <v>5.5</v>
      </c>
      <c r="I2729" s="7"/>
      <c r="J2729" s="7"/>
      <c r="L2729" s="3"/>
      <c r="M2729" s="3"/>
      <c r="N2729" s="3"/>
      <c r="O2729" s="3"/>
      <c r="P2729" s="3"/>
      <c r="Q2729" s="3"/>
      <c r="R2729" s="3"/>
      <c r="S2729" s="3"/>
    </row>
    <row r="2730" spans="3:19" ht="15.75" customHeight="1" x14ac:dyDescent="0.2">
      <c r="C2730" s="208">
        <v>33134</v>
      </c>
      <c r="D2730" s="3"/>
      <c r="E2730" s="1">
        <v>55</v>
      </c>
      <c r="G2730" s="3"/>
      <c r="H2730" s="7">
        <v>5.4</v>
      </c>
      <c r="I2730" s="7"/>
      <c r="J2730" s="7"/>
      <c r="L2730" s="3"/>
      <c r="M2730" s="3"/>
      <c r="N2730" s="3"/>
      <c r="O2730" s="3"/>
      <c r="P2730" s="3"/>
      <c r="Q2730" s="3"/>
      <c r="R2730" s="3"/>
      <c r="S2730" s="3"/>
    </row>
    <row r="2731" spans="3:19" ht="15.75" customHeight="1" x14ac:dyDescent="0.2">
      <c r="C2731" s="208">
        <v>33134</v>
      </c>
      <c r="D2731" s="3"/>
      <c r="E2731" s="1">
        <v>60</v>
      </c>
      <c r="G2731" s="3"/>
      <c r="H2731" s="7">
        <v>5.4</v>
      </c>
      <c r="I2731" s="7"/>
      <c r="J2731" s="7"/>
      <c r="L2731" s="3"/>
      <c r="M2731" s="3"/>
      <c r="N2731" s="3"/>
      <c r="O2731" s="3"/>
      <c r="P2731" s="3"/>
      <c r="Q2731" s="3"/>
      <c r="R2731" s="3"/>
      <c r="S2731" s="3"/>
    </row>
    <row r="2732" spans="3:19" ht="15.75" customHeight="1" x14ac:dyDescent="0.2">
      <c r="C2732" s="208"/>
      <c r="D2732" s="3"/>
      <c r="G2732" s="3"/>
      <c r="H2732" s="7"/>
      <c r="I2732" s="7"/>
      <c r="J2732" s="7"/>
      <c r="L2732" s="3"/>
      <c r="M2732" s="3"/>
      <c r="N2732" s="3"/>
      <c r="O2732" s="3"/>
      <c r="P2732" s="3"/>
      <c r="Q2732" s="3"/>
      <c r="R2732" s="3"/>
      <c r="S2732" s="3"/>
    </row>
    <row r="2733" spans="3:19" ht="15.75" customHeight="1" x14ac:dyDescent="0.2">
      <c r="C2733" s="208"/>
      <c r="D2733" s="3"/>
      <c r="G2733" s="3"/>
      <c r="H2733" s="7"/>
      <c r="I2733" s="7"/>
      <c r="J2733" s="7"/>
      <c r="L2733" s="3"/>
      <c r="M2733" s="3"/>
      <c r="N2733" s="3"/>
      <c r="O2733" s="3"/>
      <c r="P2733" s="3"/>
      <c r="Q2733" s="3"/>
      <c r="R2733" s="3"/>
      <c r="S2733" s="3"/>
    </row>
    <row r="2734" spans="3:19" ht="15.75" customHeight="1" x14ac:dyDescent="0.2">
      <c r="C2734" s="208"/>
      <c r="D2734" s="3"/>
      <c r="G2734" s="3"/>
      <c r="H2734" s="7"/>
      <c r="I2734" s="7"/>
      <c r="J2734" s="7"/>
      <c r="L2734" s="3"/>
      <c r="M2734" s="3"/>
      <c r="N2734" s="3"/>
      <c r="O2734" s="3"/>
      <c r="P2734" s="3"/>
      <c r="Q2734" s="3"/>
      <c r="R2734" s="3"/>
      <c r="S2734" s="3"/>
    </row>
    <row r="2735" spans="3:19" ht="15.75" customHeight="1" x14ac:dyDescent="0.2">
      <c r="C2735" s="208">
        <v>33171</v>
      </c>
      <c r="D2735" s="3"/>
      <c r="E2735" s="1">
        <v>0.1</v>
      </c>
      <c r="G2735" s="3"/>
      <c r="H2735" s="7">
        <v>10.4</v>
      </c>
      <c r="I2735" s="7">
        <v>10.4</v>
      </c>
      <c r="J2735" s="7"/>
      <c r="L2735" s="3"/>
      <c r="M2735" s="3"/>
      <c r="N2735" s="3"/>
      <c r="O2735" s="3"/>
      <c r="P2735" s="3"/>
      <c r="Q2735" s="3"/>
      <c r="R2735" s="3"/>
      <c r="S2735" s="3"/>
    </row>
    <row r="2736" spans="3:19" ht="15.75" customHeight="1" x14ac:dyDescent="0.2">
      <c r="C2736" s="208">
        <v>33171</v>
      </c>
      <c r="D2736" s="3"/>
      <c r="E2736" s="1">
        <v>1</v>
      </c>
      <c r="G2736" s="3"/>
      <c r="H2736" s="7">
        <v>10.3</v>
      </c>
      <c r="I2736" s="7">
        <v>10.3</v>
      </c>
      <c r="J2736" s="7"/>
      <c r="L2736" s="3"/>
      <c r="M2736" s="3"/>
      <c r="N2736" s="3"/>
      <c r="O2736" s="3"/>
      <c r="P2736" s="3"/>
      <c r="Q2736" s="3"/>
      <c r="R2736" s="3"/>
      <c r="S2736" s="3"/>
    </row>
    <row r="2737" spans="3:19" ht="15.75" customHeight="1" x14ac:dyDescent="0.2">
      <c r="C2737" s="208">
        <v>33171</v>
      </c>
      <c r="D2737" s="3"/>
      <c r="E2737" s="1">
        <v>5</v>
      </c>
      <c r="G2737" s="3"/>
      <c r="H2737" s="7">
        <v>10.3</v>
      </c>
      <c r="I2737" s="7">
        <v>10.3</v>
      </c>
      <c r="J2737" s="7"/>
      <c r="L2737" s="3"/>
      <c r="M2737" s="3"/>
      <c r="N2737" s="3"/>
      <c r="O2737" s="3"/>
      <c r="P2737" s="3"/>
      <c r="Q2737" s="3"/>
      <c r="R2737" s="3"/>
      <c r="S2737" s="3"/>
    </row>
    <row r="2738" spans="3:19" ht="15.75" customHeight="1" x14ac:dyDescent="0.2">
      <c r="C2738" s="208">
        <v>33171</v>
      </c>
      <c r="D2738" s="3"/>
      <c r="E2738" s="1">
        <v>10</v>
      </c>
      <c r="G2738" s="3"/>
      <c r="H2738" s="7">
        <v>10.199999999999999</v>
      </c>
      <c r="I2738" s="7">
        <v>10.199999999999999</v>
      </c>
      <c r="J2738" s="7"/>
      <c r="L2738" s="3"/>
      <c r="M2738" s="3"/>
      <c r="N2738" s="3"/>
      <c r="O2738" s="3"/>
      <c r="P2738" s="3"/>
      <c r="Q2738" s="3"/>
      <c r="R2738" s="3"/>
      <c r="S2738" s="3"/>
    </row>
    <row r="2739" spans="3:19" ht="15.75" customHeight="1" x14ac:dyDescent="0.2">
      <c r="C2739" s="208">
        <v>33171</v>
      </c>
      <c r="D2739" s="3"/>
      <c r="E2739" s="1">
        <v>15</v>
      </c>
      <c r="G2739" s="3"/>
      <c r="H2739" s="7">
        <v>10.199999999999999</v>
      </c>
      <c r="I2739" s="7">
        <v>10.199999999999999</v>
      </c>
      <c r="J2739" s="7"/>
      <c r="L2739" s="3"/>
      <c r="M2739" s="3"/>
      <c r="N2739" s="3"/>
      <c r="O2739" s="3"/>
      <c r="P2739" s="3"/>
      <c r="Q2739" s="3"/>
      <c r="R2739" s="3"/>
      <c r="S2739" s="3"/>
    </row>
    <row r="2740" spans="3:19" ht="15.75" customHeight="1" x14ac:dyDescent="0.2">
      <c r="C2740" s="208">
        <v>33171</v>
      </c>
      <c r="D2740" s="3"/>
      <c r="E2740" s="1">
        <v>20</v>
      </c>
      <c r="G2740" s="3"/>
      <c r="H2740" s="7">
        <v>10.199999999999999</v>
      </c>
      <c r="I2740" s="7">
        <v>10.199999999999999</v>
      </c>
      <c r="J2740" s="7"/>
      <c r="L2740" s="3"/>
      <c r="M2740" s="3"/>
      <c r="N2740" s="3"/>
      <c r="O2740" s="3"/>
      <c r="P2740" s="3"/>
      <c r="Q2740" s="3"/>
      <c r="R2740" s="3"/>
      <c r="S2740" s="3"/>
    </row>
    <row r="2741" spans="3:19" ht="15.75" customHeight="1" x14ac:dyDescent="0.2">
      <c r="C2741" s="208">
        <v>33171</v>
      </c>
      <c r="D2741" s="3"/>
      <c r="E2741" s="1">
        <v>25</v>
      </c>
      <c r="G2741" s="3"/>
      <c r="H2741" s="7">
        <v>9.6999999999999993</v>
      </c>
      <c r="I2741" s="7">
        <v>9.6999999999999993</v>
      </c>
      <c r="J2741" s="7"/>
      <c r="L2741" s="3"/>
      <c r="M2741" s="3"/>
      <c r="N2741" s="3"/>
      <c r="O2741" s="3"/>
      <c r="P2741" s="3"/>
      <c r="Q2741" s="3"/>
      <c r="R2741" s="3"/>
      <c r="S2741" s="3"/>
    </row>
    <row r="2742" spans="3:19" ht="15.75" customHeight="1" x14ac:dyDescent="0.2">
      <c r="C2742" s="208">
        <v>33171</v>
      </c>
      <c r="D2742" s="3"/>
      <c r="E2742" s="1">
        <v>30</v>
      </c>
      <c r="G2742" s="3"/>
      <c r="H2742" s="7">
        <v>7.3</v>
      </c>
      <c r="I2742" s="17">
        <f>AVERAGE(I2735:I2741)</f>
        <v>10.185714285714287</v>
      </c>
      <c r="J2742" s="7"/>
      <c r="L2742" s="3"/>
      <c r="M2742" s="3"/>
      <c r="N2742" s="3"/>
      <c r="O2742" s="3"/>
      <c r="P2742" s="3"/>
      <c r="Q2742" s="3"/>
      <c r="R2742" s="3"/>
      <c r="S2742" s="3"/>
    </row>
    <row r="2743" spans="3:19" ht="15.75" customHeight="1" x14ac:dyDescent="0.2">
      <c r="C2743" s="208">
        <v>33171</v>
      </c>
      <c r="D2743" s="3"/>
      <c r="E2743" s="1">
        <v>35</v>
      </c>
      <c r="G2743" s="3"/>
      <c r="H2743" s="7">
        <v>6.6</v>
      </c>
      <c r="I2743" s="7"/>
      <c r="J2743" s="7"/>
      <c r="L2743" s="3"/>
      <c r="M2743" s="3"/>
      <c r="N2743" s="3"/>
      <c r="O2743" s="3"/>
      <c r="P2743" s="3"/>
      <c r="Q2743" s="3"/>
      <c r="R2743" s="3"/>
      <c r="S2743" s="3"/>
    </row>
    <row r="2744" spans="3:19" ht="15.75" customHeight="1" x14ac:dyDescent="0.2">
      <c r="C2744" s="208">
        <v>33171</v>
      </c>
      <c r="D2744" s="3"/>
      <c r="E2744" s="1">
        <v>40</v>
      </c>
      <c r="G2744" s="3"/>
      <c r="H2744" s="7">
        <v>5.9</v>
      </c>
      <c r="I2744" s="7"/>
      <c r="J2744" s="7"/>
      <c r="L2744" s="3"/>
      <c r="M2744" s="3"/>
      <c r="N2744" s="3"/>
      <c r="O2744" s="3"/>
      <c r="P2744" s="3"/>
      <c r="Q2744" s="3"/>
      <c r="R2744" s="3"/>
      <c r="S2744" s="3"/>
    </row>
    <row r="2745" spans="3:19" ht="15.75" customHeight="1" x14ac:dyDescent="0.2">
      <c r="C2745" s="208">
        <v>33171</v>
      </c>
      <c r="D2745" s="3"/>
      <c r="E2745" s="1">
        <v>45</v>
      </c>
      <c r="G2745" s="3"/>
      <c r="H2745" s="7">
        <v>5.6</v>
      </c>
      <c r="I2745" s="7"/>
      <c r="J2745" s="7"/>
      <c r="L2745" s="3"/>
      <c r="M2745" s="3"/>
      <c r="N2745" s="3"/>
      <c r="O2745" s="3"/>
      <c r="P2745" s="3"/>
      <c r="Q2745" s="3"/>
      <c r="R2745" s="3"/>
      <c r="S2745" s="3"/>
    </row>
    <row r="2746" spans="3:19" ht="15.75" customHeight="1" x14ac:dyDescent="0.2">
      <c r="C2746" s="208">
        <v>33171</v>
      </c>
      <c r="D2746" s="3"/>
      <c r="E2746" s="1">
        <v>50</v>
      </c>
      <c r="G2746" s="3"/>
      <c r="H2746" s="7">
        <v>5.6</v>
      </c>
      <c r="I2746" s="7"/>
      <c r="J2746" s="7"/>
      <c r="L2746" s="3"/>
      <c r="M2746" s="3"/>
      <c r="N2746" s="3"/>
      <c r="O2746" s="3"/>
      <c r="P2746" s="3"/>
      <c r="Q2746" s="3"/>
      <c r="R2746" s="3"/>
      <c r="S2746" s="3"/>
    </row>
    <row r="2747" spans="3:19" ht="15.75" customHeight="1" x14ac:dyDescent="0.2">
      <c r="C2747" s="208">
        <v>33171</v>
      </c>
      <c r="D2747" s="3"/>
      <c r="E2747" s="1">
        <v>55</v>
      </c>
      <c r="G2747" s="3"/>
      <c r="H2747" s="7">
        <v>5.6</v>
      </c>
      <c r="I2747" s="7"/>
      <c r="J2747" s="7"/>
      <c r="L2747" s="3"/>
      <c r="M2747" s="3"/>
      <c r="N2747" s="3"/>
      <c r="O2747" s="3"/>
      <c r="P2747" s="3"/>
      <c r="Q2747" s="3"/>
      <c r="R2747" s="3"/>
      <c r="S2747" s="3"/>
    </row>
    <row r="2748" spans="3:19" ht="15.75" customHeight="1" x14ac:dyDescent="0.2">
      <c r="C2748" s="208"/>
      <c r="D2748" s="3"/>
      <c r="E2748" s="1">
        <v>60</v>
      </c>
      <c r="G2748" s="3"/>
      <c r="H2748" s="3"/>
      <c r="I2748" s="3"/>
      <c r="L2748" s="3"/>
      <c r="M2748" s="3"/>
      <c r="N2748" s="3"/>
      <c r="O2748" s="3"/>
      <c r="P2748" s="3"/>
      <c r="Q2748" s="3"/>
      <c r="R2748" s="3"/>
      <c r="S2748" s="3"/>
    </row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992"/>
  <sheetViews>
    <sheetView workbookViewId="0">
      <pane ySplit="1" topLeftCell="A93" activePane="bottomLeft" state="frozen"/>
      <selection pane="bottomLeft" activeCell="C126" sqref="C126:D127"/>
    </sheetView>
  </sheetViews>
  <sheetFormatPr baseColWidth="10" defaultColWidth="11.1640625" defaultRowHeight="15" customHeight="1" x14ac:dyDescent="0.2"/>
  <cols>
    <col min="1" max="26" width="10.5" customWidth="1"/>
  </cols>
  <sheetData>
    <row r="1" spans="1:26" ht="33.75" customHeight="1" x14ac:dyDescent="0.2">
      <c r="A1" s="3"/>
      <c r="B1" s="3" t="s">
        <v>49</v>
      </c>
      <c r="C1" s="3" t="s">
        <v>50</v>
      </c>
      <c r="D1" s="3" t="s">
        <v>51</v>
      </c>
      <c r="E1" s="3" t="s">
        <v>52</v>
      </c>
      <c r="F1" s="2" t="s">
        <v>53</v>
      </c>
      <c r="G1" s="3" t="s">
        <v>54</v>
      </c>
      <c r="H1" s="2" t="s">
        <v>55</v>
      </c>
      <c r="I1" s="2" t="s">
        <v>307</v>
      </c>
      <c r="J1" s="2" t="s">
        <v>57</v>
      </c>
      <c r="K1" s="2" t="s">
        <v>58</v>
      </c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B2" s="1" t="s">
        <v>39</v>
      </c>
    </row>
    <row r="3" spans="1:26" ht="15.75" customHeight="1" x14ac:dyDescent="0.2">
      <c r="A3" s="4"/>
      <c r="B3" s="4" t="s">
        <v>59</v>
      </c>
    </row>
    <row r="4" spans="1:26" ht="15.75" customHeight="1" x14ac:dyDescent="0.2">
      <c r="A4" s="4" t="s">
        <v>60</v>
      </c>
      <c r="B4" s="4" t="s">
        <v>308</v>
      </c>
    </row>
    <row r="5" spans="1:26" ht="15.75" customHeight="1" x14ac:dyDescent="0.2">
      <c r="A5" s="4"/>
      <c r="B5" s="5" t="s">
        <v>62</v>
      </c>
    </row>
    <row r="6" spans="1:26" ht="15.75" customHeight="1" x14ac:dyDescent="0.2"/>
    <row r="7" spans="1:26" ht="15.75" customHeight="1" x14ac:dyDescent="0.2"/>
    <row r="8" spans="1:26" ht="15.75" customHeight="1" x14ac:dyDescent="0.2">
      <c r="C8" s="205">
        <v>42877</v>
      </c>
      <c r="D8" s="185">
        <v>0.4375</v>
      </c>
      <c r="I8">
        <v>12</v>
      </c>
      <c r="J8">
        <v>6</v>
      </c>
      <c r="K8">
        <v>8</v>
      </c>
    </row>
    <row r="9" spans="1:26" ht="15.75" customHeight="1" x14ac:dyDescent="0.2">
      <c r="C9" s="205">
        <v>42877</v>
      </c>
      <c r="D9" s="185">
        <v>0.44791666666666669</v>
      </c>
      <c r="E9">
        <v>0.1</v>
      </c>
      <c r="F9">
        <v>9.3699999999999992</v>
      </c>
      <c r="G9">
        <v>90.2</v>
      </c>
      <c r="H9">
        <v>13.2</v>
      </c>
    </row>
    <row r="10" spans="1:26" ht="15.75" customHeight="1" x14ac:dyDescent="0.2">
      <c r="C10" s="205">
        <v>42877</v>
      </c>
      <c r="D10" s="185">
        <v>0.44791666666666669</v>
      </c>
      <c r="E10">
        <v>1</v>
      </c>
      <c r="F10">
        <v>9.67</v>
      </c>
      <c r="G10">
        <v>90.7</v>
      </c>
      <c r="H10">
        <v>12.5</v>
      </c>
    </row>
    <row r="11" spans="1:26" ht="15.75" customHeight="1" x14ac:dyDescent="0.2">
      <c r="C11" s="205">
        <v>42877</v>
      </c>
      <c r="D11" s="185">
        <v>0.44791666666666669</v>
      </c>
      <c r="E11">
        <v>2</v>
      </c>
      <c r="F11">
        <v>9.86</v>
      </c>
      <c r="G11">
        <v>89.2</v>
      </c>
      <c r="H11">
        <v>11</v>
      </c>
    </row>
    <row r="12" spans="1:26" ht="15.75" customHeight="1" x14ac:dyDescent="0.2">
      <c r="C12" s="205">
        <v>42877</v>
      </c>
      <c r="D12" s="185">
        <v>0.44791666666666669</v>
      </c>
      <c r="E12">
        <v>3</v>
      </c>
      <c r="F12">
        <v>9.93</v>
      </c>
      <c r="G12">
        <v>89</v>
      </c>
      <c r="H12">
        <v>10.6</v>
      </c>
    </row>
    <row r="13" spans="1:26" ht="15.75" customHeight="1" x14ac:dyDescent="0.2">
      <c r="C13" s="205">
        <v>42877</v>
      </c>
      <c r="D13" s="185">
        <v>0.44791666666666669</v>
      </c>
      <c r="E13">
        <v>4</v>
      </c>
      <c r="F13">
        <v>10.01</v>
      </c>
      <c r="G13">
        <v>87.9</v>
      </c>
      <c r="H13">
        <v>9.6</v>
      </c>
    </row>
    <row r="14" spans="1:26" ht="15.75" customHeight="1" x14ac:dyDescent="0.2">
      <c r="C14" s="205">
        <v>42877</v>
      </c>
      <c r="D14" s="185">
        <v>0.44791666666666669</v>
      </c>
      <c r="E14">
        <v>5</v>
      </c>
      <c r="F14">
        <v>10.07</v>
      </c>
      <c r="G14">
        <v>87.3</v>
      </c>
      <c r="H14">
        <v>9.1</v>
      </c>
    </row>
    <row r="15" spans="1:26" ht="15.75" customHeight="1" x14ac:dyDescent="0.2">
      <c r="C15" s="205">
        <v>42877</v>
      </c>
      <c r="D15" s="185">
        <v>0.44791666666666669</v>
      </c>
      <c r="E15">
        <v>6</v>
      </c>
      <c r="F15">
        <v>10.07</v>
      </c>
      <c r="G15">
        <v>86.9</v>
      </c>
      <c r="H15">
        <v>8.9</v>
      </c>
    </row>
    <row r="16" spans="1:26" ht="15.75" customHeight="1" x14ac:dyDescent="0.2">
      <c r="C16" s="205">
        <v>42877</v>
      </c>
      <c r="D16" s="185">
        <v>0.44791666666666669</v>
      </c>
      <c r="E16">
        <v>7</v>
      </c>
      <c r="F16">
        <v>10.039999999999999</v>
      </c>
      <c r="G16">
        <v>86.2</v>
      </c>
      <c r="H16">
        <v>8.6999999999999993</v>
      </c>
    </row>
    <row r="17" spans="3:11" ht="15.75" customHeight="1" x14ac:dyDescent="0.2">
      <c r="C17" s="205">
        <v>42877</v>
      </c>
      <c r="D17" s="185">
        <v>0.44791666666666669</v>
      </c>
      <c r="E17">
        <v>8</v>
      </c>
      <c r="F17">
        <v>10.029999999999999</v>
      </c>
      <c r="G17">
        <v>85.7</v>
      </c>
      <c r="H17">
        <v>8.5</v>
      </c>
    </row>
    <row r="18" spans="3:11" ht="15.75" customHeight="1" x14ac:dyDescent="0.2">
      <c r="C18" s="205">
        <v>42877</v>
      </c>
      <c r="D18" s="185">
        <v>0.44791666666666669</v>
      </c>
      <c r="E18">
        <v>9</v>
      </c>
      <c r="F18">
        <v>10</v>
      </c>
      <c r="G18">
        <v>85</v>
      </c>
      <c r="H18">
        <v>8.3000000000000007</v>
      </c>
    </row>
    <row r="19" spans="3:11" ht="15.75" customHeight="1" x14ac:dyDescent="0.2">
      <c r="C19" s="205">
        <v>42877</v>
      </c>
      <c r="D19" s="185">
        <v>0.44791666666666669</v>
      </c>
      <c r="E19">
        <v>10</v>
      </c>
      <c r="F19">
        <v>9.98</v>
      </c>
      <c r="G19">
        <v>84.4</v>
      </c>
      <c r="H19">
        <v>8.1</v>
      </c>
    </row>
    <row r="20" spans="3:11" ht="15.75" customHeight="1" x14ac:dyDescent="0.2">
      <c r="C20" s="205">
        <v>42877</v>
      </c>
      <c r="D20" s="185">
        <v>0.44791666666666669</v>
      </c>
      <c r="E20">
        <v>11</v>
      </c>
      <c r="F20">
        <v>9.94</v>
      </c>
      <c r="G20">
        <v>83.7</v>
      </c>
      <c r="H20">
        <v>8</v>
      </c>
    </row>
    <row r="21" spans="3:11" ht="15.75" customHeight="1" x14ac:dyDescent="0.2"/>
    <row r="22" spans="3:11" ht="15.75" customHeight="1" x14ac:dyDescent="0.2">
      <c r="C22" s="205">
        <v>42905</v>
      </c>
      <c r="D22" s="185">
        <v>0.42708333333333331</v>
      </c>
      <c r="I22">
        <v>14</v>
      </c>
      <c r="J22">
        <v>7</v>
      </c>
      <c r="K22">
        <v>10</v>
      </c>
    </row>
    <row r="23" spans="3:11" ht="15.75" customHeight="1" x14ac:dyDescent="0.2">
      <c r="C23" s="205">
        <v>42905</v>
      </c>
      <c r="D23" s="185">
        <v>0.4375</v>
      </c>
      <c r="E23">
        <v>0.1</v>
      </c>
      <c r="F23">
        <v>8.75</v>
      </c>
      <c r="G23">
        <v>88.4</v>
      </c>
      <c r="H23">
        <v>15.9</v>
      </c>
    </row>
    <row r="24" spans="3:11" ht="15.75" customHeight="1" x14ac:dyDescent="0.2">
      <c r="C24" s="205">
        <v>42905</v>
      </c>
      <c r="D24" s="185">
        <v>0.4375</v>
      </c>
      <c r="E24">
        <v>1</v>
      </c>
      <c r="F24">
        <v>8.8000000000000007</v>
      </c>
      <c r="G24">
        <v>88.4</v>
      </c>
      <c r="H24">
        <v>15.7</v>
      </c>
    </row>
    <row r="25" spans="3:11" ht="15.75" customHeight="1" x14ac:dyDescent="0.2">
      <c r="C25" s="205">
        <v>42905</v>
      </c>
      <c r="D25" s="185">
        <v>0.4375</v>
      </c>
      <c r="E25">
        <v>2</v>
      </c>
      <c r="F25">
        <v>8.7899999999999991</v>
      </c>
      <c r="G25">
        <v>88.1</v>
      </c>
      <c r="H25">
        <v>15.5</v>
      </c>
    </row>
    <row r="26" spans="3:11" ht="15.75" customHeight="1" x14ac:dyDescent="0.2">
      <c r="C26" s="205">
        <v>42905</v>
      </c>
      <c r="D26" s="185">
        <v>0.4375</v>
      </c>
      <c r="E26">
        <v>3</v>
      </c>
      <c r="F26">
        <v>8.7799999999999994</v>
      </c>
      <c r="G26">
        <v>87.6</v>
      </c>
      <c r="H26">
        <v>15.3</v>
      </c>
    </row>
    <row r="27" spans="3:11" ht="15.75" customHeight="1" x14ac:dyDescent="0.2">
      <c r="C27" s="205">
        <v>42905</v>
      </c>
      <c r="D27" s="185">
        <v>0.4375</v>
      </c>
      <c r="E27">
        <v>4</v>
      </c>
      <c r="F27">
        <v>8.74</v>
      </c>
      <c r="G27">
        <v>86.8</v>
      </c>
      <c r="H27">
        <v>15.2</v>
      </c>
    </row>
    <row r="28" spans="3:11" ht="15.75" customHeight="1" x14ac:dyDescent="0.2">
      <c r="C28" s="205">
        <v>42905</v>
      </c>
      <c r="D28" s="185">
        <v>0.4375</v>
      </c>
      <c r="E28">
        <v>5</v>
      </c>
      <c r="F28">
        <v>8.7200000000000006</v>
      </c>
      <c r="G28">
        <v>86.4</v>
      </c>
      <c r="H28">
        <v>15</v>
      </c>
    </row>
    <row r="29" spans="3:11" ht="15.75" customHeight="1" x14ac:dyDescent="0.2">
      <c r="C29" s="205">
        <v>42905</v>
      </c>
      <c r="D29" s="185">
        <v>0.4375</v>
      </c>
      <c r="E29">
        <v>6</v>
      </c>
      <c r="F29">
        <v>8.75</v>
      </c>
      <c r="G29">
        <v>86.2</v>
      </c>
      <c r="H29">
        <v>14.7</v>
      </c>
    </row>
    <row r="30" spans="3:11" ht="15.75" customHeight="1" x14ac:dyDescent="0.2">
      <c r="C30" s="205">
        <v>42905</v>
      </c>
      <c r="D30" s="185">
        <v>0.4375</v>
      </c>
      <c r="E30">
        <v>7</v>
      </c>
      <c r="F30">
        <v>8.74</v>
      </c>
      <c r="G30">
        <v>85.5</v>
      </c>
      <c r="H30">
        <v>14.6</v>
      </c>
    </row>
    <row r="31" spans="3:11" ht="15.75" customHeight="1" x14ac:dyDescent="0.2">
      <c r="C31" s="205">
        <v>42905</v>
      </c>
      <c r="D31" s="185">
        <v>0.4375</v>
      </c>
      <c r="E31">
        <v>8</v>
      </c>
      <c r="F31">
        <v>8.7100000000000009</v>
      </c>
      <c r="G31">
        <v>84.8</v>
      </c>
      <c r="H31">
        <v>14.3</v>
      </c>
    </row>
    <row r="32" spans="3:11" ht="15.75" customHeight="1" x14ac:dyDescent="0.2">
      <c r="C32" s="205">
        <v>42905</v>
      </c>
      <c r="D32" s="185">
        <v>0.4375</v>
      </c>
      <c r="E32">
        <v>9</v>
      </c>
      <c r="F32">
        <v>8.66</v>
      </c>
      <c r="G32">
        <v>83.5</v>
      </c>
      <c r="H32">
        <v>13.8</v>
      </c>
    </row>
    <row r="33" spans="3:11" ht="15.75" customHeight="1" x14ac:dyDescent="0.2">
      <c r="C33" s="205">
        <v>42905</v>
      </c>
      <c r="D33" s="185">
        <v>0.4375</v>
      </c>
      <c r="E33">
        <v>10</v>
      </c>
      <c r="F33">
        <v>8.67</v>
      </c>
      <c r="G33">
        <v>78.2</v>
      </c>
      <c r="H33">
        <v>11</v>
      </c>
    </row>
    <row r="34" spans="3:11" ht="15.75" customHeight="1" x14ac:dyDescent="0.2">
      <c r="C34" s="205">
        <v>42905</v>
      </c>
      <c r="D34" s="185">
        <v>0.4375</v>
      </c>
      <c r="E34">
        <v>11</v>
      </c>
      <c r="F34">
        <v>8.7899999999999991</v>
      </c>
      <c r="G34">
        <v>75.599999999999994</v>
      </c>
      <c r="H34">
        <v>8.9</v>
      </c>
    </row>
    <row r="35" spans="3:11" ht="15.75" customHeight="1" x14ac:dyDescent="0.2"/>
    <row r="36" spans="3:11" ht="15.75" customHeight="1" x14ac:dyDescent="0.2">
      <c r="C36" s="205">
        <v>42933</v>
      </c>
      <c r="D36" s="185">
        <v>0.43402777777777773</v>
      </c>
      <c r="I36">
        <v>17</v>
      </c>
      <c r="J36">
        <v>8.5</v>
      </c>
      <c r="K36">
        <v>11</v>
      </c>
    </row>
    <row r="37" spans="3:11" ht="15.75" customHeight="1" x14ac:dyDescent="0.2">
      <c r="C37" s="205">
        <v>42933</v>
      </c>
      <c r="D37" s="185">
        <v>0.4375</v>
      </c>
      <c r="E37">
        <v>0.1</v>
      </c>
      <c r="F37">
        <v>7.39</v>
      </c>
      <c r="G37">
        <v>85.8</v>
      </c>
      <c r="H37">
        <v>22.8</v>
      </c>
    </row>
    <row r="38" spans="3:11" ht="15.75" customHeight="1" x14ac:dyDescent="0.2">
      <c r="C38" s="205">
        <v>42933</v>
      </c>
      <c r="D38" s="185">
        <v>0.4375</v>
      </c>
      <c r="E38">
        <v>1</v>
      </c>
      <c r="F38">
        <v>7.38</v>
      </c>
      <c r="G38">
        <v>85.7</v>
      </c>
      <c r="H38">
        <v>22.8</v>
      </c>
    </row>
    <row r="39" spans="3:11" ht="15.75" customHeight="1" x14ac:dyDescent="0.2">
      <c r="C39" s="205">
        <v>42933</v>
      </c>
      <c r="D39" s="185">
        <v>0.4375</v>
      </c>
      <c r="E39">
        <v>2</v>
      </c>
      <c r="F39">
        <v>7.37</v>
      </c>
      <c r="G39">
        <v>85.4</v>
      </c>
      <c r="H39">
        <v>22.7</v>
      </c>
    </row>
    <row r="40" spans="3:11" ht="15.75" customHeight="1" x14ac:dyDescent="0.2">
      <c r="C40" s="205">
        <v>42933</v>
      </c>
      <c r="D40" s="185">
        <v>0.4375</v>
      </c>
      <c r="E40">
        <v>3</v>
      </c>
      <c r="F40">
        <v>7.37</v>
      </c>
      <c r="G40">
        <v>85.3</v>
      </c>
      <c r="H40">
        <v>22.6</v>
      </c>
    </row>
    <row r="41" spans="3:11" ht="15.75" customHeight="1" x14ac:dyDescent="0.2">
      <c r="C41" s="205">
        <v>42933</v>
      </c>
      <c r="D41" s="185">
        <v>0.4375</v>
      </c>
      <c r="E41">
        <v>4</v>
      </c>
      <c r="F41">
        <v>7.35</v>
      </c>
      <c r="G41">
        <v>85.1</v>
      </c>
      <c r="H41">
        <v>22.6</v>
      </c>
    </row>
    <row r="42" spans="3:11" ht="15.75" customHeight="1" x14ac:dyDescent="0.2">
      <c r="C42" s="205">
        <v>42933</v>
      </c>
      <c r="D42" s="185">
        <v>0.4375</v>
      </c>
      <c r="E42">
        <v>5</v>
      </c>
      <c r="F42">
        <v>7.34</v>
      </c>
      <c r="G42">
        <v>84.9</v>
      </c>
      <c r="H42">
        <v>22.6</v>
      </c>
    </row>
    <row r="43" spans="3:11" ht="15.75" customHeight="1" x14ac:dyDescent="0.2">
      <c r="C43" s="205">
        <v>42933</v>
      </c>
      <c r="D43" s="185">
        <v>0.4375</v>
      </c>
      <c r="E43">
        <v>6</v>
      </c>
      <c r="F43">
        <v>7.56</v>
      </c>
      <c r="G43">
        <v>86</v>
      </c>
      <c r="H43">
        <v>21.7</v>
      </c>
    </row>
    <row r="44" spans="3:11" ht="15.75" customHeight="1" x14ac:dyDescent="0.2">
      <c r="C44" s="205">
        <v>42933</v>
      </c>
      <c r="D44" s="185">
        <v>0.4375</v>
      </c>
      <c r="E44">
        <v>7</v>
      </c>
      <c r="F44">
        <v>7.63</v>
      </c>
      <c r="G44">
        <v>86.3</v>
      </c>
      <c r="H44">
        <v>21.4</v>
      </c>
    </row>
    <row r="45" spans="3:11" ht="15.75" customHeight="1" x14ac:dyDescent="0.2">
      <c r="C45" s="205">
        <v>42933</v>
      </c>
      <c r="D45" s="185">
        <v>0.4375</v>
      </c>
      <c r="E45">
        <v>8</v>
      </c>
      <c r="F45">
        <v>7.68</v>
      </c>
      <c r="G45">
        <v>86.4</v>
      </c>
      <c r="H45">
        <v>21.1</v>
      </c>
    </row>
    <row r="46" spans="3:11" ht="15.75" customHeight="1" x14ac:dyDescent="0.2">
      <c r="C46" s="205">
        <v>42933</v>
      </c>
      <c r="D46" s="185">
        <v>0.4375</v>
      </c>
      <c r="E46">
        <v>9</v>
      </c>
      <c r="F46">
        <v>7.83</v>
      </c>
      <c r="G46">
        <v>87.1</v>
      </c>
      <c r="H46">
        <v>20.5</v>
      </c>
    </row>
    <row r="47" spans="3:11" ht="15.75" customHeight="1" x14ac:dyDescent="0.2">
      <c r="C47" s="205">
        <v>42933</v>
      </c>
      <c r="D47" s="185">
        <v>0.4375</v>
      </c>
      <c r="E47">
        <v>10</v>
      </c>
      <c r="F47">
        <v>8.09</v>
      </c>
      <c r="G47">
        <v>87.3</v>
      </c>
      <c r="H47">
        <v>19</v>
      </c>
    </row>
    <row r="48" spans="3:11" ht="15.75" customHeight="1" x14ac:dyDescent="0.2">
      <c r="C48" s="205">
        <v>42933</v>
      </c>
      <c r="D48" s="185">
        <v>0.4375</v>
      </c>
      <c r="E48">
        <v>11</v>
      </c>
      <c r="F48">
        <v>8.6999999999999993</v>
      </c>
      <c r="G48">
        <v>85.4</v>
      </c>
      <c r="H48">
        <v>14.7</v>
      </c>
    </row>
    <row r="49" spans="3:11" ht="15.75" customHeight="1" x14ac:dyDescent="0.2"/>
    <row r="50" spans="3:11" ht="15.75" customHeight="1" x14ac:dyDescent="0.2">
      <c r="C50" s="205">
        <v>42968</v>
      </c>
      <c r="D50" s="185">
        <v>0.44444444444444442</v>
      </c>
      <c r="I50">
        <v>24</v>
      </c>
      <c r="J50">
        <v>12</v>
      </c>
      <c r="K50">
        <v>13.5</v>
      </c>
    </row>
    <row r="51" spans="3:11" ht="15.75" customHeight="1" x14ac:dyDescent="0.2">
      <c r="C51" s="205">
        <v>42968</v>
      </c>
      <c r="D51" s="185">
        <v>0.4513888888888889</v>
      </c>
      <c r="E51">
        <v>0.1</v>
      </c>
      <c r="F51">
        <v>7.42</v>
      </c>
      <c r="G51">
        <v>84.7</v>
      </c>
      <c r="H51">
        <v>21.9</v>
      </c>
    </row>
    <row r="52" spans="3:11" ht="15.75" customHeight="1" x14ac:dyDescent="0.2">
      <c r="C52" s="205">
        <v>42968</v>
      </c>
      <c r="D52" s="185">
        <v>0.4513888888888889</v>
      </c>
      <c r="E52">
        <v>1</v>
      </c>
      <c r="F52">
        <v>7.38</v>
      </c>
      <c r="G52">
        <v>84.5</v>
      </c>
      <c r="H52">
        <v>22</v>
      </c>
    </row>
    <row r="53" spans="3:11" ht="15.75" customHeight="1" x14ac:dyDescent="0.2">
      <c r="C53" s="205">
        <v>42968</v>
      </c>
      <c r="D53" s="185">
        <v>0.4513888888888889</v>
      </c>
      <c r="E53">
        <v>2</v>
      </c>
      <c r="F53">
        <v>7.37</v>
      </c>
      <c r="G53">
        <v>84.3</v>
      </c>
      <c r="H53">
        <v>22</v>
      </c>
    </row>
    <row r="54" spans="3:11" ht="15.75" customHeight="1" x14ac:dyDescent="0.2">
      <c r="C54" s="205">
        <v>42968</v>
      </c>
      <c r="D54" s="185">
        <v>0.4513888888888889</v>
      </c>
      <c r="E54">
        <v>3</v>
      </c>
      <c r="F54">
        <v>7.36</v>
      </c>
      <c r="G54">
        <v>84.1</v>
      </c>
      <c r="H54">
        <v>22</v>
      </c>
    </row>
    <row r="55" spans="3:11" ht="15.75" customHeight="1" x14ac:dyDescent="0.2">
      <c r="C55" s="205">
        <v>42968</v>
      </c>
      <c r="D55" s="185">
        <v>0.4513888888888889</v>
      </c>
      <c r="E55">
        <v>4</v>
      </c>
      <c r="F55">
        <v>7.34</v>
      </c>
      <c r="G55">
        <v>84</v>
      </c>
      <c r="H55">
        <v>22</v>
      </c>
    </row>
    <row r="56" spans="3:11" ht="15.75" customHeight="1" x14ac:dyDescent="0.2">
      <c r="C56" s="205">
        <v>42968</v>
      </c>
      <c r="D56" s="185">
        <v>0.4513888888888889</v>
      </c>
      <c r="E56">
        <v>5</v>
      </c>
      <c r="F56">
        <v>7.33</v>
      </c>
      <c r="G56">
        <v>83.8</v>
      </c>
      <c r="H56">
        <v>22</v>
      </c>
    </row>
    <row r="57" spans="3:11" ht="15.75" customHeight="1" x14ac:dyDescent="0.2">
      <c r="C57" s="205">
        <v>42968</v>
      </c>
      <c r="D57" s="185">
        <v>0.4513888888888889</v>
      </c>
      <c r="E57">
        <v>6</v>
      </c>
      <c r="F57">
        <v>7.33</v>
      </c>
      <c r="G57">
        <v>83.6</v>
      </c>
      <c r="H57">
        <v>21.9</v>
      </c>
    </row>
    <row r="58" spans="3:11" ht="15.75" customHeight="1" x14ac:dyDescent="0.2">
      <c r="C58" s="205">
        <v>42968</v>
      </c>
      <c r="D58" s="185">
        <v>0.4513888888888889</v>
      </c>
      <c r="E58">
        <v>7</v>
      </c>
      <c r="F58">
        <v>7.31</v>
      </c>
      <c r="G58">
        <v>83.5</v>
      </c>
      <c r="H58">
        <v>21.9</v>
      </c>
    </row>
    <row r="59" spans="3:11" ht="15.75" customHeight="1" x14ac:dyDescent="0.2">
      <c r="C59" s="205">
        <v>42968</v>
      </c>
      <c r="D59" s="185">
        <v>0.4513888888888889</v>
      </c>
      <c r="E59">
        <v>8</v>
      </c>
      <c r="F59">
        <v>7.32</v>
      </c>
      <c r="G59">
        <v>83.4</v>
      </c>
      <c r="H59">
        <v>21.8</v>
      </c>
    </row>
    <row r="60" spans="3:11" ht="15.75" customHeight="1" x14ac:dyDescent="0.2">
      <c r="C60" s="205">
        <v>42968</v>
      </c>
      <c r="D60" s="185">
        <v>0.4513888888888889</v>
      </c>
      <c r="E60">
        <v>9</v>
      </c>
      <c r="F60">
        <v>7.33</v>
      </c>
      <c r="G60">
        <v>83.3</v>
      </c>
      <c r="H60">
        <v>21.7</v>
      </c>
    </row>
    <row r="61" spans="3:11" ht="15.75" customHeight="1" x14ac:dyDescent="0.2">
      <c r="C61" s="205">
        <v>42968</v>
      </c>
      <c r="D61" s="185">
        <v>0.4513888888888889</v>
      </c>
      <c r="E61">
        <v>10</v>
      </c>
      <c r="F61">
        <v>7.89</v>
      </c>
      <c r="G61">
        <v>86.2</v>
      </c>
      <c r="H61">
        <v>19.600000000000001</v>
      </c>
    </row>
    <row r="62" spans="3:11" ht="15.75" customHeight="1" x14ac:dyDescent="0.2">
      <c r="C62" s="205">
        <v>42968</v>
      </c>
      <c r="D62" s="185">
        <v>0.4513888888888889</v>
      </c>
      <c r="E62">
        <v>11</v>
      </c>
      <c r="F62">
        <v>8.8000000000000007</v>
      </c>
      <c r="G62">
        <v>89.2</v>
      </c>
      <c r="H62">
        <v>16</v>
      </c>
    </row>
    <row r="63" spans="3:11" ht="15.75" customHeight="1" x14ac:dyDescent="0.2"/>
    <row r="64" spans="3:11" ht="15.75" customHeight="1" x14ac:dyDescent="0.2">
      <c r="C64" s="205">
        <v>43003</v>
      </c>
      <c r="D64" s="185">
        <v>0.45833333333333331</v>
      </c>
      <c r="I64">
        <v>24</v>
      </c>
      <c r="J64">
        <v>12</v>
      </c>
      <c r="K64">
        <v>13</v>
      </c>
    </row>
    <row r="65" spans="3:11" ht="15.75" customHeight="1" x14ac:dyDescent="0.2">
      <c r="C65" s="205">
        <v>43003</v>
      </c>
      <c r="D65" s="185">
        <v>0.46527777777777773</v>
      </c>
      <c r="E65">
        <v>0.1</v>
      </c>
      <c r="F65">
        <v>8.2100000000000009</v>
      </c>
      <c r="G65">
        <v>83.6</v>
      </c>
      <c r="H65">
        <v>16.2</v>
      </c>
    </row>
    <row r="66" spans="3:11" ht="15.75" customHeight="1" x14ac:dyDescent="0.2">
      <c r="C66" s="205">
        <v>43003</v>
      </c>
      <c r="D66" s="185">
        <v>0.46527777777777773</v>
      </c>
      <c r="E66">
        <v>1</v>
      </c>
      <c r="F66">
        <v>8.15</v>
      </c>
      <c r="G66">
        <v>83.2</v>
      </c>
      <c r="H66">
        <v>16.399999999999999</v>
      </c>
    </row>
    <row r="67" spans="3:11" ht="15.75" customHeight="1" x14ac:dyDescent="0.2">
      <c r="C67" s="205">
        <v>43003</v>
      </c>
      <c r="D67" s="185">
        <v>0.46527777777777773</v>
      </c>
      <c r="E67">
        <v>2</v>
      </c>
      <c r="F67">
        <v>8.1199999999999992</v>
      </c>
      <c r="G67">
        <v>83</v>
      </c>
      <c r="H67">
        <v>16.399999999999999</v>
      </c>
    </row>
    <row r="68" spans="3:11" ht="15.75" customHeight="1" x14ac:dyDescent="0.2">
      <c r="C68" s="205">
        <v>43003</v>
      </c>
      <c r="D68" s="185">
        <v>0.46527777777777773</v>
      </c>
      <c r="E68">
        <v>3</v>
      </c>
      <c r="F68">
        <v>8.1</v>
      </c>
      <c r="G68">
        <v>82.7</v>
      </c>
      <c r="H68">
        <v>16.399999999999999</v>
      </c>
    </row>
    <row r="69" spans="3:11" ht="15.75" customHeight="1" x14ac:dyDescent="0.2">
      <c r="C69" s="205">
        <v>43003</v>
      </c>
      <c r="D69" s="185">
        <v>0.46527777777777773</v>
      </c>
      <c r="E69">
        <v>4</v>
      </c>
      <c r="F69">
        <v>8.09</v>
      </c>
      <c r="G69">
        <v>82.6</v>
      </c>
      <c r="H69">
        <v>16.399999999999999</v>
      </c>
    </row>
    <row r="70" spans="3:11" ht="15.75" customHeight="1" x14ac:dyDescent="0.2">
      <c r="C70" s="205">
        <v>43003</v>
      </c>
      <c r="D70" s="185">
        <v>0.46527777777777773</v>
      </c>
      <c r="E70">
        <v>5</v>
      </c>
      <c r="F70">
        <v>8.07</v>
      </c>
      <c r="G70">
        <v>82.4</v>
      </c>
      <c r="H70">
        <v>16.399999999999999</v>
      </c>
    </row>
    <row r="71" spans="3:11" ht="15.75" customHeight="1" x14ac:dyDescent="0.2">
      <c r="C71" s="205">
        <v>43003</v>
      </c>
      <c r="D71" s="185">
        <v>0.46527777777777773</v>
      </c>
      <c r="E71">
        <v>6</v>
      </c>
      <c r="F71">
        <v>8.0500000000000007</v>
      </c>
      <c r="G71">
        <v>82.2</v>
      </c>
      <c r="H71">
        <v>16.399999999999999</v>
      </c>
    </row>
    <row r="72" spans="3:11" ht="15.75" customHeight="1" x14ac:dyDescent="0.2">
      <c r="C72" s="205">
        <v>43003</v>
      </c>
      <c r="D72" s="185">
        <v>0.46527777777777773</v>
      </c>
      <c r="E72">
        <v>7</v>
      </c>
      <c r="F72">
        <v>8.0299999999999994</v>
      </c>
      <c r="G72">
        <v>82</v>
      </c>
      <c r="H72">
        <v>16.399999999999999</v>
      </c>
    </row>
    <row r="73" spans="3:11" ht="15.75" customHeight="1" x14ac:dyDescent="0.2">
      <c r="C73" s="205">
        <v>43003</v>
      </c>
      <c r="D73" s="185">
        <v>0.46527777777777773</v>
      </c>
      <c r="E73">
        <v>8</v>
      </c>
      <c r="F73">
        <v>8.01</v>
      </c>
      <c r="G73">
        <v>81.900000000000006</v>
      </c>
      <c r="H73">
        <v>16.399999999999999</v>
      </c>
    </row>
    <row r="74" spans="3:11" ht="15.75" customHeight="1" x14ac:dyDescent="0.2">
      <c r="C74" s="205">
        <v>43003</v>
      </c>
      <c r="D74" s="185">
        <v>0.46527777777777773</v>
      </c>
      <c r="E74">
        <v>9</v>
      </c>
      <c r="F74">
        <v>8</v>
      </c>
      <c r="G74">
        <v>81.7</v>
      </c>
      <c r="H74">
        <v>16.399999999999999</v>
      </c>
    </row>
    <row r="75" spans="3:11" ht="15.75" customHeight="1" x14ac:dyDescent="0.2">
      <c r="C75" s="205">
        <v>43003</v>
      </c>
      <c r="D75" s="185">
        <v>0.46527777777777773</v>
      </c>
      <c r="E75">
        <v>10</v>
      </c>
      <c r="F75">
        <v>7.98</v>
      </c>
      <c r="G75">
        <v>81.5</v>
      </c>
      <c r="H75">
        <v>16.399999999999999</v>
      </c>
    </row>
    <row r="76" spans="3:11" ht="15.75" customHeight="1" x14ac:dyDescent="0.2">
      <c r="C76" s="205">
        <v>43003</v>
      </c>
      <c r="D76" s="185">
        <v>0.46527777777777773</v>
      </c>
      <c r="E76">
        <v>11</v>
      </c>
      <c r="F76">
        <v>7.98</v>
      </c>
      <c r="G76">
        <v>81.599999999999994</v>
      </c>
      <c r="H76">
        <v>16.399999999999999</v>
      </c>
    </row>
    <row r="77" spans="3:11" ht="15.75" customHeight="1" x14ac:dyDescent="0.2"/>
    <row r="78" spans="3:11" ht="15.75" customHeight="1" x14ac:dyDescent="0.2">
      <c r="C78" s="205">
        <v>43024</v>
      </c>
      <c r="D78" s="185">
        <v>0.45833333333333331</v>
      </c>
      <c r="I78">
        <v>17</v>
      </c>
      <c r="J78">
        <v>8.5</v>
      </c>
      <c r="K78">
        <v>12</v>
      </c>
    </row>
    <row r="79" spans="3:11" ht="15.75" customHeight="1" x14ac:dyDescent="0.2">
      <c r="C79" s="205">
        <v>43024</v>
      </c>
      <c r="D79" s="185">
        <v>0.45833333333333331</v>
      </c>
      <c r="E79">
        <v>0.1</v>
      </c>
      <c r="F79">
        <v>8.74</v>
      </c>
      <c r="G79">
        <v>81.900000000000006</v>
      </c>
      <c r="H79">
        <v>12.5</v>
      </c>
    </row>
    <row r="80" spans="3:11" ht="15.75" customHeight="1" x14ac:dyDescent="0.2">
      <c r="C80" s="205">
        <v>43024</v>
      </c>
      <c r="D80" s="185">
        <v>0.45833333333333331</v>
      </c>
      <c r="E80">
        <v>1</v>
      </c>
      <c r="F80">
        <v>8.66</v>
      </c>
      <c r="G80">
        <v>81.5</v>
      </c>
      <c r="H80">
        <v>12.6</v>
      </c>
    </row>
    <row r="81" spans="2:11" ht="15.75" customHeight="1" x14ac:dyDescent="0.2">
      <c r="C81" s="205">
        <v>43024</v>
      </c>
      <c r="D81" s="185">
        <v>0.45833333333333331</v>
      </c>
      <c r="E81">
        <v>2</v>
      </c>
      <c r="F81">
        <v>8.6300000000000008</v>
      </c>
      <c r="G81">
        <v>81.2</v>
      </c>
      <c r="H81">
        <v>12.6</v>
      </c>
    </row>
    <row r="82" spans="2:11" ht="15.75" customHeight="1" x14ac:dyDescent="0.2">
      <c r="C82" s="205">
        <v>43024</v>
      </c>
      <c r="D82" s="185">
        <v>0.45833333333333331</v>
      </c>
      <c r="E82">
        <v>3</v>
      </c>
      <c r="F82">
        <v>8.61</v>
      </c>
      <c r="G82">
        <v>81</v>
      </c>
      <c r="H82">
        <v>12.6</v>
      </c>
    </row>
    <row r="83" spans="2:11" ht="15.75" customHeight="1" x14ac:dyDescent="0.2">
      <c r="C83" s="205">
        <v>43024</v>
      </c>
      <c r="D83" s="185">
        <v>0.45833333333333331</v>
      </c>
      <c r="E83">
        <v>4</v>
      </c>
      <c r="F83">
        <v>8.59</v>
      </c>
      <c r="G83">
        <v>80.8</v>
      </c>
      <c r="H83">
        <v>12.6</v>
      </c>
    </row>
    <row r="84" spans="2:11" ht="15.75" customHeight="1" x14ac:dyDescent="0.2">
      <c r="C84" s="205">
        <v>43024</v>
      </c>
      <c r="D84" s="185">
        <v>0.45833333333333331</v>
      </c>
      <c r="E84">
        <v>5</v>
      </c>
      <c r="F84">
        <v>8.57</v>
      </c>
      <c r="G84">
        <v>80.599999999999994</v>
      </c>
      <c r="H84">
        <v>12.6</v>
      </c>
    </row>
    <row r="85" spans="2:11" ht="15.75" customHeight="1" x14ac:dyDescent="0.2">
      <c r="C85" s="205">
        <v>43024</v>
      </c>
      <c r="D85" s="185">
        <v>0.45833333333333331</v>
      </c>
      <c r="E85">
        <v>6</v>
      </c>
      <c r="F85">
        <v>8.5500000000000007</v>
      </c>
      <c r="G85">
        <v>80.400000000000006</v>
      </c>
      <c r="H85">
        <v>12.6</v>
      </c>
    </row>
    <row r="86" spans="2:11" ht="15.75" customHeight="1" x14ac:dyDescent="0.2">
      <c r="C86" s="205">
        <v>43024</v>
      </c>
      <c r="D86" s="185">
        <v>0.45833333333333331</v>
      </c>
      <c r="E86">
        <v>7</v>
      </c>
      <c r="F86">
        <v>8.5299999999999994</v>
      </c>
      <c r="G86">
        <v>80.2</v>
      </c>
      <c r="H86">
        <v>12.6</v>
      </c>
    </row>
    <row r="87" spans="2:11" ht="15.75" customHeight="1" x14ac:dyDescent="0.2">
      <c r="C87" s="205">
        <v>43024</v>
      </c>
      <c r="D87" s="185">
        <v>0.45833333333333331</v>
      </c>
      <c r="E87">
        <v>8</v>
      </c>
      <c r="F87">
        <v>8.52</v>
      </c>
      <c r="G87">
        <v>80.099999999999994</v>
      </c>
      <c r="H87">
        <v>12.6</v>
      </c>
    </row>
    <row r="88" spans="2:11" ht="15.75" customHeight="1" x14ac:dyDescent="0.2">
      <c r="C88" s="205">
        <v>43024</v>
      </c>
      <c r="D88" s="185">
        <v>0.45833333333333331</v>
      </c>
      <c r="E88">
        <v>9</v>
      </c>
      <c r="F88">
        <v>8.5</v>
      </c>
      <c r="G88">
        <v>79.900000000000006</v>
      </c>
      <c r="H88">
        <v>12.6</v>
      </c>
    </row>
    <row r="89" spans="2:11" ht="15.75" customHeight="1" x14ac:dyDescent="0.2">
      <c r="C89" s="205">
        <v>43024</v>
      </c>
      <c r="D89" s="185">
        <v>0.45833333333333331</v>
      </c>
      <c r="E89">
        <v>10</v>
      </c>
      <c r="F89">
        <v>8.5</v>
      </c>
      <c r="G89">
        <v>79.8</v>
      </c>
      <c r="H89">
        <v>12.5</v>
      </c>
    </row>
    <row r="90" spans="2:11" ht="15.75" customHeight="1" x14ac:dyDescent="0.2">
      <c r="C90" s="205">
        <v>43024</v>
      </c>
      <c r="D90" s="185">
        <v>0.45833333333333331</v>
      </c>
      <c r="E90">
        <v>11</v>
      </c>
      <c r="F90">
        <v>8.48</v>
      </c>
      <c r="G90">
        <v>79.599999999999994</v>
      </c>
      <c r="H90">
        <v>12.5</v>
      </c>
    </row>
    <row r="91" spans="2:11" ht="15.75" customHeight="1" x14ac:dyDescent="0.2"/>
    <row r="92" spans="2:11" ht="15.75" customHeight="1" x14ac:dyDescent="0.2"/>
    <row r="93" spans="2:11" ht="15.75" customHeight="1" x14ac:dyDescent="0.2">
      <c r="B93">
        <v>1</v>
      </c>
      <c r="C93" s="205">
        <v>34841</v>
      </c>
      <c r="D93" s="185">
        <v>0.69444444444444442</v>
      </c>
      <c r="J93" s="252" t="s">
        <v>257</v>
      </c>
    </row>
    <row r="94" spans="2:11" ht="15.75" customHeight="1" x14ac:dyDescent="0.2">
      <c r="C94" s="205">
        <v>34841</v>
      </c>
      <c r="D94" s="185">
        <v>0.69444444444444442</v>
      </c>
      <c r="E94">
        <v>1</v>
      </c>
      <c r="F94">
        <v>12</v>
      </c>
      <c r="H94">
        <v>13.4</v>
      </c>
    </row>
    <row r="95" spans="2:11" ht="15.75" customHeight="1" x14ac:dyDescent="0.2"/>
    <row r="96" spans="2:11" ht="15.75" customHeight="1" x14ac:dyDescent="0.2">
      <c r="B96">
        <v>10.4</v>
      </c>
      <c r="C96" s="205">
        <v>34254</v>
      </c>
      <c r="D96" s="185">
        <v>0.51736111111111116</v>
      </c>
      <c r="J96">
        <v>10.4</v>
      </c>
      <c r="K96" s="252" t="s">
        <v>601</v>
      </c>
    </row>
    <row r="97" spans="2:10" ht="15.75" customHeight="1" x14ac:dyDescent="0.2">
      <c r="C97" s="205">
        <v>34254</v>
      </c>
      <c r="D97" s="185">
        <v>0.51736111111111116</v>
      </c>
      <c r="E97">
        <v>1</v>
      </c>
      <c r="F97">
        <v>9.4499999999999993</v>
      </c>
      <c r="H97">
        <v>14.76</v>
      </c>
    </row>
    <row r="98" spans="2:10" ht="15.75" customHeight="1" x14ac:dyDescent="0.2">
      <c r="C98" s="205">
        <v>34254</v>
      </c>
      <c r="D98" s="185">
        <v>0.51736111111111116</v>
      </c>
      <c r="E98">
        <v>10</v>
      </c>
      <c r="F98">
        <v>9.06</v>
      </c>
      <c r="H98">
        <v>14.7</v>
      </c>
    </row>
    <row r="99" spans="2:10" ht="15.75" customHeight="1" x14ac:dyDescent="0.2"/>
    <row r="100" spans="2:10" ht="15.75" customHeight="1" x14ac:dyDescent="0.2">
      <c r="B100">
        <v>10.5</v>
      </c>
      <c r="C100" s="205">
        <v>33861</v>
      </c>
      <c r="D100" s="185">
        <v>0.63194444444444442</v>
      </c>
      <c r="J100">
        <v>9.5</v>
      </c>
    </row>
    <row r="101" spans="2:10" ht="15.75" customHeight="1" x14ac:dyDescent="0.2">
      <c r="C101" s="205">
        <v>33861</v>
      </c>
      <c r="D101" s="185">
        <v>0.63194444444444442</v>
      </c>
      <c r="E101">
        <v>1</v>
      </c>
      <c r="F101">
        <v>8.5</v>
      </c>
      <c r="H101">
        <v>18.100000000000001</v>
      </c>
    </row>
    <row r="102" spans="2:10" ht="15.75" customHeight="1" x14ac:dyDescent="0.2">
      <c r="C102" s="205">
        <v>33861</v>
      </c>
      <c r="D102" s="185">
        <v>0.63194444444444442</v>
      </c>
      <c r="E102">
        <v>10</v>
      </c>
      <c r="F102">
        <v>8.6</v>
      </c>
      <c r="H102">
        <v>17.8</v>
      </c>
    </row>
    <row r="103" spans="2:10" ht="15.75" customHeight="1" x14ac:dyDescent="0.2"/>
    <row r="104" spans="2:10" ht="15.75" customHeight="1" x14ac:dyDescent="0.2">
      <c r="B104">
        <v>10</v>
      </c>
      <c r="C104" s="205">
        <v>34198</v>
      </c>
      <c r="D104" s="185">
        <v>0.4861111111111111</v>
      </c>
      <c r="J104">
        <v>9.3000000000000007</v>
      </c>
    </row>
    <row r="105" spans="2:10" ht="15.75" customHeight="1" x14ac:dyDescent="0.2">
      <c r="C105" s="205">
        <v>34198</v>
      </c>
      <c r="D105" s="185">
        <v>0.4861111111111111</v>
      </c>
      <c r="E105">
        <v>1</v>
      </c>
      <c r="F105">
        <v>8.82</v>
      </c>
      <c r="H105">
        <v>19.5</v>
      </c>
    </row>
    <row r="106" spans="2:10" ht="15.75" customHeight="1" x14ac:dyDescent="0.2">
      <c r="C106" s="205">
        <v>34198</v>
      </c>
      <c r="D106" s="185">
        <v>0.4861111111111111</v>
      </c>
      <c r="E106">
        <v>9</v>
      </c>
      <c r="F106">
        <v>8.51</v>
      </c>
      <c r="H106">
        <v>19.48</v>
      </c>
    </row>
    <row r="107" spans="2:10" ht="15.75" customHeight="1" x14ac:dyDescent="0.2"/>
    <row r="108" spans="2:10" ht="15.75" customHeight="1" x14ac:dyDescent="0.2">
      <c r="B108">
        <v>12.8</v>
      </c>
      <c r="C108" s="205">
        <v>34157</v>
      </c>
      <c r="D108" s="185">
        <v>0.49652777777777779</v>
      </c>
      <c r="J108">
        <v>7.7</v>
      </c>
    </row>
    <row r="109" spans="2:10" ht="15.75" customHeight="1" x14ac:dyDescent="0.2">
      <c r="C109" s="205">
        <v>34157</v>
      </c>
      <c r="D109" s="185">
        <v>0.49652777777777779</v>
      </c>
      <c r="E109">
        <v>1</v>
      </c>
      <c r="F109">
        <v>9.1</v>
      </c>
      <c r="H109">
        <v>17.100000000000001</v>
      </c>
    </row>
    <row r="110" spans="2:10" ht="15.75" customHeight="1" x14ac:dyDescent="0.2">
      <c r="C110" s="205">
        <v>34157</v>
      </c>
      <c r="D110" s="185">
        <v>0.49652777777777779</v>
      </c>
      <c r="E110">
        <v>5</v>
      </c>
      <c r="F110">
        <v>8.9</v>
      </c>
      <c r="H110">
        <v>16.8</v>
      </c>
    </row>
    <row r="111" spans="2:10" ht="15.75" customHeight="1" x14ac:dyDescent="0.2">
      <c r="C111" s="205">
        <v>34157</v>
      </c>
      <c r="D111" s="185">
        <v>0.49652777777777779</v>
      </c>
      <c r="E111">
        <v>7</v>
      </c>
      <c r="H111">
        <v>16.5</v>
      </c>
    </row>
    <row r="112" spans="2:10" ht="15.75" customHeight="1" x14ac:dyDescent="0.2">
      <c r="C112" s="205">
        <v>34157</v>
      </c>
      <c r="D112" s="185">
        <v>0.49652777777777779</v>
      </c>
      <c r="E112">
        <v>8</v>
      </c>
      <c r="H112">
        <v>15.9</v>
      </c>
    </row>
    <row r="113" spans="2:10" ht="15.75" customHeight="1" x14ac:dyDescent="0.2">
      <c r="C113" s="205">
        <v>34157</v>
      </c>
      <c r="D113" s="185">
        <v>0.49652777777777779</v>
      </c>
      <c r="E113">
        <v>9</v>
      </c>
      <c r="H113">
        <v>15.3</v>
      </c>
    </row>
    <row r="114" spans="2:10" ht="15.75" customHeight="1" x14ac:dyDescent="0.2">
      <c r="C114" s="205">
        <v>34157</v>
      </c>
      <c r="D114" s="185">
        <v>0.49652777777777779</v>
      </c>
      <c r="E114">
        <v>10</v>
      </c>
      <c r="H114">
        <v>15.1</v>
      </c>
    </row>
    <row r="115" spans="2:10" ht="15.75" customHeight="1" x14ac:dyDescent="0.2">
      <c r="C115" s="205">
        <v>34157</v>
      </c>
      <c r="D115" s="185">
        <v>0.49652777777777779</v>
      </c>
      <c r="E115">
        <v>11</v>
      </c>
      <c r="F115">
        <v>9.6999999999999993</v>
      </c>
      <c r="H115">
        <v>12.8</v>
      </c>
    </row>
    <row r="116" spans="2:10" ht="15.75" customHeight="1" x14ac:dyDescent="0.2"/>
    <row r="117" spans="2:10" ht="15.75" customHeight="1" x14ac:dyDescent="0.2">
      <c r="B117">
        <v>16</v>
      </c>
      <c r="C117" s="205">
        <v>34135</v>
      </c>
      <c r="D117" s="185">
        <v>0.5</v>
      </c>
      <c r="J117">
        <v>5.5</v>
      </c>
    </row>
    <row r="118" spans="2:10" ht="15.75" customHeight="1" x14ac:dyDescent="0.2">
      <c r="C118" s="205">
        <v>34135</v>
      </c>
      <c r="D118" s="185">
        <v>0.5</v>
      </c>
      <c r="E118">
        <v>1</v>
      </c>
      <c r="F118">
        <v>10.6</v>
      </c>
      <c r="H118">
        <v>15.5</v>
      </c>
    </row>
    <row r="119" spans="2:10" ht="15.75" customHeight="1" x14ac:dyDescent="0.2">
      <c r="C119" s="205">
        <v>34135</v>
      </c>
      <c r="D119" s="185">
        <v>0.5</v>
      </c>
      <c r="E119">
        <v>15</v>
      </c>
      <c r="F119">
        <v>11</v>
      </c>
      <c r="H119">
        <v>7.2</v>
      </c>
    </row>
    <row r="120" spans="2:10" ht="15.75" customHeight="1" x14ac:dyDescent="0.2"/>
    <row r="121" spans="2:10" ht="15.75" customHeight="1" x14ac:dyDescent="0.2">
      <c r="B121">
        <v>12.1</v>
      </c>
      <c r="C121" s="205">
        <v>34107</v>
      </c>
      <c r="D121" s="185">
        <v>0.5625</v>
      </c>
      <c r="J121">
        <v>5.5</v>
      </c>
    </row>
    <row r="122" spans="2:10" ht="15.75" customHeight="1" x14ac:dyDescent="0.2">
      <c r="C122" s="205">
        <v>34107</v>
      </c>
      <c r="D122" s="185">
        <v>0.5625</v>
      </c>
      <c r="E122">
        <v>1</v>
      </c>
      <c r="F122">
        <v>10.4</v>
      </c>
      <c r="H122">
        <v>16.100000000000001</v>
      </c>
    </row>
    <row r="123" spans="2:10" ht="15.75" customHeight="1" x14ac:dyDescent="0.2">
      <c r="C123" s="205">
        <v>34107</v>
      </c>
      <c r="D123" s="185">
        <v>0.5625</v>
      </c>
      <c r="E123">
        <v>11</v>
      </c>
      <c r="F123">
        <v>11.4</v>
      </c>
      <c r="H123">
        <v>9.1</v>
      </c>
    </row>
    <row r="124" spans="2:10" ht="15.75" customHeight="1" x14ac:dyDescent="0.2"/>
    <row r="125" spans="2:10" ht="15.75" customHeight="1" x14ac:dyDescent="0.2">
      <c r="B125">
        <v>10</v>
      </c>
      <c r="C125" s="205">
        <v>34082</v>
      </c>
      <c r="D125" s="185">
        <v>0.58333333333333337</v>
      </c>
      <c r="J125">
        <v>8.5</v>
      </c>
    </row>
    <row r="126" spans="2:10" ht="15.75" customHeight="1" x14ac:dyDescent="0.2">
      <c r="C126" s="205">
        <v>34082</v>
      </c>
      <c r="D126" s="185">
        <v>0.58333333333333337</v>
      </c>
      <c r="E126">
        <v>1</v>
      </c>
      <c r="F126">
        <v>12.4</v>
      </c>
      <c r="H126">
        <v>5.65</v>
      </c>
    </row>
    <row r="127" spans="2:10" ht="15.75" customHeight="1" x14ac:dyDescent="0.2">
      <c r="C127" s="205">
        <v>34082</v>
      </c>
      <c r="D127" s="185">
        <v>0.58333333333333337</v>
      </c>
      <c r="E127">
        <v>9</v>
      </c>
      <c r="F127">
        <v>12.3</v>
      </c>
      <c r="H127">
        <v>5.33</v>
      </c>
    </row>
    <row r="128" spans="2:10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790"/>
  <sheetViews>
    <sheetView workbookViewId="0">
      <pane ySplit="1" topLeftCell="A1554" activePane="bottomLeft" state="frozen"/>
      <selection pane="bottomLeft" activeCell="H1731" sqref="H1731"/>
    </sheetView>
  </sheetViews>
  <sheetFormatPr baseColWidth="10" defaultColWidth="11.1640625" defaultRowHeight="15" customHeight="1" x14ac:dyDescent="0.2"/>
  <cols>
    <col min="1" max="2" width="10.5" customWidth="1"/>
    <col min="3" max="3" width="10.83203125" customWidth="1"/>
    <col min="4" max="4" width="10.5" customWidth="1"/>
    <col min="5" max="5" width="8.83203125" style="190" customWidth="1"/>
    <col min="6" max="6" width="7.83203125" style="190" customWidth="1"/>
    <col min="7" max="7" width="8.6640625" style="190" customWidth="1"/>
    <col min="8" max="8" width="7" customWidth="1"/>
    <col min="9" max="9" width="10.5" customWidth="1"/>
    <col min="10" max="10" width="9.33203125" customWidth="1"/>
    <col min="11" max="11" width="10.1640625" customWidth="1"/>
    <col min="12" max="12" width="8.83203125" customWidth="1"/>
    <col min="13" max="13" width="7.33203125" customWidth="1"/>
    <col min="14" max="26" width="10.5" customWidth="1"/>
  </cols>
  <sheetData>
    <row r="1" spans="1:26" ht="33.75" customHeight="1" x14ac:dyDescent="0.2">
      <c r="A1" s="3"/>
      <c r="B1" s="3" t="s">
        <v>49</v>
      </c>
      <c r="C1" s="3" t="s">
        <v>50</v>
      </c>
      <c r="D1" s="3" t="s">
        <v>51</v>
      </c>
      <c r="E1" s="3" t="s">
        <v>52</v>
      </c>
      <c r="F1" s="2" t="s">
        <v>267</v>
      </c>
      <c r="G1" s="3" t="s">
        <v>54</v>
      </c>
      <c r="H1" s="2" t="s">
        <v>55</v>
      </c>
      <c r="I1" s="2" t="s">
        <v>56</v>
      </c>
      <c r="J1" s="2" t="s">
        <v>57</v>
      </c>
      <c r="K1" s="2" t="s">
        <v>58</v>
      </c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B2" s="1" t="s">
        <v>7</v>
      </c>
      <c r="C2" s="3"/>
      <c r="D2" s="3"/>
      <c r="E2" s="3"/>
      <c r="F2" s="2"/>
      <c r="G2" s="3"/>
      <c r="H2" s="2"/>
      <c r="J2" s="2"/>
      <c r="K2" s="2"/>
      <c r="L2" s="7"/>
      <c r="M2" s="3"/>
      <c r="N2" s="3"/>
    </row>
    <row r="3" spans="1:26" ht="15.75" customHeight="1" x14ac:dyDescent="0.2">
      <c r="A3" s="4"/>
      <c r="B3" s="4" t="s">
        <v>59</v>
      </c>
      <c r="C3" s="3"/>
      <c r="D3" s="3"/>
      <c r="E3" s="3"/>
      <c r="F3" s="2"/>
      <c r="G3" s="3"/>
      <c r="H3" s="2"/>
      <c r="J3" s="2"/>
      <c r="K3" s="2"/>
      <c r="L3" s="7"/>
      <c r="M3" s="3"/>
      <c r="N3" s="3"/>
    </row>
    <row r="4" spans="1:26" ht="15.75" customHeight="1" x14ac:dyDescent="0.2">
      <c r="A4" s="4" t="s">
        <v>60</v>
      </c>
      <c r="B4" s="4" t="s">
        <v>268</v>
      </c>
      <c r="C4" s="3"/>
      <c r="D4" s="3"/>
      <c r="E4" s="3"/>
      <c r="F4" s="2"/>
      <c r="G4" s="3"/>
      <c r="H4" s="2"/>
      <c r="J4" s="2"/>
      <c r="K4" s="2"/>
      <c r="L4" s="7"/>
      <c r="M4" s="3"/>
      <c r="N4" s="3"/>
    </row>
    <row r="5" spans="1:26" ht="15.75" customHeight="1" x14ac:dyDescent="0.2">
      <c r="A5" s="4"/>
      <c r="B5" s="5" t="s">
        <v>62</v>
      </c>
      <c r="C5" s="3"/>
      <c r="D5" s="3"/>
      <c r="E5" s="3"/>
      <c r="F5" s="2"/>
      <c r="G5" s="3"/>
      <c r="H5" s="2"/>
      <c r="J5" s="2"/>
      <c r="K5" s="2"/>
      <c r="L5" s="7"/>
      <c r="M5" s="3"/>
      <c r="N5" s="3"/>
    </row>
    <row r="6" spans="1:26" ht="15.75" customHeight="1" x14ac:dyDescent="0.2">
      <c r="C6" s="15">
        <v>45097</v>
      </c>
      <c r="D6" s="19">
        <v>0.57638888888888895</v>
      </c>
      <c r="E6" s="3"/>
      <c r="F6" s="2"/>
      <c r="G6" s="3"/>
      <c r="H6" s="2"/>
      <c r="J6" s="2">
        <v>7.5</v>
      </c>
      <c r="K6" s="2">
        <v>11</v>
      </c>
      <c r="L6" s="7"/>
      <c r="M6" s="3"/>
      <c r="N6" s="3"/>
    </row>
    <row r="7" spans="1:26" ht="15.75" customHeight="1" x14ac:dyDescent="0.2">
      <c r="C7" s="15">
        <v>45097</v>
      </c>
      <c r="D7" s="19">
        <v>0.57986111111111105</v>
      </c>
      <c r="E7" s="3">
        <v>0.1</v>
      </c>
      <c r="F7" s="2">
        <v>10.039999999999999</v>
      </c>
      <c r="G7" s="3">
        <v>103.9</v>
      </c>
      <c r="H7" s="2">
        <v>17</v>
      </c>
      <c r="J7" s="2"/>
      <c r="K7" s="2"/>
      <c r="L7" s="7"/>
      <c r="M7" s="3"/>
      <c r="N7" s="3"/>
    </row>
    <row r="8" spans="1:26" ht="15.75" customHeight="1" x14ac:dyDescent="0.2">
      <c r="C8" s="15">
        <v>45097</v>
      </c>
      <c r="D8" s="19">
        <v>0.57986111111111105</v>
      </c>
      <c r="E8" s="3">
        <v>1</v>
      </c>
      <c r="F8" s="2">
        <v>10.02</v>
      </c>
      <c r="G8" s="3">
        <v>103.7</v>
      </c>
      <c r="H8" s="2">
        <v>17</v>
      </c>
      <c r="J8" s="2"/>
      <c r="K8" s="2"/>
      <c r="L8" s="7"/>
      <c r="M8" s="3"/>
      <c r="N8" s="3"/>
    </row>
    <row r="9" spans="1:26" ht="15.75" customHeight="1" x14ac:dyDescent="0.2">
      <c r="C9" s="15">
        <v>45097</v>
      </c>
      <c r="D9" s="19">
        <v>0.57986111111111105</v>
      </c>
      <c r="E9" s="3">
        <v>2</v>
      </c>
      <c r="F9" s="2">
        <v>10.01</v>
      </c>
      <c r="G9" s="3">
        <v>103.5</v>
      </c>
      <c r="H9" s="3">
        <v>17</v>
      </c>
      <c r="J9" s="2"/>
      <c r="K9" s="2"/>
      <c r="L9" s="7"/>
      <c r="M9" s="3"/>
      <c r="N9" s="3"/>
    </row>
    <row r="10" spans="1:26" ht="15.75" customHeight="1" x14ac:dyDescent="0.2">
      <c r="C10" s="15">
        <v>45097</v>
      </c>
      <c r="D10" s="19">
        <v>0.57986111111111105</v>
      </c>
      <c r="E10" s="3">
        <v>3</v>
      </c>
      <c r="F10" s="2">
        <v>10.039999999999999</v>
      </c>
      <c r="G10" s="3">
        <v>103.2</v>
      </c>
      <c r="H10" s="2">
        <v>16.7</v>
      </c>
      <c r="J10" s="2"/>
      <c r="K10" s="2"/>
      <c r="L10" s="7"/>
      <c r="M10" s="3"/>
      <c r="N10" s="3"/>
    </row>
    <row r="11" spans="1:26" ht="15.75" customHeight="1" x14ac:dyDescent="0.2">
      <c r="C11" s="15">
        <v>45097</v>
      </c>
      <c r="D11" s="19">
        <v>0.57986111111111105</v>
      </c>
      <c r="E11" s="3">
        <v>4</v>
      </c>
      <c r="F11" s="2">
        <v>10.09</v>
      </c>
      <c r="G11" s="3">
        <v>103.1</v>
      </c>
      <c r="H11" s="2">
        <v>16.5</v>
      </c>
      <c r="J11" s="2"/>
      <c r="K11" s="2"/>
      <c r="L11" s="7"/>
      <c r="M11" s="3"/>
      <c r="N11" s="3"/>
    </row>
    <row r="12" spans="1:26" ht="15.75" customHeight="1" x14ac:dyDescent="0.2">
      <c r="C12" s="15">
        <v>45097</v>
      </c>
      <c r="D12" s="19">
        <v>0.57986111111111105</v>
      </c>
      <c r="E12" s="3">
        <v>5</v>
      </c>
      <c r="F12" s="2">
        <v>10.14</v>
      </c>
      <c r="G12" s="3">
        <v>102.9</v>
      </c>
      <c r="H12" s="2">
        <v>16.100000000000001</v>
      </c>
      <c r="J12" s="2"/>
      <c r="K12" s="2"/>
      <c r="L12" s="7"/>
      <c r="M12" s="3"/>
      <c r="N12" s="3"/>
    </row>
    <row r="13" spans="1:26" ht="15.75" customHeight="1" x14ac:dyDescent="0.2">
      <c r="C13" s="15">
        <v>45097</v>
      </c>
      <c r="D13" s="19">
        <v>0.57986111111111105</v>
      </c>
      <c r="E13" s="3">
        <v>6</v>
      </c>
      <c r="F13" s="2">
        <v>11.23</v>
      </c>
      <c r="G13" s="3">
        <v>108.4</v>
      </c>
      <c r="H13" s="2">
        <v>13.9</v>
      </c>
      <c r="J13" s="2"/>
      <c r="K13" s="2"/>
      <c r="L13" s="7"/>
      <c r="M13" s="3"/>
      <c r="N13" s="3"/>
    </row>
    <row r="14" spans="1:26" ht="15.75" customHeight="1" x14ac:dyDescent="0.2">
      <c r="C14" s="15">
        <v>45097</v>
      </c>
      <c r="D14" s="19">
        <v>0.57986111111111105</v>
      </c>
      <c r="E14" s="3">
        <v>7</v>
      </c>
      <c r="F14" s="2">
        <v>11.34</v>
      </c>
      <c r="G14" s="3">
        <v>108.6</v>
      </c>
      <c r="H14" s="2">
        <v>13.4</v>
      </c>
      <c r="J14" s="2"/>
      <c r="K14" s="2"/>
      <c r="L14" s="7"/>
      <c r="M14" s="3"/>
      <c r="N14" s="3"/>
    </row>
    <row r="15" spans="1:26" ht="15.75" customHeight="1" x14ac:dyDescent="0.2">
      <c r="C15" s="15">
        <v>45097</v>
      </c>
      <c r="D15" s="19">
        <v>0.57986111111111105</v>
      </c>
      <c r="E15" s="3">
        <v>10</v>
      </c>
      <c r="F15" s="2">
        <v>12.53</v>
      </c>
      <c r="G15" s="3">
        <v>111.2</v>
      </c>
      <c r="H15" s="2">
        <v>10.1</v>
      </c>
      <c r="J15" s="2"/>
      <c r="K15" s="2"/>
      <c r="L15" s="7"/>
      <c r="M15" s="3"/>
      <c r="N15" s="3"/>
    </row>
    <row r="16" spans="1:26" ht="15.75" customHeight="1" x14ac:dyDescent="0.2">
      <c r="C16" s="15">
        <v>45097</v>
      </c>
      <c r="D16" s="19">
        <v>0.57986111111111105</v>
      </c>
      <c r="E16" s="3">
        <v>15</v>
      </c>
      <c r="F16" s="2">
        <v>12.33</v>
      </c>
      <c r="G16" s="3">
        <v>99.3</v>
      </c>
      <c r="H16" s="2">
        <v>6.2</v>
      </c>
      <c r="J16" s="2"/>
      <c r="K16" s="2"/>
      <c r="L16" s="7"/>
      <c r="M16" s="3"/>
      <c r="N16" s="3"/>
    </row>
    <row r="17" spans="3:14" ht="15.75" customHeight="1" x14ac:dyDescent="0.2">
      <c r="C17" s="15">
        <v>45097</v>
      </c>
      <c r="D17" s="19">
        <v>0.57986111111111105</v>
      </c>
      <c r="E17" s="3">
        <v>20</v>
      </c>
      <c r="F17" s="2">
        <v>12.18</v>
      </c>
      <c r="G17" s="3">
        <v>96.4</v>
      </c>
      <c r="H17" s="2">
        <v>5.4</v>
      </c>
      <c r="J17" s="2"/>
      <c r="K17" s="2"/>
      <c r="L17" s="7"/>
      <c r="M17" s="3"/>
      <c r="N17" s="3"/>
    </row>
    <row r="18" spans="3:14" ht="15.75" customHeight="1" x14ac:dyDescent="0.2">
      <c r="C18" s="15">
        <v>45097</v>
      </c>
      <c r="D18" s="19">
        <v>0.57986111111111105</v>
      </c>
      <c r="E18" s="3">
        <v>25</v>
      </c>
      <c r="F18" s="2">
        <v>11.99</v>
      </c>
      <c r="G18" s="3">
        <v>94.1</v>
      </c>
      <c r="H18" s="2">
        <v>5.0999999999999996</v>
      </c>
      <c r="J18" s="2"/>
      <c r="K18" s="2"/>
      <c r="L18" s="7"/>
      <c r="M18" s="3"/>
      <c r="N18" s="3"/>
    </row>
    <row r="19" spans="3:14" ht="15.75" customHeight="1" x14ac:dyDescent="0.2">
      <c r="C19" s="15">
        <v>45097</v>
      </c>
      <c r="D19" s="19">
        <v>0.57986111111111105</v>
      </c>
      <c r="E19" s="3">
        <v>30</v>
      </c>
      <c r="F19" s="2">
        <v>11.9</v>
      </c>
      <c r="G19" s="3">
        <v>93.2</v>
      </c>
      <c r="H19" s="2">
        <v>5</v>
      </c>
      <c r="J19" s="2"/>
      <c r="K19" s="2"/>
      <c r="L19" s="7"/>
      <c r="M19" s="3"/>
      <c r="N19" s="3"/>
    </row>
    <row r="20" spans="3:14" ht="15.75" customHeight="1" x14ac:dyDescent="0.2">
      <c r="C20" s="15">
        <v>45097</v>
      </c>
      <c r="D20" s="19">
        <v>0.57986111111111105</v>
      </c>
      <c r="E20" s="3">
        <v>35</v>
      </c>
      <c r="F20" s="2">
        <v>11.81</v>
      </c>
      <c r="G20" s="3">
        <v>92.5</v>
      </c>
      <c r="H20" s="2">
        <v>5</v>
      </c>
      <c r="J20" s="2"/>
      <c r="K20" s="2"/>
      <c r="L20" s="7"/>
      <c r="M20" s="3"/>
      <c r="N20" s="3"/>
    </row>
    <row r="21" spans="3:14" ht="15.75" customHeight="1" x14ac:dyDescent="0.2">
      <c r="C21" s="15">
        <v>45097</v>
      </c>
      <c r="D21" s="19">
        <v>0.57986111111111105</v>
      </c>
      <c r="E21" s="3">
        <v>40</v>
      </c>
      <c r="F21" s="2">
        <v>11.76</v>
      </c>
      <c r="G21" s="3">
        <v>91.8</v>
      </c>
      <c r="H21" s="2">
        <v>4.9000000000000004</v>
      </c>
      <c r="J21" s="2"/>
      <c r="K21" s="2"/>
      <c r="L21" s="7"/>
      <c r="M21" s="3"/>
      <c r="N21" s="3"/>
    </row>
    <row r="22" spans="3:14" ht="15.75" customHeight="1" x14ac:dyDescent="0.2">
      <c r="C22" s="15">
        <v>45097</v>
      </c>
      <c r="D22" s="19">
        <v>0.57986111111111105</v>
      </c>
      <c r="E22" s="3">
        <v>45</v>
      </c>
      <c r="F22" s="2">
        <v>11.64</v>
      </c>
      <c r="G22" s="3">
        <v>90.7</v>
      </c>
      <c r="H22" s="2">
        <v>4.8</v>
      </c>
      <c r="J22" s="2"/>
      <c r="K22" s="2"/>
      <c r="L22" s="7"/>
      <c r="M22" s="3"/>
      <c r="N22" s="3"/>
    </row>
    <row r="23" spans="3:14" ht="15.75" customHeight="1" x14ac:dyDescent="0.2">
      <c r="C23" s="15">
        <v>45097</v>
      </c>
      <c r="D23" s="19">
        <v>0.57986111111111105</v>
      </c>
      <c r="E23" s="3">
        <v>50</v>
      </c>
      <c r="F23" s="2">
        <v>11.59</v>
      </c>
      <c r="G23" s="3">
        <v>90</v>
      </c>
      <c r="H23" s="2">
        <v>4.7</v>
      </c>
      <c r="J23" s="2"/>
      <c r="K23" s="2"/>
      <c r="L23" s="7"/>
      <c r="M23" s="3"/>
      <c r="N23" s="3"/>
    </row>
    <row r="24" spans="3:14" ht="15.75" customHeight="1" x14ac:dyDescent="0.2">
      <c r="C24" s="15">
        <v>45097</v>
      </c>
      <c r="D24" s="19">
        <v>0.57986111111111105</v>
      </c>
      <c r="E24" s="3">
        <v>55</v>
      </c>
      <c r="F24" s="2">
        <v>11.47</v>
      </c>
      <c r="G24" s="3">
        <v>89.1</v>
      </c>
      <c r="H24" s="2">
        <v>4.7</v>
      </c>
      <c r="J24" s="2"/>
      <c r="K24" s="2"/>
      <c r="L24" s="7"/>
      <c r="M24" s="3"/>
      <c r="N24" s="3"/>
    </row>
    <row r="25" spans="3:14" ht="15.75" customHeight="1" x14ac:dyDescent="0.2">
      <c r="C25" s="15">
        <v>45097</v>
      </c>
      <c r="D25" s="19">
        <v>0.57986111111111105</v>
      </c>
      <c r="E25" s="3">
        <v>60</v>
      </c>
      <c r="F25" s="2">
        <v>11.35</v>
      </c>
      <c r="G25" s="3">
        <v>88.2</v>
      </c>
      <c r="H25" s="2">
        <v>4.7</v>
      </c>
      <c r="J25" s="2"/>
      <c r="K25" s="2"/>
      <c r="L25" s="7"/>
      <c r="M25" s="3"/>
      <c r="N25" s="3"/>
    </row>
    <row r="26" spans="3:14" ht="15.75" customHeight="1" x14ac:dyDescent="0.2">
      <c r="C26" s="15">
        <v>45097</v>
      </c>
      <c r="D26" s="19">
        <v>0.57986111111111105</v>
      </c>
      <c r="E26" s="3">
        <v>65</v>
      </c>
      <c r="F26" s="2">
        <v>11.32</v>
      </c>
      <c r="G26" s="3">
        <v>87.7</v>
      </c>
      <c r="H26" s="26">
        <v>4.5999999999999996</v>
      </c>
      <c r="J26" s="2"/>
      <c r="K26" s="2"/>
      <c r="L26" s="7"/>
      <c r="M26" s="3"/>
      <c r="N26" s="3"/>
    </row>
    <row r="27" spans="3:14" ht="15.75" customHeight="1" x14ac:dyDescent="0.2">
      <c r="C27" s="15">
        <v>45097</v>
      </c>
      <c r="D27" s="19">
        <v>0.57986111111111105</v>
      </c>
      <c r="E27" s="3">
        <v>70</v>
      </c>
      <c r="F27" s="2">
        <v>11.23</v>
      </c>
      <c r="G27" s="3">
        <v>87</v>
      </c>
      <c r="H27" s="26">
        <v>4.5999999999999996</v>
      </c>
      <c r="J27" s="2"/>
      <c r="K27" s="2"/>
      <c r="L27" s="7"/>
      <c r="M27" s="3"/>
      <c r="N27" s="3"/>
    </row>
    <row r="28" spans="3:14" ht="15.75" customHeight="1" x14ac:dyDescent="0.2">
      <c r="C28" s="15">
        <v>45097</v>
      </c>
      <c r="D28" s="19">
        <v>0.57986111111111105</v>
      </c>
      <c r="E28" s="3">
        <v>75</v>
      </c>
      <c r="F28" s="2">
        <v>11.18</v>
      </c>
      <c r="G28" s="3">
        <v>84.6</v>
      </c>
      <c r="H28" s="26">
        <v>4.5999999999999996</v>
      </c>
      <c r="J28" s="2"/>
      <c r="K28" s="2"/>
      <c r="L28" s="7"/>
      <c r="M28" s="3"/>
      <c r="N28" s="3"/>
    </row>
    <row r="29" spans="3:14" ht="15.75" customHeight="1" x14ac:dyDescent="0.2">
      <c r="C29" s="15">
        <v>45097</v>
      </c>
      <c r="D29" s="19">
        <v>0.57986111111111105</v>
      </c>
      <c r="E29" s="3">
        <v>80</v>
      </c>
      <c r="F29" s="2">
        <v>11.12</v>
      </c>
      <c r="G29" s="3">
        <v>86.2</v>
      </c>
      <c r="H29" s="26">
        <v>4.5999999999999996</v>
      </c>
      <c r="J29" s="2"/>
      <c r="K29" s="2"/>
      <c r="L29" s="7"/>
      <c r="M29" s="3"/>
      <c r="N29" s="3"/>
    </row>
    <row r="30" spans="3:14" ht="15.75" customHeight="1" x14ac:dyDescent="0.2">
      <c r="C30" s="15">
        <v>45097</v>
      </c>
      <c r="D30" s="19">
        <v>0.57986111111111105</v>
      </c>
      <c r="E30" s="3">
        <v>85</v>
      </c>
      <c r="F30" s="2">
        <v>11.04</v>
      </c>
      <c r="G30" s="3">
        <v>85.5</v>
      </c>
      <c r="H30" s="2">
        <v>4.5999999999999996</v>
      </c>
      <c r="J30" s="2"/>
      <c r="K30" s="2"/>
      <c r="L30" s="7"/>
      <c r="M30" s="3"/>
      <c r="N30" s="3"/>
    </row>
    <row r="31" spans="3:14" ht="15.75" customHeight="1" x14ac:dyDescent="0.2">
      <c r="C31" s="15">
        <v>45097</v>
      </c>
      <c r="D31" s="19">
        <v>0.57986111111111105</v>
      </c>
      <c r="E31" s="3">
        <v>90</v>
      </c>
      <c r="F31" s="2">
        <v>10.97</v>
      </c>
      <c r="G31" s="3">
        <v>84.8</v>
      </c>
      <c r="H31" s="2">
        <v>4.5</v>
      </c>
      <c r="J31" s="2"/>
      <c r="K31" s="2"/>
      <c r="L31" s="7"/>
      <c r="M31" s="3"/>
      <c r="N31" s="3"/>
    </row>
    <row r="32" spans="3:14" ht="15.75" customHeight="1" x14ac:dyDescent="0.2">
      <c r="C32" s="15">
        <v>45097</v>
      </c>
      <c r="D32" s="19">
        <v>0.57986111111111105</v>
      </c>
      <c r="E32" s="3">
        <v>95</v>
      </c>
      <c r="F32" s="2">
        <v>10.87</v>
      </c>
      <c r="G32" s="3">
        <v>84</v>
      </c>
      <c r="H32" s="2">
        <v>4.5</v>
      </c>
      <c r="J32" s="2"/>
      <c r="K32" s="2"/>
      <c r="L32" s="7"/>
      <c r="M32" s="3"/>
      <c r="N32" s="3"/>
    </row>
    <row r="33" spans="3:14" ht="15.75" customHeight="1" x14ac:dyDescent="0.2">
      <c r="C33" s="15"/>
      <c r="D33" s="19"/>
      <c r="E33" s="3"/>
      <c r="F33" s="2"/>
      <c r="G33" s="3"/>
      <c r="H33" s="2"/>
      <c r="J33" s="2"/>
      <c r="K33" s="2"/>
      <c r="L33" s="7"/>
      <c r="M33" s="3"/>
      <c r="N33" s="3"/>
    </row>
    <row r="34" spans="3:14" ht="15.75" customHeight="1" x14ac:dyDescent="0.2">
      <c r="C34" s="15">
        <v>45134</v>
      </c>
      <c r="D34" s="19">
        <v>0.53472222222222221</v>
      </c>
      <c r="E34" s="3"/>
      <c r="F34" s="2"/>
      <c r="G34" s="3"/>
      <c r="H34" s="2"/>
      <c r="J34" s="2">
        <v>12</v>
      </c>
      <c r="K34" s="2">
        <v>13</v>
      </c>
      <c r="L34" s="7"/>
      <c r="M34" s="3"/>
      <c r="N34" s="3"/>
    </row>
    <row r="35" spans="3:14" ht="15.75" customHeight="1" x14ac:dyDescent="0.2">
      <c r="C35" s="15">
        <v>45134</v>
      </c>
      <c r="D35" s="19">
        <v>0.53472222222222221</v>
      </c>
      <c r="E35" s="3">
        <v>0.1</v>
      </c>
      <c r="F35" s="3">
        <v>8.93</v>
      </c>
      <c r="G35" s="3">
        <v>104.3</v>
      </c>
      <c r="H35" s="2">
        <v>23</v>
      </c>
      <c r="J35" s="2"/>
      <c r="K35" s="2"/>
      <c r="L35" s="7"/>
      <c r="M35" s="3"/>
      <c r="N35" s="3"/>
    </row>
    <row r="36" spans="3:14" ht="15.75" customHeight="1" x14ac:dyDescent="0.2">
      <c r="C36" s="15">
        <v>45134</v>
      </c>
      <c r="D36" s="19">
        <v>0.53472222222222221</v>
      </c>
      <c r="E36" s="3">
        <v>1</v>
      </c>
      <c r="F36" s="3">
        <v>8.94</v>
      </c>
      <c r="G36" s="3">
        <v>103.8</v>
      </c>
      <c r="H36" s="2">
        <v>22.7</v>
      </c>
      <c r="J36" s="2"/>
      <c r="K36" s="2"/>
      <c r="L36" s="7"/>
      <c r="M36" s="3"/>
      <c r="N36" s="3"/>
    </row>
    <row r="37" spans="3:14" ht="15.75" customHeight="1" x14ac:dyDescent="0.2">
      <c r="C37" s="15">
        <v>45134</v>
      </c>
      <c r="D37" s="19">
        <v>0.53472222222222221</v>
      </c>
      <c r="E37" s="3">
        <v>2</v>
      </c>
      <c r="F37" s="3">
        <v>8.9700000000000006</v>
      </c>
      <c r="G37" s="3">
        <v>102.9</v>
      </c>
      <c r="H37" s="2">
        <v>22.3</v>
      </c>
      <c r="J37" s="2"/>
      <c r="K37" s="2"/>
      <c r="L37" s="7"/>
      <c r="M37" s="3"/>
      <c r="N37" s="3"/>
    </row>
    <row r="38" spans="3:14" ht="15.75" customHeight="1" x14ac:dyDescent="0.2">
      <c r="C38" s="15">
        <v>45134</v>
      </c>
      <c r="D38" s="19">
        <v>0.53472222222222221</v>
      </c>
      <c r="E38" s="3">
        <v>3</v>
      </c>
      <c r="F38" s="3">
        <v>8.98</v>
      </c>
      <c r="G38" s="3">
        <v>102.9</v>
      </c>
      <c r="H38" s="2">
        <v>22.1</v>
      </c>
      <c r="J38" s="2"/>
      <c r="K38" s="2"/>
      <c r="L38" s="7"/>
      <c r="M38" s="3"/>
      <c r="N38" s="3"/>
    </row>
    <row r="39" spans="3:14" ht="15.75" customHeight="1" x14ac:dyDescent="0.2">
      <c r="C39" s="15">
        <v>45134</v>
      </c>
      <c r="D39" s="19">
        <v>0.53472222222222221</v>
      </c>
      <c r="E39" s="3">
        <v>4</v>
      </c>
      <c r="F39" s="3">
        <v>9.0399999999999991</v>
      </c>
      <c r="G39" s="3">
        <v>103.2</v>
      </c>
      <c r="H39" s="2">
        <v>21.9</v>
      </c>
      <c r="J39" s="2"/>
      <c r="K39" s="2"/>
      <c r="L39" s="7"/>
      <c r="M39" s="3"/>
      <c r="N39" s="3"/>
    </row>
    <row r="40" spans="3:14" ht="15.75" customHeight="1" x14ac:dyDescent="0.2">
      <c r="C40" s="15">
        <v>45134</v>
      </c>
      <c r="D40" s="19">
        <v>0.53472222222222221</v>
      </c>
      <c r="E40" s="3">
        <v>5</v>
      </c>
      <c r="F40" s="3">
        <v>9.07</v>
      </c>
      <c r="G40" s="3">
        <v>103.3</v>
      </c>
      <c r="H40" s="2">
        <v>21.8</v>
      </c>
      <c r="J40" s="2"/>
      <c r="K40" s="2"/>
      <c r="L40" s="7"/>
      <c r="M40" s="3"/>
      <c r="N40" s="3"/>
    </row>
    <row r="41" spans="3:14" ht="15.75" customHeight="1" x14ac:dyDescent="0.2">
      <c r="C41" s="15">
        <v>45134</v>
      </c>
      <c r="D41" s="19">
        <v>0.53472222222222221</v>
      </c>
      <c r="E41" s="3">
        <v>6</v>
      </c>
      <c r="F41" s="3">
        <v>9.16</v>
      </c>
      <c r="G41" s="3">
        <v>103.3</v>
      </c>
      <c r="H41" s="2">
        <v>21.6</v>
      </c>
      <c r="J41" s="2"/>
      <c r="K41" s="2"/>
      <c r="L41" s="7"/>
      <c r="M41" s="3"/>
      <c r="N41" s="3"/>
    </row>
    <row r="42" spans="3:14" ht="15.75" customHeight="1" x14ac:dyDescent="0.2">
      <c r="C42" s="15">
        <v>45134</v>
      </c>
      <c r="D42" s="19">
        <v>0.53472222222222221</v>
      </c>
      <c r="E42" s="3">
        <v>7</v>
      </c>
      <c r="F42" s="3">
        <v>9.42</v>
      </c>
      <c r="G42" s="3">
        <v>105.1</v>
      </c>
      <c r="H42" s="2">
        <v>20.8</v>
      </c>
      <c r="J42" s="2"/>
      <c r="K42" s="2"/>
      <c r="L42" s="7"/>
      <c r="M42" s="3"/>
      <c r="N42" s="3"/>
    </row>
    <row r="43" spans="3:14" ht="15.75" customHeight="1" x14ac:dyDescent="0.2">
      <c r="C43" s="15">
        <v>45134</v>
      </c>
      <c r="D43" s="19">
        <v>0.53472222222222221</v>
      </c>
      <c r="E43" s="3">
        <v>8</v>
      </c>
      <c r="F43" s="3">
        <v>10.1</v>
      </c>
      <c r="G43" s="3">
        <v>109.6</v>
      </c>
      <c r="H43" s="2">
        <v>19.399999999999999</v>
      </c>
      <c r="J43" s="2"/>
      <c r="K43" s="2"/>
      <c r="L43" s="7"/>
      <c r="M43" s="3"/>
      <c r="N43" s="3"/>
    </row>
    <row r="44" spans="3:14" ht="15.75" customHeight="1" x14ac:dyDescent="0.2">
      <c r="C44" s="15">
        <v>45134</v>
      </c>
      <c r="D44" s="19">
        <v>0.53472222222222221</v>
      </c>
      <c r="E44" s="3">
        <v>9</v>
      </c>
      <c r="F44" s="3">
        <v>10.78</v>
      </c>
      <c r="G44" s="3">
        <v>111.8</v>
      </c>
      <c r="H44" s="2">
        <v>17.3</v>
      </c>
      <c r="J44" s="2"/>
      <c r="K44" s="2"/>
      <c r="L44" s="7"/>
      <c r="M44" s="3"/>
      <c r="N44" s="3"/>
    </row>
    <row r="45" spans="3:14" ht="15.75" customHeight="1" x14ac:dyDescent="0.2">
      <c r="C45" s="15">
        <v>45134</v>
      </c>
      <c r="D45" s="19">
        <v>0.53472222222222221</v>
      </c>
      <c r="E45" s="3">
        <v>10</v>
      </c>
      <c r="F45" s="3">
        <v>11.5</v>
      </c>
      <c r="G45" s="3">
        <v>113.8</v>
      </c>
      <c r="H45" s="2">
        <v>14.6</v>
      </c>
      <c r="J45" s="2"/>
      <c r="K45" s="2"/>
      <c r="L45" s="7"/>
      <c r="M45" s="3"/>
      <c r="N45" s="3"/>
    </row>
    <row r="46" spans="3:14" ht="15.75" customHeight="1" x14ac:dyDescent="0.2">
      <c r="C46" s="15">
        <v>45134</v>
      </c>
      <c r="D46" s="19">
        <v>0.53472222222222221</v>
      </c>
      <c r="E46" s="3">
        <v>15</v>
      </c>
      <c r="F46" s="3">
        <v>12.2</v>
      </c>
      <c r="G46" s="3">
        <v>103.07</v>
      </c>
      <c r="H46" s="2">
        <v>8</v>
      </c>
      <c r="J46" s="2"/>
      <c r="K46" s="2"/>
      <c r="L46" s="7"/>
      <c r="M46" s="3"/>
      <c r="N46" s="3"/>
    </row>
    <row r="47" spans="3:14" ht="15.75" customHeight="1" x14ac:dyDescent="0.2">
      <c r="C47" s="15">
        <v>45134</v>
      </c>
      <c r="D47" s="19">
        <v>0.53472222222222221</v>
      </c>
      <c r="E47" s="3">
        <v>20</v>
      </c>
      <c r="F47" s="3">
        <v>11.95</v>
      </c>
      <c r="G47" s="3">
        <v>96.8</v>
      </c>
      <c r="H47" s="2">
        <v>6.3</v>
      </c>
      <c r="J47" s="2"/>
      <c r="K47" s="2"/>
      <c r="L47" s="7"/>
      <c r="M47" s="3"/>
      <c r="N47" s="3"/>
    </row>
    <row r="48" spans="3:14" ht="15.75" customHeight="1" x14ac:dyDescent="0.2">
      <c r="C48" s="15">
        <v>45134</v>
      </c>
      <c r="D48" s="19">
        <v>0.53472222222222221</v>
      </c>
      <c r="E48" s="3">
        <v>25</v>
      </c>
      <c r="F48" s="3">
        <v>11.72</v>
      </c>
      <c r="G48" s="3">
        <v>93.7</v>
      </c>
      <c r="H48" s="2">
        <v>5.8</v>
      </c>
      <c r="J48" s="2"/>
      <c r="K48" s="2"/>
      <c r="L48" s="7"/>
      <c r="M48" s="3"/>
      <c r="N48" s="3"/>
    </row>
    <row r="49" spans="3:14" ht="15.75" customHeight="1" x14ac:dyDescent="0.2">
      <c r="C49" s="15">
        <v>45134</v>
      </c>
      <c r="D49" s="19">
        <v>0.53472222222222221</v>
      </c>
      <c r="E49" s="3">
        <v>30</v>
      </c>
      <c r="F49" s="3">
        <v>11.55</v>
      </c>
      <c r="G49" s="3">
        <v>91.7</v>
      </c>
      <c r="H49" s="2">
        <v>5.5</v>
      </c>
      <c r="J49" s="2"/>
      <c r="K49" s="2"/>
      <c r="L49" s="7"/>
      <c r="M49" s="3"/>
      <c r="N49" s="3"/>
    </row>
    <row r="50" spans="3:14" ht="15.75" customHeight="1" x14ac:dyDescent="0.2">
      <c r="C50" s="15">
        <v>45134</v>
      </c>
      <c r="D50" s="19">
        <v>0.53472222222222221</v>
      </c>
      <c r="E50" s="3">
        <v>35</v>
      </c>
      <c r="F50" s="3">
        <v>11.4</v>
      </c>
      <c r="G50" s="3">
        <v>89.7</v>
      </c>
      <c r="H50" s="2">
        <v>5.2</v>
      </c>
      <c r="J50" s="2"/>
      <c r="K50" s="2"/>
      <c r="L50" s="7"/>
      <c r="M50" s="3"/>
      <c r="N50" s="3"/>
    </row>
    <row r="51" spans="3:14" ht="15.75" customHeight="1" x14ac:dyDescent="0.2">
      <c r="C51" s="15">
        <v>45134</v>
      </c>
      <c r="D51" s="19">
        <v>0.53472222222222221</v>
      </c>
      <c r="E51" s="3">
        <v>40</v>
      </c>
      <c r="F51" s="3">
        <v>11.31</v>
      </c>
      <c r="G51" s="3">
        <v>88.5</v>
      </c>
      <c r="H51" s="2">
        <v>5</v>
      </c>
      <c r="J51" s="2"/>
      <c r="K51" s="2"/>
      <c r="L51" s="7"/>
      <c r="M51" s="3"/>
      <c r="N51" s="3"/>
    </row>
    <row r="52" spans="3:14" ht="15.75" customHeight="1" x14ac:dyDescent="0.2">
      <c r="C52" s="15">
        <v>45134</v>
      </c>
      <c r="D52" s="19">
        <v>0.53472222222222221</v>
      </c>
      <c r="E52" s="3">
        <v>45</v>
      </c>
      <c r="F52" s="3">
        <v>11.21</v>
      </c>
      <c r="G52" s="3">
        <v>87.5</v>
      </c>
      <c r="H52" s="2">
        <v>4.9000000000000004</v>
      </c>
      <c r="J52" s="2"/>
      <c r="K52" s="2"/>
      <c r="L52" s="7"/>
      <c r="M52" s="3"/>
      <c r="N52" s="3"/>
    </row>
    <row r="53" spans="3:14" ht="15.75" customHeight="1" x14ac:dyDescent="0.2">
      <c r="C53" s="15">
        <v>45134</v>
      </c>
      <c r="D53" s="19">
        <v>0.53472222222222221</v>
      </c>
      <c r="E53" s="3">
        <v>50</v>
      </c>
      <c r="F53" s="3">
        <v>11.18</v>
      </c>
      <c r="G53" s="3">
        <v>87.1</v>
      </c>
      <c r="H53" s="2">
        <v>4.83</v>
      </c>
      <c r="J53" s="2"/>
      <c r="K53" s="2"/>
      <c r="L53" s="7"/>
      <c r="M53" s="3"/>
      <c r="N53" s="3"/>
    </row>
    <row r="54" spans="3:14" ht="15.75" customHeight="1" x14ac:dyDescent="0.2">
      <c r="C54" s="15">
        <v>45134</v>
      </c>
      <c r="D54" s="19">
        <v>0.53472222222222221</v>
      </c>
      <c r="E54" s="3">
        <v>55</v>
      </c>
      <c r="F54" s="3">
        <v>11.1</v>
      </c>
      <c r="G54" s="3">
        <v>86.5</v>
      </c>
      <c r="H54" s="2">
        <v>4.8</v>
      </c>
      <c r="J54" s="2"/>
      <c r="K54" s="2"/>
      <c r="L54" s="7"/>
      <c r="M54" s="3"/>
      <c r="N54" s="3"/>
    </row>
    <row r="55" spans="3:14" ht="15.75" customHeight="1" x14ac:dyDescent="0.2">
      <c r="C55" s="15">
        <v>45134</v>
      </c>
      <c r="D55" s="19">
        <v>0.53472222222222221</v>
      </c>
      <c r="E55" s="3">
        <v>60</v>
      </c>
      <c r="F55" s="3">
        <v>11.05</v>
      </c>
      <c r="G55" s="3">
        <v>85.8</v>
      </c>
      <c r="H55" s="2">
        <v>4.7</v>
      </c>
      <c r="J55" s="2"/>
      <c r="K55" s="2"/>
      <c r="L55" s="7"/>
      <c r="M55" s="3"/>
      <c r="N55" s="3"/>
    </row>
    <row r="56" spans="3:14" ht="15.75" customHeight="1" x14ac:dyDescent="0.2">
      <c r="C56" s="15">
        <v>45134</v>
      </c>
      <c r="D56" s="19">
        <v>0.53472222222222221</v>
      </c>
      <c r="E56" s="3">
        <v>65</v>
      </c>
      <c r="F56" s="3">
        <v>10.96</v>
      </c>
      <c r="G56" s="3">
        <v>85.2</v>
      </c>
      <c r="H56" s="2">
        <v>4.7</v>
      </c>
      <c r="J56" s="2"/>
      <c r="K56" s="2"/>
      <c r="L56" s="7"/>
      <c r="M56" s="3"/>
      <c r="N56" s="3"/>
    </row>
    <row r="57" spans="3:14" ht="15.75" customHeight="1" x14ac:dyDescent="0.2">
      <c r="C57" s="15">
        <v>45134</v>
      </c>
      <c r="D57" s="19">
        <v>0.53472222222222221</v>
      </c>
      <c r="E57" s="3">
        <v>70</v>
      </c>
      <c r="F57" s="3">
        <v>10.89</v>
      </c>
      <c r="G57" s="3">
        <v>84.4</v>
      </c>
      <c r="H57" s="2">
        <v>4.5999999999999996</v>
      </c>
      <c r="J57" s="2"/>
      <c r="K57" s="2"/>
      <c r="L57" s="7"/>
      <c r="M57" s="3"/>
      <c r="N57" s="3"/>
    </row>
    <row r="58" spans="3:14" ht="15.75" customHeight="1" x14ac:dyDescent="0.2">
      <c r="C58" s="15">
        <v>45134</v>
      </c>
      <c r="D58" s="19">
        <v>0.53472222222222221</v>
      </c>
      <c r="E58" s="3">
        <v>75</v>
      </c>
      <c r="F58" s="3">
        <v>10.8</v>
      </c>
      <c r="G58" s="3">
        <v>83.7</v>
      </c>
      <c r="H58" s="2">
        <v>4.5999999999999996</v>
      </c>
      <c r="J58" s="2"/>
      <c r="K58" s="2"/>
      <c r="L58" s="7"/>
      <c r="M58" s="3"/>
      <c r="N58" s="3"/>
    </row>
    <row r="59" spans="3:14" ht="15.75" customHeight="1" x14ac:dyDescent="0.2">
      <c r="C59" s="15">
        <v>45134</v>
      </c>
      <c r="D59" s="19">
        <v>0.53472222222222221</v>
      </c>
      <c r="E59" s="3">
        <v>80</v>
      </c>
      <c r="F59" s="3">
        <v>10.68</v>
      </c>
      <c r="G59" s="3">
        <v>82.9</v>
      </c>
      <c r="H59" s="2">
        <v>4.5999999999999996</v>
      </c>
      <c r="J59" s="2"/>
      <c r="K59" s="2"/>
      <c r="L59" s="7"/>
      <c r="M59" s="3"/>
      <c r="N59" s="3"/>
    </row>
    <row r="60" spans="3:14" ht="15.75" customHeight="1" x14ac:dyDescent="0.2">
      <c r="C60" s="15">
        <v>45134</v>
      </c>
      <c r="D60" s="19">
        <v>0.53472222222222221</v>
      </c>
      <c r="E60" s="3">
        <v>85</v>
      </c>
      <c r="F60" s="3">
        <v>10.23</v>
      </c>
      <c r="G60" s="3">
        <v>79.3</v>
      </c>
      <c r="H60" s="2">
        <v>4.5999999999999996</v>
      </c>
      <c r="J60" s="2"/>
      <c r="K60" s="2"/>
      <c r="L60" s="7"/>
      <c r="M60" s="3"/>
      <c r="N60" s="3"/>
    </row>
    <row r="61" spans="3:14" ht="15.75" customHeight="1" x14ac:dyDescent="0.2">
      <c r="C61" s="15"/>
      <c r="D61" s="19"/>
      <c r="E61" s="3"/>
      <c r="F61" s="2"/>
      <c r="G61" s="3"/>
      <c r="H61" s="2"/>
      <c r="J61" s="2"/>
      <c r="K61" s="2"/>
      <c r="L61" s="7"/>
      <c r="M61" s="3"/>
      <c r="N61" s="3"/>
    </row>
    <row r="62" spans="3:14" ht="15.75" customHeight="1" x14ac:dyDescent="0.2">
      <c r="C62" s="15">
        <v>45161</v>
      </c>
      <c r="D62" s="19">
        <v>0.54861111111111105</v>
      </c>
      <c r="E62" s="3"/>
      <c r="F62" s="2"/>
      <c r="G62" s="3"/>
      <c r="H62" s="2"/>
      <c r="J62" s="2">
        <v>8</v>
      </c>
      <c r="K62" s="2">
        <v>12</v>
      </c>
      <c r="L62" s="7"/>
      <c r="M62" s="3"/>
      <c r="N62" s="3"/>
    </row>
    <row r="63" spans="3:14" ht="15.75" customHeight="1" x14ac:dyDescent="0.2">
      <c r="C63" s="15">
        <v>45161</v>
      </c>
      <c r="D63" s="19">
        <v>0.54861111111111105</v>
      </c>
      <c r="E63" s="3">
        <v>0.1</v>
      </c>
      <c r="F63" s="2">
        <v>9.35</v>
      </c>
      <c r="G63" s="3">
        <v>104.6</v>
      </c>
      <c r="H63" s="2">
        <v>21.2</v>
      </c>
      <c r="J63" s="2"/>
      <c r="K63" s="2"/>
      <c r="L63" s="7"/>
      <c r="M63" s="3"/>
      <c r="N63" s="3"/>
    </row>
    <row r="64" spans="3:14" ht="15.75" customHeight="1" x14ac:dyDescent="0.2">
      <c r="C64" s="15">
        <v>45161</v>
      </c>
      <c r="D64" s="19">
        <v>0.54861111111111105</v>
      </c>
      <c r="E64" s="3">
        <v>1</v>
      </c>
      <c r="F64" s="2">
        <v>9.19</v>
      </c>
      <c r="G64" s="3">
        <v>103.8</v>
      </c>
      <c r="H64" s="2">
        <v>21.4</v>
      </c>
      <c r="J64" s="2"/>
      <c r="K64" s="2"/>
      <c r="L64" s="7"/>
      <c r="M64" s="3"/>
      <c r="N64" s="3"/>
    </row>
    <row r="65" spans="3:14" ht="15.75" customHeight="1" x14ac:dyDescent="0.2">
      <c r="C65" s="15">
        <v>45161</v>
      </c>
      <c r="D65" s="19">
        <v>0.54861111111111105</v>
      </c>
      <c r="E65" s="3">
        <v>2</v>
      </c>
      <c r="F65" s="2">
        <v>9.17</v>
      </c>
      <c r="G65" s="3">
        <v>103.7</v>
      </c>
      <c r="H65" s="2">
        <v>21.4</v>
      </c>
      <c r="J65" s="2"/>
      <c r="K65" s="2"/>
      <c r="L65" s="7"/>
      <c r="M65" s="3"/>
      <c r="N65" s="3"/>
    </row>
    <row r="66" spans="3:14" ht="15.75" customHeight="1" x14ac:dyDescent="0.2">
      <c r="C66" s="15">
        <v>45161</v>
      </c>
      <c r="D66" s="19">
        <v>0.54861111111111105</v>
      </c>
      <c r="E66" s="3">
        <v>3</v>
      </c>
      <c r="F66" s="2">
        <v>9.14</v>
      </c>
      <c r="G66" s="3">
        <v>103.4</v>
      </c>
      <c r="H66" s="2">
        <v>21.4</v>
      </c>
      <c r="J66" s="2"/>
      <c r="K66" s="2"/>
      <c r="L66" s="7"/>
      <c r="M66" s="3"/>
      <c r="N66" s="3"/>
    </row>
    <row r="67" spans="3:14" ht="15.75" customHeight="1" x14ac:dyDescent="0.2">
      <c r="C67" s="15">
        <v>45161</v>
      </c>
      <c r="D67" s="19">
        <v>0.54861111111111105</v>
      </c>
      <c r="E67" s="3">
        <v>4</v>
      </c>
      <c r="F67" s="2">
        <v>9.15</v>
      </c>
      <c r="G67" s="3">
        <v>103.2</v>
      </c>
      <c r="H67" s="2">
        <v>21.3</v>
      </c>
      <c r="J67" s="2"/>
      <c r="K67" s="2"/>
      <c r="L67" s="7"/>
      <c r="M67" s="3"/>
      <c r="N67" s="3"/>
    </row>
    <row r="68" spans="3:14" ht="15.75" customHeight="1" x14ac:dyDescent="0.2">
      <c r="C68" s="15">
        <v>45161</v>
      </c>
      <c r="D68" s="19">
        <v>0.54861111111111105</v>
      </c>
      <c r="E68" s="3">
        <v>5</v>
      </c>
      <c r="F68" s="2">
        <v>9.1300000000000008</v>
      </c>
      <c r="G68" s="3">
        <v>103</v>
      </c>
      <c r="H68" s="2">
        <v>21.3</v>
      </c>
      <c r="J68" s="2"/>
      <c r="K68" s="2"/>
      <c r="L68" s="7"/>
      <c r="M68" s="3"/>
      <c r="N68" s="3"/>
    </row>
    <row r="69" spans="3:14" ht="15.75" customHeight="1" x14ac:dyDescent="0.2">
      <c r="C69" s="15">
        <v>45161</v>
      </c>
      <c r="D69" s="19">
        <v>0.54861111111111105</v>
      </c>
      <c r="E69" s="3">
        <v>6</v>
      </c>
      <c r="F69" s="2">
        <v>9.1199999999999992</v>
      </c>
      <c r="G69" s="3">
        <v>102.8</v>
      </c>
      <c r="H69" s="2">
        <v>21.3</v>
      </c>
      <c r="J69" s="2"/>
      <c r="K69" s="2"/>
      <c r="L69" s="7"/>
      <c r="M69" s="3"/>
      <c r="N69" s="3"/>
    </row>
    <row r="70" spans="3:14" ht="15.75" customHeight="1" x14ac:dyDescent="0.2">
      <c r="C70" s="15">
        <v>45161</v>
      </c>
      <c r="D70" s="19">
        <v>0.54861111111111105</v>
      </c>
      <c r="E70" s="3">
        <v>7</v>
      </c>
      <c r="F70" s="2">
        <v>9.1</v>
      </c>
      <c r="G70" s="3">
        <v>102.6</v>
      </c>
      <c r="H70" s="2">
        <v>21.3</v>
      </c>
      <c r="J70" s="2"/>
      <c r="K70" s="2"/>
      <c r="L70" s="7"/>
      <c r="M70" s="3"/>
      <c r="N70" s="3"/>
    </row>
    <row r="71" spans="3:14" ht="15.75" customHeight="1" x14ac:dyDescent="0.2">
      <c r="C71" s="15">
        <v>45161</v>
      </c>
      <c r="D71" s="19">
        <v>0.54861111111111105</v>
      </c>
      <c r="E71" s="3">
        <v>8</v>
      </c>
      <c r="F71" s="2">
        <v>9.11</v>
      </c>
      <c r="G71" s="3">
        <v>102.6</v>
      </c>
      <c r="H71" s="2">
        <v>21.2</v>
      </c>
      <c r="J71" s="2"/>
      <c r="K71" s="2"/>
      <c r="L71" s="7"/>
      <c r="M71" s="3"/>
      <c r="N71" s="3"/>
    </row>
    <row r="72" spans="3:14" ht="15.75" customHeight="1" x14ac:dyDescent="0.2">
      <c r="C72" s="15">
        <v>45161</v>
      </c>
      <c r="D72" s="19">
        <v>0.54861111111111105</v>
      </c>
      <c r="E72" s="3">
        <v>9</v>
      </c>
      <c r="F72" s="2">
        <v>9.16</v>
      </c>
      <c r="G72" s="3">
        <v>102.8</v>
      </c>
      <c r="H72" s="2">
        <v>21</v>
      </c>
      <c r="J72" s="2"/>
      <c r="K72" s="2"/>
      <c r="L72" s="7"/>
      <c r="M72" s="3"/>
      <c r="N72" s="3"/>
    </row>
    <row r="73" spans="3:14" ht="15.75" customHeight="1" x14ac:dyDescent="0.2">
      <c r="C73" s="15">
        <v>45161</v>
      </c>
      <c r="D73" s="19">
        <v>0.54861111111111105</v>
      </c>
      <c r="E73" s="3">
        <v>10</v>
      </c>
      <c r="F73" s="2">
        <v>11.88</v>
      </c>
      <c r="G73" s="3">
        <v>118.5</v>
      </c>
      <c r="H73" s="2">
        <v>15.3</v>
      </c>
      <c r="J73" s="2"/>
      <c r="K73" s="2"/>
      <c r="L73" s="7"/>
      <c r="M73" s="3"/>
      <c r="N73" s="3"/>
    </row>
    <row r="74" spans="3:14" ht="15.75" customHeight="1" x14ac:dyDescent="0.2">
      <c r="C74" s="15">
        <v>45161</v>
      </c>
      <c r="D74" s="19">
        <v>0.54861111111111105</v>
      </c>
      <c r="E74" s="3">
        <v>15</v>
      </c>
      <c r="F74" s="2">
        <v>12.32</v>
      </c>
      <c r="G74" s="3">
        <v>104.5</v>
      </c>
      <c r="H74" s="2">
        <v>8.3000000000000007</v>
      </c>
      <c r="J74" s="2"/>
      <c r="K74" s="2"/>
      <c r="L74" s="7"/>
      <c r="M74" s="3"/>
      <c r="N74" s="3"/>
    </row>
    <row r="75" spans="3:14" ht="15.75" customHeight="1" x14ac:dyDescent="0.2">
      <c r="C75" s="15">
        <v>45161</v>
      </c>
      <c r="D75" s="19">
        <v>0.54861111111111105</v>
      </c>
      <c r="E75" s="3">
        <v>20</v>
      </c>
      <c r="F75" s="2">
        <v>12.23</v>
      </c>
      <c r="G75" s="3">
        <v>99.6</v>
      </c>
      <c r="H75" s="2">
        <v>6.7</v>
      </c>
      <c r="J75" s="2"/>
      <c r="K75" s="2"/>
      <c r="L75" s="7"/>
      <c r="M75" s="3"/>
      <c r="N75" s="3"/>
    </row>
    <row r="76" spans="3:14" ht="15.75" customHeight="1" x14ac:dyDescent="0.2">
      <c r="C76" s="15">
        <v>45161</v>
      </c>
      <c r="D76" s="19">
        <v>0.54861111111111105</v>
      </c>
      <c r="E76" s="3">
        <v>25</v>
      </c>
      <c r="F76" s="2">
        <v>11.94</v>
      </c>
      <c r="G76" s="3">
        <v>95.8</v>
      </c>
      <c r="H76" s="2">
        <v>6</v>
      </c>
      <c r="J76" s="2"/>
      <c r="K76" s="2"/>
      <c r="L76" s="7"/>
      <c r="M76" s="3"/>
      <c r="N76" s="3"/>
    </row>
    <row r="77" spans="3:14" ht="15.75" customHeight="1" x14ac:dyDescent="0.2">
      <c r="C77" s="15">
        <v>45161</v>
      </c>
      <c r="D77" s="19">
        <v>0.54861111111111105</v>
      </c>
      <c r="E77" s="3">
        <v>30</v>
      </c>
      <c r="F77" s="2">
        <v>11.7</v>
      </c>
      <c r="G77" s="3">
        <v>93</v>
      </c>
      <c r="H77" s="2">
        <v>5.7</v>
      </c>
      <c r="J77" s="2"/>
      <c r="K77" s="2"/>
      <c r="L77" s="7"/>
      <c r="M77" s="3"/>
      <c r="N77" s="3"/>
    </row>
    <row r="78" spans="3:14" ht="15.75" customHeight="1" x14ac:dyDescent="0.2">
      <c r="C78" s="15">
        <v>45161</v>
      </c>
      <c r="D78" s="19">
        <v>0.54861111111111105</v>
      </c>
      <c r="E78" s="3">
        <v>35</v>
      </c>
      <c r="F78" s="2">
        <v>11.43</v>
      </c>
      <c r="G78" s="3">
        <v>90.6</v>
      </c>
      <c r="H78" s="2">
        <v>5.5</v>
      </c>
      <c r="J78" s="2"/>
      <c r="K78" s="2"/>
      <c r="L78" s="7"/>
      <c r="M78" s="3"/>
      <c r="N78" s="3"/>
    </row>
    <row r="79" spans="3:14" ht="15.75" customHeight="1" x14ac:dyDescent="0.2">
      <c r="C79" s="15">
        <v>45161</v>
      </c>
      <c r="D79" s="19">
        <v>0.54861111111111105</v>
      </c>
      <c r="E79" s="3">
        <v>40</v>
      </c>
      <c r="F79" s="2">
        <v>11.37</v>
      </c>
      <c r="G79" s="3">
        <v>89.9</v>
      </c>
      <c r="H79" s="2">
        <v>5.4</v>
      </c>
      <c r="J79" s="2"/>
      <c r="K79" s="2"/>
      <c r="L79" s="7"/>
      <c r="M79" s="3"/>
      <c r="N79" s="3"/>
    </row>
    <row r="80" spans="3:14" ht="15.75" customHeight="1" x14ac:dyDescent="0.2">
      <c r="C80" s="15">
        <v>45161</v>
      </c>
      <c r="D80" s="19">
        <v>0.54861111111111105</v>
      </c>
      <c r="E80" s="3">
        <v>45</v>
      </c>
      <c r="F80" s="2">
        <v>11.24</v>
      </c>
      <c r="G80" s="3">
        <v>88.6</v>
      </c>
      <c r="H80" s="2">
        <v>5.3</v>
      </c>
      <c r="J80" s="2"/>
      <c r="K80" s="2"/>
      <c r="L80" s="7"/>
      <c r="M80" s="3"/>
      <c r="N80" s="3"/>
    </row>
    <row r="81" spans="3:14" ht="15.75" customHeight="1" x14ac:dyDescent="0.2">
      <c r="C81" s="15">
        <v>45161</v>
      </c>
      <c r="D81" s="19">
        <v>0.54861111111111105</v>
      </c>
      <c r="E81" s="3">
        <v>50</v>
      </c>
      <c r="F81" s="2">
        <v>11.09</v>
      </c>
      <c r="G81" s="3">
        <v>87.2</v>
      </c>
      <c r="H81" s="2">
        <v>5.2</v>
      </c>
      <c r="J81" s="2"/>
      <c r="K81" s="2"/>
      <c r="L81" s="7"/>
      <c r="M81" s="3"/>
      <c r="N81" s="3"/>
    </row>
    <row r="82" spans="3:14" ht="15.75" customHeight="1" x14ac:dyDescent="0.2">
      <c r="C82" s="15">
        <v>45161</v>
      </c>
      <c r="D82" s="19">
        <v>0.54861111111111105</v>
      </c>
      <c r="E82" s="3">
        <v>55</v>
      </c>
      <c r="F82" s="2">
        <v>10.84</v>
      </c>
      <c r="G82" s="3">
        <v>84.6</v>
      </c>
      <c r="H82" s="2">
        <v>4.9000000000000004</v>
      </c>
      <c r="J82" s="2"/>
      <c r="K82" s="2"/>
      <c r="L82" s="7"/>
      <c r="M82" s="3"/>
      <c r="N82" s="3"/>
    </row>
    <row r="83" spans="3:14" ht="15.75" customHeight="1" x14ac:dyDescent="0.2">
      <c r="C83" s="15">
        <v>45161</v>
      </c>
      <c r="D83" s="19">
        <v>0.54861111111111105</v>
      </c>
      <c r="E83" s="3">
        <v>60</v>
      </c>
      <c r="F83" s="2">
        <v>10.68</v>
      </c>
      <c r="G83" s="3">
        <v>83.2</v>
      </c>
      <c r="H83" s="2">
        <v>4.8</v>
      </c>
      <c r="J83" s="2"/>
      <c r="K83" s="2"/>
      <c r="L83" s="7"/>
      <c r="M83" s="3"/>
      <c r="N83" s="3"/>
    </row>
    <row r="84" spans="3:14" ht="15.75" customHeight="1" x14ac:dyDescent="0.2">
      <c r="C84" s="15">
        <v>45161</v>
      </c>
      <c r="D84" s="19">
        <v>0.54861111111111105</v>
      </c>
      <c r="E84" s="3">
        <v>65</v>
      </c>
      <c r="F84" s="2">
        <v>10.56</v>
      </c>
      <c r="G84" s="3">
        <v>82.3</v>
      </c>
      <c r="H84" s="2">
        <v>4.8</v>
      </c>
      <c r="J84" s="2"/>
      <c r="K84" s="2"/>
      <c r="L84" s="7"/>
      <c r="M84" s="3"/>
      <c r="N84" s="3"/>
    </row>
    <row r="85" spans="3:14" ht="15.75" customHeight="1" x14ac:dyDescent="0.2">
      <c r="C85" s="15">
        <v>45161</v>
      </c>
      <c r="D85" s="19">
        <v>0.54861111111111105</v>
      </c>
      <c r="E85" s="3">
        <v>70</v>
      </c>
      <c r="F85" s="2">
        <v>10.48</v>
      </c>
      <c r="G85" s="3">
        <v>81.7</v>
      </c>
      <c r="H85" s="2">
        <v>4.8</v>
      </c>
      <c r="J85" s="2"/>
      <c r="K85" s="2"/>
      <c r="L85" s="7"/>
      <c r="M85" s="3"/>
      <c r="N85" s="3"/>
    </row>
    <row r="86" spans="3:14" ht="15.75" customHeight="1" x14ac:dyDescent="0.2">
      <c r="C86" s="15">
        <v>45161</v>
      </c>
      <c r="D86" s="19">
        <v>0.54861111111111105</v>
      </c>
      <c r="E86" s="3">
        <v>75</v>
      </c>
      <c r="F86" s="2">
        <v>10.45</v>
      </c>
      <c r="G86" s="3">
        <v>81.2</v>
      </c>
      <c r="H86" s="2">
        <v>4.8</v>
      </c>
      <c r="J86" s="2"/>
      <c r="K86" s="2"/>
      <c r="L86" s="7"/>
      <c r="M86" s="3"/>
      <c r="N86" s="3"/>
    </row>
    <row r="87" spans="3:14" ht="15.75" customHeight="1" x14ac:dyDescent="0.2">
      <c r="C87" s="15">
        <v>45161</v>
      </c>
      <c r="D87" s="19">
        <v>0.54861111111111105</v>
      </c>
      <c r="E87" s="3">
        <v>80</v>
      </c>
      <c r="F87" s="2">
        <v>10.38</v>
      </c>
      <c r="G87" s="3">
        <v>80.599999999999994</v>
      </c>
      <c r="H87" s="2">
        <v>4.7</v>
      </c>
      <c r="J87" s="2"/>
      <c r="K87" s="2"/>
      <c r="L87" s="7"/>
      <c r="M87" s="3"/>
      <c r="N87" s="3"/>
    </row>
    <row r="88" spans="3:14" ht="15.75" customHeight="1" x14ac:dyDescent="0.2">
      <c r="C88" s="15">
        <v>45161</v>
      </c>
      <c r="D88" s="19">
        <v>0.54861111111111105</v>
      </c>
      <c r="E88" s="3">
        <v>85</v>
      </c>
      <c r="F88" s="2">
        <v>10.3</v>
      </c>
      <c r="G88" s="3">
        <v>80</v>
      </c>
      <c r="H88" s="2">
        <v>4.7</v>
      </c>
      <c r="J88" s="2"/>
      <c r="K88" s="2"/>
      <c r="L88" s="7"/>
      <c r="M88" s="3"/>
      <c r="N88" s="3"/>
    </row>
    <row r="89" spans="3:14" ht="15.75" customHeight="1" x14ac:dyDescent="0.2">
      <c r="C89" s="15"/>
      <c r="D89" s="19"/>
      <c r="E89" s="3"/>
      <c r="F89" s="2"/>
      <c r="G89" s="3"/>
      <c r="H89" s="2"/>
      <c r="J89" s="2"/>
      <c r="K89" s="2"/>
      <c r="L89" s="7"/>
      <c r="M89" s="3"/>
      <c r="N89" s="3"/>
    </row>
    <row r="90" spans="3:14" ht="15.75" customHeight="1" x14ac:dyDescent="0.2">
      <c r="C90" s="15">
        <v>45188</v>
      </c>
      <c r="D90" s="19">
        <v>0.51388888888888895</v>
      </c>
      <c r="E90" s="3"/>
      <c r="F90" s="2"/>
      <c r="G90" s="3"/>
      <c r="H90" s="2"/>
      <c r="J90" s="2">
        <v>9</v>
      </c>
      <c r="K90" s="2">
        <v>11.5</v>
      </c>
      <c r="L90" s="7"/>
      <c r="M90" s="3"/>
      <c r="N90" s="3"/>
    </row>
    <row r="91" spans="3:14" ht="15.75" customHeight="1" x14ac:dyDescent="0.2">
      <c r="C91" s="15">
        <v>45188</v>
      </c>
      <c r="D91" s="19">
        <v>0.52083333333333337</v>
      </c>
      <c r="E91" s="3">
        <v>0.1</v>
      </c>
      <c r="F91" s="2">
        <v>9.73</v>
      </c>
      <c r="G91" s="3">
        <v>104.3</v>
      </c>
      <c r="H91" s="2">
        <v>18.7</v>
      </c>
      <c r="J91" s="2"/>
      <c r="K91" s="2"/>
      <c r="L91" s="7"/>
      <c r="M91" s="3"/>
      <c r="N91" s="3"/>
    </row>
    <row r="92" spans="3:14" ht="15.75" customHeight="1" x14ac:dyDescent="0.2">
      <c r="C92" s="15">
        <v>45188</v>
      </c>
      <c r="D92" s="19">
        <v>0.52083333333333337</v>
      </c>
      <c r="E92" s="3">
        <v>1</v>
      </c>
      <c r="F92" s="2">
        <v>9.69</v>
      </c>
      <c r="G92" s="3">
        <v>104.1</v>
      </c>
      <c r="H92" s="2">
        <v>18.8</v>
      </c>
      <c r="J92" s="2"/>
      <c r="K92" s="2"/>
      <c r="L92" s="7"/>
      <c r="M92" s="3"/>
      <c r="N92" s="3"/>
    </row>
    <row r="93" spans="3:14" ht="15.75" customHeight="1" x14ac:dyDescent="0.2">
      <c r="C93" s="15">
        <v>45188</v>
      </c>
      <c r="D93" s="19">
        <v>0.52083333333333337</v>
      </c>
      <c r="E93" s="3">
        <v>2</v>
      </c>
      <c r="F93" s="2">
        <v>9.68</v>
      </c>
      <c r="G93" s="3">
        <v>103.9</v>
      </c>
      <c r="H93" s="2">
        <v>18.8</v>
      </c>
      <c r="J93" s="2"/>
      <c r="K93" s="2"/>
      <c r="L93" s="7"/>
      <c r="M93" s="3"/>
      <c r="N93" s="3"/>
    </row>
    <row r="94" spans="3:14" ht="15.75" customHeight="1" x14ac:dyDescent="0.2">
      <c r="C94" s="15">
        <v>45188</v>
      </c>
      <c r="D94" s="19">
        <v>0.52083333333333337</v>
      </c>
      <c r="E94" s="3">
        <v>3</v>
      </c>
      <c r="F94" s="2">
        <v>9.66</v>
      </c>
      <c r="G94" s="3">
        <v>103.7</v>
      </c>
      <c r="H94" s="2">
        <v>18.8</v>
      </c>
      <c r="J94" s="2"/>
      <c r="K94" s="2"/>
      <c r="L94" s="7"/>
      <c r="M94" s="3"/>
      <c r="N94" s="3"/>
    </row>
    <row r="95" spans="3:14" ht="15.75" customHeight="1" x14ac:dyDescent="0.2">
      <c r="C95" s="15">
        <v>45188</v>
      </c>
      <c r="D95" s="19">
        <v>0.52083333333333337</v>
      </c>
      <c r="E95" s="3">
        <v>4</v>
      </c>
      <c r="F95" s="2">
        <v>9.64</v>
      </c>
      <c r="G95" s="3">
        <v>103.5</v>
      </c>
      <c r="H95" s="2">
        <v>18.8</v>
      </c>
      <c r="J95" s="2"/>
      <c r="K95" s="2"/>
      <c r="L95" s="7"/>
      <c r="M95" s="3"/>
      <c r="N95" s="3"/>
    </row>
    <row r="96" spans="3:14" ht="15.75" customHeight="1" x14ac:dyDescent="0.2">
      <c r="C96" s="15">
        <v>45188</v>
      </c>
      <c r="D96" s="19">
        <v>0.52083333333333337</v>
      </c>
      <c r="E96" s="3">
        <v>5</v>
      </c>
      <c r="F96" s="2">
        <v>9.6199999999999992</v>
      </c>
      <c r="G96" s="3">
        <v>103.2</v>
      </c>
      <c r="H96" s="2">
        <v>18.8</v>
      </c>
      <c r="J96" s="2"/>
      <c r="K96" s="2"/>
      <c r="L96" s="7"/>
      <c r="M96" s="3"/>
      <c r="N96" s="3"/>
    </row>
    <row r="97" spans="3:14" ht="15.75" customHeight="1" x14ac:dyDescent="0.2">
      <c r="C97" s="15">
        <v>45188</v>
      </c>
      <c r="D97" s="19">
        <v>0.52083333333333337</v>
      </c>
      <c r="E97" s="3">
        <v>6</v>
      </c>
      <c r="F97" s="2">
        <v>9.6</v>
      </c>
      <c r="G97" s="3">
        <v>103</v>
      </c>
      <c r="H97" s="2">
        <v>18.8</v>
      </c>
      <c r="J97" s="2"/>
      <c r="K97" s="2"/>
      <c r="L97" s="7"/>
      <c r="M97" s="3"/>
      <c r="N97" s="3"/>
    </row>
    <row r="98" spans="3:14" ht="15.75" customHeight="1" x14ac:dyDescent="0.2">
      <c r="C98" s="15">
        <v>45188</v>
      </c>
      <c r="D98" s="19">
        <v>0.52083333333333337</v>
      </c>
      <c r="E98" s="3">
        <v>7</v>
      </c>
      <c r="F98" s="2">
        <v>9.58</v>
      </c>
      <c r="G98" s="3">
        <v>102.9</v>
      </c>
      <c r="H98" s="2">
        <v>18.8</v>
      </c>
      <c r="J98" s="2"/>
      <c r="K98" s="2"/>
      <c r="L98" s="7"/>
      <c r="M98" s="3"/>
      <c r="N98" s="3"/>
    </row>
    <row r="99" spans="3:14" ht="15.75" customHeight="1" x14ac:dyDescent="0.2">
      <c r="C99" s="15">
        <v>45188</v>
      </c>
      <c r="D99" s="19">
        <v>0.52083333333333337</v>
      </c>
      <c r="E99" s="3">
        <v>8</v>
      </c>
      <c r="F99" s="2">
        <v>9.56</v>
      </c>
      <c r="G99" s="3">
        <v>102.8</v>
      </c>
      <c r="H99" s="2">
        <v>18.8</v>
      </c>
      <c r="J99" s="2"/>
      <c r="K99" s="2"/>
      <c r="L99" s="7"/>
      <c r="M99" s="3"/>
      <c r="N99" s="3"/>
    </row>
    <row r="100" spans="3:14" ht="15.75" customHeight="1" x14ac:dyDescent="0.2">
      <c r="C100" s="15">
        <v>45188</v>
      </c>
      <c r="D100" s="19">
        <v>0.52083333333333337</v>
      </c>
      <c r="E100" s="3">
        <v>9</v>
      </c>
      <c r="F100" s="2">
        <v>9.5399999999999991</v>
      </c>
      <c r="G100" s="3">
        <v>102.5</v>
      </c>
      <c r="H100" s="2">
        <v>18.8</v>
      </c>
      <c r="J100" s="2"/>
      <c r="K100" s="2"/>
      <c r="L100" s="7"/>
      <c r="M100" s="3"/>
      <c r="N100" s="3"/>
    </row>
    <row r="101" spans="3:14" ht="15.75" customHeight="1" x14ac:dyDescent="0.2">
      <c r="C101" s="15">
        <v>45188</v>
      </c>
      <c r="D101" s="19">
        <v>0.52083333333333337</v>
      </c>
      <c r="E101" s="3">
        <v>10</v>
      </c>
      <c r="F101" s="2">
        <v>9.56</v>
      </c>
      <c r="G101" s="3">
        <v>102.4</v>
      </c>
      <c r="H101" s="2">
        <v>18.7</v>
      </c>
      <c r="J101" s="2"/>
      <c r="K101" s="2"/>
      <c r="L101" s="7"/>
      <c r="M101" s="3"/>
      <c r="N101" s="3"/>
    </row>
    <row r="102" spans="3:14" ht="15.75" customHeight="1" x14ac:dyDescent="0.2">
      <c r="C102" s="15">
        <v>45188</v>
      </c>
      <c r="D102" s="19">
        <v>0.52083333333333337</v>
      </c>
      <c r="E102" s="3">
        <v>11</v>
      </c>
      <c r="F102" s="2">
        <v>10.64</v>
      </c>
      <c r="G102" s="3">
        <v>110.8</v>
      </c>
      <c r="H102" s="2">
        <v>17.399999999999999</v>
      </c>
      <c r="J102" s="2"/>
      <c r="K102" s="2"/>
      <c r="L102" s="7"/>
      <c r="M102" s="3"/>
      <c r="N102" s="3"/>
    </row>
    <row r="103" spans="3:14" ht="15.75" customHeight="1" x14ac:dyDescent="0.2">
      <c r="C103" s="15">
        <v>45188</v>
      </c>
      <c r="D103" s="19">
        <v>0.52083333333333337</v>
      </c>
      <c r="E103" s="3">
        <v>12</v>
      </c>
      <c r="F103" s="2">
        <v>13.19</v>
      </c>
      <c r="G103" s="3">
        <v>120.7</v>
      </c>
      <c r="H103" s="2">
        <v>11.3</v>
      </c>
      <c r="J103" s="2"/>
      <c r="K103" s="2"/>
      <c r="L103" s="7"/>
      <c r="M103" s="3"/>
      <c r="N103" s="3"/>
    </row>
    <row r="104" spans="3:14" ht="15.75" customHeight="1" x14ac:dyDescent="0.2">
      <c r="C104" s="15">
        <v>45188</v>
      </c>
      <c r="D104" s="19">
        <v>0.52083333333333337</v>
      </c>
      <c r="E104" s="3">
        <v>15</v>
      </c>
      <c r="F104" s="2">
        <v>12.52</v>
      </c>
      <c r="G104" s="3">
        <v>105</v>
      </c>
      <c r="H104" s="2">
        <v>7.8</v>
      </c>
      <c r="J104" s="2"/>
      <c r="K104" s="2"/>
      <c r="L104" s="7"/>
      <c r="M104" s="3"/>
      <c r="N104" s="3"/>
    </row>
    <row r="105" spans="3:14" ht="15.75" customHeight="1" x14ac:dyDescent="0.2">
      <c r="C105" s="15">
        <v>45188</v>
      </c>
      <c r="D105" s="19">
        <v>0.52083333333333337</v>
      </c>
      <c r="E105" s="3">
        <v>20</v>
      </c>
      <c r="F105" s="2">
        <v>12.01</v>
      </c>
      <c r="G105" s="3">
        <v>97</v>
      </c>
      <c r="H105" s="2">
        <v>6.7</v>
      </c>
      <c r="J105" s="2"/>
      <c r="K105" s="2"/>
      <c r="L105" s="7"/>
      <c r="M105" s="3"/>
      <c r="N105" s="3"/>
    </row>
    <row r="106" spans="3:14" ht="15.75" customHeight="1" x14ac:dyDescent="0.2">
      <c r="C106" s="15">
        <v>45188</v>
      </c>
      <c r="D106" s="19">
        <v>0.52083333333333337</v>
      </c>
      <c r="E106" s="3">
        <v>25</v>
      </c>
      <c r="F106" s="2">
        <v>11.56</v>
      </c>
      <c r="G106" s="3">
        <v>92.3</v>
      </c>
      <c r="H106" s="2">
        <v>5.8</v>
      </c>
      <c r="J106" s="2"/>
      <c r="K106" s="2"/>
      <c r="L106" s="7"/>
      <c r="M106" s="3"/>
      <c r="N106" s="3"/>
    </row>
    <row r="107" spans="3:14" ht="15.75" customHeight="1" x14ac:dyDescent="0.2">
      <c r="C107" s="15">
        <v>45188</v>
      </c>
      <c r="D107" s="19">
        <v>0.52083333333333337</v>
      </c>
      <c r="E107" s="3">
        <v>30</v>
      </c>
      <c r="F107" s="2">
        <v>11.31</v>
      </c>
      <c r="G107" s="3">
        <v>89.9</v>
      </c>
      <c r="H107" s="2">
        <v>5.6</v>
      </c>
      <c r="J107" s="2"/>
      <c r="K107" s="2"/>
      <c r="L107" s="7"/>
      <c r="M107" s="3"/>
      <c r="N107" s="3"/>
    </row>
    <row r="108" spans="3:14" ht="15.75" customHeight="1" x14ac:dyDescent="0.2">
      <c r="C108" s="15">
        <v>45188</v>
      </c>
      <c r="D108" s="19">
        <v>0.52083333333333337</v>
      </c>
      <c r="E108" s="3">
        <v>35</v>
      </c>
      <c r="F108" s="2">
        <v>11.13</v>
      </c>
      <c r="G108" s="3">
        <v>88</v>
      </c>
      <c r="H108" s="2">
        <v>5.4</v>
      </c>
      <c r="J108" s="2"/>
      <c r="K108" s="2"/>
      <c r="L108" s="7"/>
      <c r="M108" s="3"/>
      <c r="N108" s="3"/>
    </row>
    <row r="109" spans="3:14" ht="15.75" customHeight="1" x14ac:dyDescent="0.2">
      <c r="C109" s="15">
        <v>45188</v>
      </c>
      <c r="D109" s="19">
        <v>0.52083333333333337</v>
      </c>
      <c r="E109" s="3">
        <v>40</v>
      </c>
      <c r="F109" s="2">
        <v>10.98</v>
      </c>
      <c r="G109" s="3">
        <v>86.4</v>
      </c>
      <c r="H109" s="2">
        <v>5.2</v>
      </c>
      <c r="J109" s="2"/>
      <c r="K109" s="2"/>
      <c r="L109" s="7"/>
      <c r="M109" s="3"/>
      <c r="N109" s="3"/>
    </row>
    <row r="110" spans="3:14" ht="15.75" customHeight="1" x14ac:dyDescent="0.2">
      <c r="C110" s="15">
        <v>45188</v>
      </c>
      <c r="D110" s="19">
        <v>0.52083333333333337</v>
      </c>
      <c r="E110" s="3">
        <v>50</v>
      </c>
      <c r="F110" s="2">
        <v>10.82</v>
      </c>
      <c r="G110" s="3">
        <v>84.9</v>
      </c>
      <c r="H110" s="2">
        <v>5.0999999999999996</v>
      </c>
      <c r="J110" s="2"/>
      <c r="K110" s="2"/>
      <c r="L110" s="7"/>
      <c r="M110" s="3"/>
      <c r="N110" s="3"/>
    </row>
    <row r="111" spans="3:14" ht="15.75" customHeight="1" x14ac:dyDescent="0.2">
      <c r="C111" s="15">
        <v>45188</v>
      </c>
      <c r="D111" s="19">
        <v>0.52083333333333337</v>
      </c>
      <c r="E111" s="3">
        <v>55</v>
      </c>
      <c r="F111" s="2">
        <v>10.75</v>
      </c>
      <c r="G111" s="3">
        <v>84.2</v>
      </c>
      <c r="H111" s="2">
        <v>5</v>
      </c>
      <c r="J111" s="2"/>
      <c r="K111" s="2"/>
      <c r="L111" s="7"/>
      <c r="M111" s="3"/>
      <c r="N111" s="3"/>
    </row>
    <row r="112" spans="3:14" ht="15.75" customHeight="1" x14ac:dyDescent="0.2">
      <c r="C112" s="15">
        <v>45188</v>
      </c>
      <c r="D112" s="19">
        <v>0.52083333333333337</v>
      </c>
      <c r="E112" s="3">
        <v>60</v>
      </c>
      <c r="F112" s="2">
        <v>10.68</v>
      </c>
      <c r="G112" s="3">
        <v>83.4</v>
      </c>
      <c r="H112" s="2">
        <v>4.9000000000000004</v>
      </c>
      <c r="J112" s="2"/>
      <c r="K112" s="2"/>
      <c r="L112" s="7"/>
      <c r="M112" s="3"/>
      <c r="N112" s="3"/>
    </row>
    <row r="113" spans="3:14" ht="15.75" customHeight="1" x14ac:dyDescent="0.2">
      <c r="C113" s="15">
        <v>45188</v>
      </c>
      <c r="D113" s="19">
        <v>0.52083333333333337</v>
      </c>
      <c r="E113" s="3">
        <v>65</v>
      </c>
      <c r="F113" s="2">
        <v>10.57</v>
      </c>
      <c r="G113" s="3">
        <v>82.3</v>
      </c>
      <c r="H113" s="2">
        <v>4.8</v>
      </c>
      <c r="J113" s="2"/>
      <c r="K113" s="2"/>
      <c r="L113" s="7"/>
      <c r="M113" s="3"/>
      <c r="N113" s="3"/>
    </row>
    <row r="114" spans="3:14" ht="15.75" customHeight="1" x14ac:dyDescent="0.2">
      <c r="C114" s="15">
        <v>45188</v>
      </c>
      <c r="D114" s="19">
        <v>0.52083333333333337</v>
      </c>
      <c r="E114" s="3">
        <v>70</v>
      </c>
      <c r="F114" s="2">
        <v>10.7</v>
      </c>
      <c r="G114" s="3">
        <v>83.2</v>
      </c>
      <c r="H114" s="2">
        <v>4.7</v>
      </c>
      <c r="J114" s="2"/>
      <c r="K114" s="2"/>
      <c r="L114" s="7"/>
      <c r="M114" s="3"/>
      <c r="N114" s="3"/>
    </row>
    <row r="115" spans="3:14" ht="15.75" customHeight="1" x14ac:dyDescent="0.2">
      <c r="C115" s="15">
        <v>45188</v>
      </c>
      <c r="D115" s="19">
        <v>0.52083333333333337</v>
      </c>
      <c r="E115" s="3">
        <v>75</v>
      </c>
      <c r="F115" s="2">
        <v>10.63</v>
      </c>
      <c r="G115" s="3">
        <v>82.5</v>
      </c>
      <c r="H115" s="2">
        <v>4.7</v>
      </c>
      <c r="J115" s="2"/>
      <c r="K115" s="2"/>
      <c r="L115" s="7"/>
      <c r="M115" s="3"/>
      <c r="N115" s="3"/>
    </row>
    <row r="116" spans="3:14" ht="15.75" customHeight="1" x14ac:dyDescent="0.2">
      <c r="C116" s="15">
        <v>45188</v>
      </c>
      <c r="D116" s="19">
        <v>0.52083333333333337</v>
      </c>
      <c r="E116" s="3">
        <v>80</v>
      </c>
      <c r="F116" s="2">
        <v>10.52</v>
      </c>
      <c r="G116" s="3">
        <v>81.7</v>
      </c>
      <c r="H116" s="2">
        <v>4.7</v>
      </c>
      <c r="J116" s="2"/>
      <c r="K116" s="2"/>
      <c r="L116" s="7"/>
      <c r="M116" s="3"/>
      <c r="N116" s="3"/>
    </row>
    <row r="117" spans="3:14" ht="15.75" customHeight="1" x14ac:dyDescent="0.2">
      <c r="C117" s="15">
        <v>45188</v>
      </c>
      <c r="D117" s="19">
        <v>0.52083333333333337</v>
      </c>
      <c r="E117" s="3">
        <v>85</v>
      </c>
      <c r="F117" s="2">
        <v>10.43</v>
      </c>
      <c r="G117" s="3">
        <v>80.3</v>
      </c>
      <c r="H117" s="2">
        <v>4.5999999999999996</v>
      </c>
      <c r="J117" s="2"/>
      <c r="K117" s="2"/>
      <c r="L117" s="7"/>
      <c r="M117" s="3"/>
      <c r="N117" s="3"/>
    </row>
    <row r="118" spans="3:14" ht="15.75" customHeight="1" x14ac:dyDescent="0.2">
      <c r="C118" s="15">
        <v>45188</v>
      </c>
      <c r="D118" s="19">
        <v>0.52083333333333337</v>
      </c>
      <c r="E118" s="3">
        <v>90</v>
      </c>
      <c r="F118" s="2">
        <v>10.32</v>
      </c>
      <c r="G118" s="3">
        <v>80</v>
      </c>
      <c r="H118" s="2">
        <v>4.5999999999999996</v>
      </c>
      <c r="J118" s="2"/>
      <c r="K118" s="2"/>
      <c r="L118" s="7"/>
      <c r="M118" s="3"/>
      <c r="N118" s="3"/>
    </row>
    <row r="119" spans="3:14" ht="15.75" customHeight="1" x14ac:dyDescent="0.2">
      <c r="C119" s="3"/>
      <c r="D119" s="3"/>
      <c r="E119" s="3"/>
      <c r="F119" s="2"/>
      <c r="G119" s="3"/>
      <c r="H119" s="2"/>
      <c r="J119" s="2"/>
      <c r="K119" s="2"/>
      <c r="L119" s="7"/>
      <c r="M119" s="3"/>
      <c r="N119" s="3"/>
    </row>
    <row r="120" spans="3:14" ht="15.75" customHeight="1" x14ac:dyDescent="0.2">
      <c r="C120" s="3"/>
      <c r="D120" s="3"/>
      <c r="E120" s="3"/>
      <c r="F120" s="2"/>
      <c r="G120" s="3"/>
      <c r="H120" s="2"/>
      <c r="J120" s="2"/>
      <c r="K120" s="2"/>
      <c r="L120" s="7"/>
      <c r="M120" s="3"/>
      <c r="N120" s="3"/>
    </row>
    <row r="121" spans="3:14" ht="15.75" customHeight="1" x14ac:dyDescent="0.2">
      <c r="C121" s="52">
        <v>44369</v>
      </c>
      <c r="D121" s="19">
        <v>0.53125</v>
      </c>
      <c r="E121" s="3"/>
      <c r="H121" s="3"/>
      <c r="J121" s="1">
        <v>8</v>
      </c>
      <c r="K121" s="1">
        <v>10.5</v>
      </c>
      <c r="L121" s="7"/>
      <c r="M121" s="3"/>
      <c r="N121" s="3"/>
    </row>
    <row r="122" spans="3:14" ht="15.75" customHeight="1" x14ac:dyDescent="0.2">
      <c r="C122" s="52">
        <v>44369</v>
      </c>
      <c r="D122" s="19">
        <v>0.55208333333333337</v>
      </c>
      <c r="E122" s="3">
        <v>0.1</v>
      </c>
      <c r="F122" s="216">
        <v>7.92</v>
      </c>
      <c r="G122" s="216">
        <v>86.7</v>
      </c>
      <c r="H122" s="3">
        <v>19.8</v>
      </c>
      <c r="I122" s="1">
        <v>19.8</v>
      </c>
      <c r="J122" s="3"/>
      <c r="K122" s="3"/>
      <c r="L122" s="7"/>
      <c r="M122" s="3"/>
      <c r="N122" s="3"/>
    </row>
    <row r="123" spans="3:14" ht="15.75" customHeight="1" x14ac:dyDescent="0.2">
      <c r="C123" s="52">
        <v>44369</v>
      </c>
      <c r="D123" s="19">
        <v>0.55208333333333337</v>
      </c>
      <c r="E123" s="3">
        <v>1</v>
      </c>
      <c r="F123" s="216">
        <v>7.97</v>
      </c>
      <c r="G123" s="216">
        <v>86.9</v>
      </c>
      <c r="H123" s="3">
        <v>19.600000000000001</v>
      </c>
      <c r="I123" s="1">
        <v>19.600000000000001</v>
      </c>
      <c r="J123" s="3"/>
      <c r="K123" s="3"/>
      <c r="L123" s="7"/>
      <c r="M123" s="3"/>
      <c r="N123" s="3"/>
    </row>
    <row r="124" spans="3:14" ht="15.75" customHeight="1" x14ac:dyDescent="0.2">
      <c r="C124" s="52">
        <v>44369</v>
      </c>
      <c r="D124" s="19">
        <v>0.55208333333333337</v>
      </c>
      <c r="E124" s="3">
        <v>2</v>
      </c>
      <c r="F124" s="216">
        <v>8.11</v>
      </c>
      <c r="G124" s="216">
        <v>87.2</v>
      </c>
      <c r="H124" s="3">
        <v>18.7</v>
      </c>
      <c r="I124" s="1">
        <v>18.7</v>
      </c>
      <c r="J124" s="3"/>
      <c r="K124" s="3"/>
      <c r="L124" s="7"/>
      <c r="M124" s="3"/>
      <c r="N124" s="3"/>
    </row>
    <row r="125" spans="3:14" ht="15.75" customHeight="1" x14ac:dyDescent="0.2">
      <c r="C125" s="52">
        <v>44369</v>
      </c>
      <c r="D125" s="19">
        <v>0.55208333333333337</v>
      </c>
      <c r="E125" s="3">
        <v>3</v>
      </c>
      <c r="F125" s="216">
        <v>8.32</v>
      </c>
      <c r="G125" s="216">
        <v>87.4</v>
      </c>
      <c r="H125" s="3">
        <v>17.7</v>
      </c>
      <c r="I125" s="1">
        <v>17.7</v>
      </c>
      <c r="J125" s="3"/>
      <c r="K125" s="3"/>
      <c r="L125" s="7"/>
      <c r="M125" s="3"/>
      <c r="N125" s="3"/>
    </row>
    <row r="126" spans="3:14" ht="15.75" customHeight="1" x14ac:dyDescent="0.2">
      <c r="C126" s="52">
        <v>44369</v>
      </c>
      <c r="D126" s="19">
        <v>0.55208333333333337</v>
      </c>
      <c r="E126" s="3">
        <v>4</v>
      </c>
      <c r="F126" s="216">
        <v>8.3699999999999992</v>
      </c>
      <c r="G126" s="216">
        <v>87.3</v>
      </c>
      <c r="H126" s="3">
        <v>17.3</v>
      </c>
      <c r="I126" s="1">
        <v>17.3</v>
      </c>
      <c r="J126" s="3"/>
      <c r="K126" s="3"/>
      <c r="L126" s="7"/>
      <c r="M126" s="3"/>
      <c r="N126" s="3"/>
    </row>
    <row r="127" spans="3:14" ht="15.75" customHeight="1" x14ac:dyDescent="0.2">
      <c r="C127" s="52">
        <v>44369</v>
      </c>
      <c r="D127" s="19">
        <v>0.55208333333333337</v>
      </c>
      <c r="E127" s="3">
        <v>5</v>
      </c>
      <c r="F127" s="216">
        <v>8.44</v>
      </c>
      <c r="G127" s="190">
        <v>86.9</v>
      </c>
      <c r="H127" s="3">
        <v>17</v>
      </c>
      <c r="I127" s="1">
        <v>17</v>
      </c>
      <c r="J127" s="3"/>
      <c r="K127" s="3"/>
      <c r="L127" s="7"/>
      <c r="M127" s="3"/>
      <c r="N127" s="3"/>
    </row>
    <row r="128" spans="3:14" ht="15.75" customHeight="1" x14ac:dyDescent="0.2">
      <c r="C128" s="52">
        <v>44369</v>
      </c>
      <c r="D128" s="19">
        <v>0.55208333333333337</v>
      </c>
      <c r="E128" s="3">
        <v>6</v>
      </c>
      <c r="F128" s="216">
        <v>8.43</v>
      </c>
      <c r="G128" s="190">
        <v>87.2</v>
      </c>
      <c r="H128" s="3">
        <v>16.8</v>
      </c>
      <c r="I128" s="1">
        <v>16.8</v>
      </c>
      <c r="J128" s="3"/>
      <c r="K128" s="3"/>
      <c r="L128" s="7"/>
      <c r="M128" s="3"/>
      <c r="N128" s="3"/>
    </row>
    <row r="129" spans="3:14" ht="15.75" customHeight="1" x14ac:dyDescent="0.2">
      <c r="C129" s="52">
        <v>44369</v>
      </c>
      <c r="D129" s="19">
        <v>0.55208333333333337</v>
      </c>
      <c r="E129" s="3">
        <v>7</v>
      </c>
      <c r="F129" s="216">
        <v>8.44</v>
      </c>
      <c r="G129" s="190">
        <v>86.6</v>
      </c>
      <c r="H129" s="3">
        <v>16.600000000000001</v>
      </c>
      <c r="I129" s="65">
        <f>AVERAGE(I122:I128)</f>
        <v>18.12857142857143</v>
      </c>
      <c r="J129" s="3"/>
      <c r="K129" s="3"/>
      <c r="L129" s="7"/>
      <c r="M129" s="3"/>
      <c r="N129" s="3"/>
    </row>
    <row r="130" spans="3:14" ht="15.75" customHeight="1" x14ac:dyDescent="0.2">
      <c r="C130" s="52">
        <v>44369</v>
      </c>
      <c r="D130" s="19">
        <v>0.55208333333333337</v>
      </c>
      <c r="E130" s="3">
        <v>9</v>
      </c>
      <c r="F130" s="216">
        <v>8.51</v>
      </c>
      <c r="G130" s="190">
        <v>86.1</v>
      </c>
      <c r="H130" s="3">
        <v>15.9</v>
      </c>
      <c r="J130" s="3"/>
      <c r="K130" s="3"/>
      <c r="L130" s="7"/>
      <c r="M130" s="3"/>
      <c r="N130" s="3"/>
    </row>
    <row r="131" spans="3:14" ht="15.75" customHeight="1" x14ac:dyDescent="0.2">
      <c r="C131" s="52">
        <v>44369</v>
      </c>
      <c r="D131" s="19">
        <v>0.55208333333333337</v>
      </c>
      <c r="E131" s="3">
        <v>11</v>
      </c>
      <c r="F131" s="216">
        <v>8.75</v>
      </c>
      <c r="G131" s="190">
        <v>84.7</v>
      </c>
      <c r="H131" s="3">
        <v>14</v>
      </c>
      <c r="J131" s="3"/>
      <c r="K131" s="3"/>
      <c r="L131" s="7"/>
      <c r="M131" s="3"/>
      <c r="N131" s="3"/>
    </row>
    <row r="132" spans="3:14" ht="15.75" customHeight="1" x14ac:dyDescent="0.2">
      <c r="C132" s="52">
        <v>44369</v>
      </c>
      <c r="D132" s="19">
        <v>0.55208333333333337</v>
      </c>
      <c r="E132" s="3">
        <v>13</v>
      </c>
      <c r="F132" s="216">
        <v>9.0299999999999994</v>
      </c>
      <c r="G132" s="190">
        <v>85.1</v>
      </c>
      <c r="H132" s="3">
        <v>12.4</v>
      </c>
      <c r="J132" s="3"/>
      <c r="K132" s="3"/>
      <c r="L132" s="7"/>
      <c r="M132" s="3"/>
      <c r="N132" s="3"/>
    </row>
    <row r="133" spans="3:14" ht="15.75" customHeight="1" x14ac:dyDescent="0.2">
      <c r="C133" s="52">
        <v>44369</v>
      </c>
      <c r="D133" s="19">
        <v>0.55208333333333337</v>
      </c>
      <c r="E133" s="3">
        <v>15</v>
      </c>
      <c r="F133" s="216">
        <v>9.0399999999999991</v>
      </c>
      <c r="G133" s="190">
        <v>85.9</v>
      </c>
      <c r="H133" s="3">
        <v>12.7</v>
      </c>
      <c r="J133" s="3"/>
      <c r="K133" s="3"/>
      <c r="L133" s="7"/>
      <c r="M133" s="3"/>
      <c r="N133" s="3"/>
    </row>
    <row r="134" spans="3:14" ht="15.75" customHeight="1" x14ac:dyDescent="0.2">
      <c r="C134" s="52">
        <v>44369</v>
      </c>
      <c r="D134" s="19">
        <v>0.55208333333333337</v>
      </c>
      <c r="E134" s="3">
        <v>17</v>
      </c>
      <c r="F134" s="216">
        <v>9.07</v>
      </c>
      <c r="G134" s="190">
        <v>84.3</v>
      </c>
      <c r="H134" s="3">
        <v>12</v>
      </c>
      <c r="J134" s="3"/>
      <c r="K134" s="3"/>
      <c r="L134" s="7"/>
      <c r="M134" s="3"/>
      <c r="N134" s="3"/>
    </row>
    <row r="135" spans="3:14" ht="15.75" customHeight="1" x14ac:dyDescent="0.2">
      <c r="C135" s="52">
        <v>44369</v>
      </c>
      <c r="D135" s="19">
        <v>0.55208333333333337</v>
      </c>
      <c r="E135" s="3">
        <v>19</v>
      </c>
      <c r="F135" s="216">
        <v>9.18</v>
      </c>
      <c r="G135" s="190">
        <v>83.5</v>
      </c>
      <c r="H135" s="3">
        <v>11.2</v>
      </c>
      <c r="J135" s="3"/>
      <c r="K135" s="3"/>
      <c r="L135" s="7"/>
      <c r="M135" s="3"/>
      <c r="N135" s="3"/>
    </row>
    <row r="136" spans="3:14" ht="15.75" customHeight="1" x14ac:dyDescent="0.2">
      <c r="C136" s="52">
        <v>44369</v>
      </c>
      <c r="D136" s="19">
        <v>0.55208333333333337</v>
      </c>
      <c r="E136" s="3">
        <v>21</v>
      </c>
      <c r="F136" s="216">
        <v>9.27</v>
      </c>
      <c r="G136" s="190">
        <v>83.3</v>
      </c>
      <c r="H136" s="3">
        <v>10.4</v>
      </c>
      <c r="J136" s="3"/>
      <c r="K136" s="3"/>
      <c r="L136" s="7"/>
      <c r="M136" s="3"/>
      <c r="N136" s="3"/>
    </row>
    <row r="137" spans="3:14" ht="15.75" customHeight="1" x14ac:dyDescent="0.2">
      <c r="C137" s="52">
        <v>44369</v>
      </c>
      <c r="D137" s="19">
        <v>0.55208333333333337</v>
      </c>
      <c r="E137" s="3">
        <v>23</v>
      </c>
      <c r="F137" s="216">
        <v>9.3000000000000007</v>
      </c>
      <c r="G137" s="190">
        <v>83.2</v>
      </c>
      <c r="H137" s="3">
        <v>10.4</v>
      </c>
      <c r="J137" s="3"/>
      <c r="K137" s="3"/>
      <c r="L137" s="7"/>
      <c r="M137" s="3"/>
      <c r="N137" s="3"/>
    </row>
    <row r="138" spans="3:14" ht="15.75" customHeight="1" x14ac:dyDescent="0.2">
      <c r="C138" s="52">
        <v>44369</v>
      </c>
      <c r="D138" s="19">
        <v>0.55208333333333337</v>
      </c>
      <c r="E138" s="3">
        <v>25</v>
      </c>
      <c r="F138" s="216">
        <v>9.3000000000000007</v>
      </c>
      <c r="G138" s="190">
        <v>82.2</v>
      </c>
      <c r="H138" s="3">
        <v>9.9</v>
      </c>
      <c r="J138" s="3"/>
      <c r="K138" s="3"/>
      <c r="L138" s="7"/>
      <c r="M138" s="3"/>
      <c r="N138" s="3"/>
    </row>
    <row r="139" spans="3:14" ht="15.75" customHeight="1" x14ac:dyDescent="0.2">
      <c r="C139" s="52">
        <v>44369</v>
      </c>
      <c r="D139" s="19">
        <v>0.55208333333333337</v>
      </c>
      <c r="E139" s="3">
        <v>27</v>
      </c>
      <c r="F139" s="216">
        <v>9.4</v>
      </c>
      <c r="G139" s="190">
        <v>79.7</v>
      </c>
      <c r="H139" s="3">
        <v>8.3000000000000007</v>
      </c>
      <c r="J139" s="3"/>
      <c r="K139" s="3"/>
      <c r="L139" s="7"/>
      <c r="M139" s="3"/>
      <c r="N139" s="3"/>
    </row>
    <row r="140" spans="3:14" ht="15.75" customHeight="1" x14ac:dyDescent="0.2">
      <c r="C140" s="52">
        <v>44369</v>
      </c>
      <c r="D140" s="19">
        <v>0.55208333333333337</v>
      </c>
      <c r="E140" s="3">
        <v>29</v>
      </c>
      <c r="F140" s="216">
        <v>9.42</v>
      </c>
      <c r="G140" s="190">
        <v>79.099999999999994</v>
      </c>
      <c r="H140" s="3">
        <v>7.6</v>
      </c>
      <c r="J140" s="3"/>
      <c r="K140" s="3"/>
      <c r="L140" s="7"/>
      <c r="M140" s="3"/>
      <c r="N140" s="3"/>
    </row>
    <row r="141" spans="3:14" ht="15.75" customHeight="1" x14ac:dyDescent="0.2">
      <c r="C141" s="52">
        <v>44369</v>
      </c>
      <c r="D141" s="19">
        <v>0.55208333333333337</v>
      </c>
      <c r="E141" s="3">
        <v>31</v>
      </c>
      <c r="F141" s="216">
        <v>9.44</v>
      </c>
      <c r="G141" s="190">
        <v>78.900000000000006</v>
      </c>
      <c r="H141" s="3">
        <v>7.5</v>
      </c>
      <c r="J141" s="3"/>
      <c r="K141" s="3"/>
      <c r="L141" s="7"/>
      <c r="M141" s="3"/>
      <c r="N141" s="3"/>
    </row>
    <row r="142" spans="3:14" ht="15.75" customHeight="1" x14ac:dyDescent="0.2">
      <c r="C142" s="52">
        <v>44369</v>
      </c>
      <c r="D142" s="19">
        <v>0.55208333333333337</v>
      </c>
      <c r="E142" s="3">
        <v>33</v>
      </c>
      <c r="F142" s="216">
        <v>9.42</v>
      </c>
      <c r="G142" s="190">
        <v>77.7</v>
      </c>
      <c r="H142" s="3">
        <v>7.2</v>
      </c>
      <c r="J142" s="3"/>
      <c r="K142" s="3"/>
      <c r="L142" s="7"/>
      <c r="M142" s="3"/>
      <c r="N142" s="3"/>
    </row>
    <row r="143" spans="3:14" ht="15.75" customHeight="1" x14ac:dyDescent="0.2">
      <c r="C143" s="52">
        <v>44369</v>
      </c>
      <c r="D143" s="19">
        <v>0.55208333333333337</v>
      </c>
      <c r="E143" s="3">
        <v>35</v>
      </c>
      <c r="F143" s="216">
        <v>9.43</v>
      </c>
      <c r="G143" s="190">
        <v>77.5</v>
      </c>
      <c r="H143" s="3">
        <v>6.9</v>
      </c>
      <c r="J143" s="3"/>
      <c r="K143" s="3"/>
      <c r="L143" s="7"/>
      <c r="M143" s="3"/>
      <c r="N143" s="3"/>
    </row>
    <row r="144" spans="3:14" ht="15.75" customHeight="1" x14ac:dyDescent="0.2">
      <c r="C144" s="52">
        <v>44369</v>
      </c>
      <c r="D144" s="19">
        <v>0.55208333333333337</v>
      </c>
      <c r="E144" s="3">
        <v>37</v>
      </c>
      <c r="F144" s="216">
        <v>9.43</v>
      </c>
      <c r="G144" s="190">
        <v>77.3</v>
      </c>
      <c r="H144" s="3">
        <v>6.8</v>
      </c>
      <c r="J144" s="3"/>
      <c r="K144" s="3"/>
      <c r="L144" s="7"/>
      <c r="M144" s="3"/>
      <c r="N144" s="3"/>
    </row>
    <row r="145" spans="3:14" ht="15.75" customHeight="1" x14ac:dyDescent="0.2">
      <c r="C145" s="52">
        <v>44369</v>
      </c>
      <c r="D145" s="19">
        <v>0.55208333333333337</v>
      </c>
      <c r="E145" s="3">
        <v>39</v>
      </c>
      <c r="F145" s="216">
        <v>9.42</v>
      </c>
      <c r="G145" s="190">
        <v>77.2</v>
      </c>
      <c r="H145" s="3">
        <v>6.8</v>
      </c>
      <c r="J145" s="3"/>
      <c r="K145" s="3"/>
      <c r="L145" s="7"/>
      <c r="M145" s="3"/>
      <c r="N145" s="3"/>
    </row>
    <row r="146" spans="3:14" ht="15.75" customHeight="1" x14ac:dyDescent="0.2">
      <c r="C146" s="52">
        <v>44369</v>
      </c>
      <c r="D146" s="19">
        <v>0.55208333333333337</v>
      </c>
      <c r="E146" s="3">
        <v>41</v>
      </c>
      <c r="F146" s="216">
        <v>9.3800000000000008</v>
      </c>
      <c r="G146" s="216">
        <v>76.400000000000006</v>
      </c>
      <c r="H146" s="3">
        <v>6.7</v>
      </c>
      <c r="J146" s="3"/>
      <c r="K146" s="3"/>
      <c r="L146" s="7"/>
      <c r="M146" s="3"/>
      <c r="N146" s="3"/>
    </row>
    <row r="147" spans="3:14" ht="15.75" customHeight="1" x14ac:dyDescent="0.2">
      <c r="C147" s="52">
        <v>44369</v>
      </c>
      <c r="D147" s="19">
        <v>0.55208333333333337</v>
      </c>
      <c r="E147" s="3">
        <v>43</v>
      </c>
      <c r="F147" s="216">
        <v>9.31</v>
      </c>
      <c r="G147" s="216">
        <v>75.099999999999994</v>
      </c>
      <c r="H147" s="3">
        <v>6.3</v>
      </c>
      <c r="J147" s="3"/>
      <c r="K147" s="3"/>
      <c r="L147" s="7"/>
      <c r="M147" s="3"/>
      <c r="N147" s="3"/>
    </row>
    <row r="148" spans="3:14" ht="15.75" customHeight="1" x14ac:dyDescent="0.2">
      <c r="C148" s="52">
        <v>44369</v>
      </c>
      <c r="D148" s="19">
        <v>0.55208333333333337</v>
      </c>
      <c r="E148" s="3">
        <v>45</v>
      </c>
      <c r="F148" s="216">
        <v>9.27</v>
      </c>
      <c r="G148" s="190">
        <v>73.900000000000006</v>
      </c>
      <c r="H148" s="3">
        <v>5.7</v>
      </c>
      <c r="J148" s="3"/>
      <c r="K148" s="3"/>
      <c r="L148" s="7"/>
      <c r="M148" s="3"/>
      <c r="N148" s="3"/>
    </row>
    <row r="149" spans="3:14" ht="15.75" customHeight="1" x14ac:dyDescent="0.2">
      <c r="C149" s="52">
        <v>44369</v>
      </c>
      <c r="D149" s="19">
        <v>0.55208333333333337</v>
      </c>
      <c r="E149" s="3">
        <v>47</v>
      </c>
      <c r="F149" s="216">
        <v>9.2200000000000006</v>
      </c>
      <c r="G149" s="190">
        <v>73.400000000000006</v>
      </c>
      <c r="H149" s="3">
        <v>5.7</v>
      </c>
      <c r="J149" s="3"/>
      <c r="K149" s="3"/>
      <c r="L149" s="7"/>
      <c r="M149" s="3"/>
      <c r="N149" s="3"/>
    </row>
    <row r="150" spans="3:14" ht="15.75" customHeight="1" x14ac:dyDescent="0.2">
      <c r="C150" s="52">
        <v>44369</v>
      </c>
      <c r="D150" s="19">
        <v>0.55208333333333337</v>
      </c>
      <c r="E150" s="3">
        <v>49</v>
      </c>
      <c r="F150" s="216">
        <v>9.19</v>
      </c>
      <c r="G150" s="190">
        <v>72.8</v>
      </c>
      <c r="H150" s="3">
        <v>5.5</v>
      </c>
      <c r="J150" s="3"/>
      <c r="K150" s="3"/>
      <c r="L150" s="7"/>
      <c r="M150" s="3"/>
      <c r="N150" s="3"/>
    </row>
    <row r="151" spans="3:14" ht="15.75" customHeight="1" x14ac:dyDescent="0.2">
      <c r="C151" s="52">
        <v>44369</v>
      </c>
      <c r="D151" s="19">
        <v>0.55208333333333337</v>
      </c>
      <c r="E151" s="3">
        <v>51</v>
      </c>
      <c r="F151" s="216">
        <v>9.14</v>
      </c>
      <c r="G151" s="190">
        <v>72.5</v>
      </c>
      <c r="H151" s="3">
        <v>5.5</v>
      </c>
      <c r="J151" s="3"/>
      <c r="K151" s="3"/>
      <c r="L151" s="7"/>
      <c r="M151" s="3"/>
      <c r="N151" s="3"/>
    </row>
    <row r="152" spans="3:14" ht="15.75" customHeight="1" x14ac:dyDescent="0.2">
      <c r="C152" s="52">
        <v>44369</v>
      </c>
      <c r="D152" s="19">
        <v>0.55208333333333337</v>
      </c>
      <c r="E152" s="3">
        <v>53</v>
      </c>
      <c r="F152" s="216">
        <v>9.15</v>
      </c>
      <c r="G152" s="190">
        <v>72.8</v>
      </c>
      <c r="H152" s="3">
        <v>5.5</v>
      </c>
      <c r="J152" s="3"/>
      <c r="K152" s="3"/>
      <c r="L152" s="7"/>
      <c r="M152" s="3"/>
      <c r="N152" s="3"/>
    </row>
    <row r="153" spans="3:14" ht="15.75" customHeight="1" x14ac:dyDescent="0.2">
      <c r="C153" s="52">
        <v>44369</v>
      </c>
      <c r="D153" s="19">
        <v>0.55208333333333337</v>
      </c>
      <c r="E153" s="3">
        <v>55</v>
      </c>
      <c r="F153" s="216">
        <v>9.19</v>
      </c>
      <c r="G153" s="190">
        <v>73.099999999999994</v>
      </c>
      <c r="H153" s="3">
        <v>5.6</v>
      </c>
      <c r="J153" s="3"/>
      <c r="K153" s="3"/>
      <c r="L153" s="7"/>
      <c r="M153" s="3"/>
      <c r="N153" s="3"/>
    </row>
    <row r="154" spans="3:14" ht="15.75" customHeight="1" x14ac:dyDescent="0.2">
      <c r="C154" s="52">
        <v>44369</v>
      </c>
      <c r="D154" s="19">
        <v>0.55208333333333337</v>
      </c>
      <c r="E154" s="3">
        <v>57</v>
      </c>
      <c r="F154" s="216">
        <v>9.19</v>
      </c>
      <c r="G154" s="190">
        <v>73.099999999999994</v>
      </c>
      <c r="H154" s="3">
        <v>5.6</v>
      </c>
      <c r="J154" s="3"/>
      <c r="K154" s="3"/>
      <c r="L154" s="7"/>
      <c r="M154" s="3"/>
      <c r="N154" s="3"/>
    </row>
    <row r="155" spans="3:14" ht="15.75" customHeight="1" x14ac:dyDescent="0.2">
      <c r="C155" s="52">
        <v>44369</v>
      </c>
      <c r="D155" s="19">
        <v>0.55208333333333337</v>
      </c>
      <c r="E155" s="3">
        <v>59</v>
      </c>
      <c r="F155" s="216">
        <v>9.18</v>
      </c>
      <c r="G155" s="190">
        <v>73</v>
      </c>
      <c r="H155" s="3">
        <v>5.6</v>
      </c>
      <c r="J155" s="3"/>
      <c r="K155" s="3"/>
      <c r="L155" s="7"/>
      <c r="M155" s="3"/>
      <c r="N155" s="3"/>
    </row>
    <row r="156" spans="3:14" ht="15.75" customHeight="1" x14ac:dyDescent="0.2">
      <c r="C156" s="52">
        <v>44369</v>
      </c>
      <c r="D156" s="19">
        <v>0.55208333333333337</v>
      </c>
      <c r="E156" s="3">
        <v>61</v>
      </c>
      <c r="F156" s="216">
        <v>9.16</v>
      </c>
      <c r="G156" s="190">
        <v>72.599999999999994</v>
      </c>
      <c r="H156" s="3">
        <v>5.5</v>
      </c>
      <c r="J156" s="3"/>
      <c r="K156" s="3"/>
      <c r="L156" s="7"/>
      <c r="M156" s="3"/>
      <c r="N156" s="3"/>
    </row>
    <row r="157" spans="3:14" ht="15.75" customHeight="1" x14ac:dyDescent="0.2">
      <c r="C157" s="52">
        <v>44369</v>
      </c>
      <c r="D157" s="19">
        <v>0.55208333333333337</v>
      </c>
      <c r="E157" s="3">
        <v>63</v>
      </c>
      <c r="F157" s="216">
        <v>9.1199999999999992</v>
      </c>
      <c r="G157" s="190">
        <v>72.3</v>
      </c>
      <c r="H157" s="3">
        <v>5.5</v>
      </c>
      <c r="J157" s="3"/>
      <c r="K157" s="3"/>
      <c r="L157" s="7"/>
      <c r="M157" s="3"/>
      <c r="N157" s="3"/>
    </row>
    <row r="158" spans="3:14" ht="15.75" customHeight="1" x14ac:dyDescent="0.2">
      <c r="C158" s="52">
        <v>44369</v>
      </c>
      <c r="D158" s="19">
        <v>0.55208333333333337</v>
      </c>
      <c r="E158" s="3">
        <v>65</v>
      </c>
      <c r="F158" s="216">
        <v>9.09</v>
      </c>
      <c r="G158" s="190">
        <v>71.900000000000006</v>
      </c>
      <c r="H158" s="3">
        <v>5.4</v>
      </c>
      <c r="J158" s="3"/>
      <c r="K158" s="3"/>
      <c r="L158" s="7"/>
      <c r="M158" s="3"/>
      <c r="N158" s="3"/>
    </row>
    <row r="159" spans="3:14" ht="15.75" customHeight="1" x14ac:dyDescent="0.2">
      <c r="C159" s="52">
        <v>44369</v>
      </c>
      <c r="D159" s="19">
        <v>0.55208333333333337</v>
      </c>
      <c r="E159" s="3">
        <v>67</v>
      </c>
      <c r="F159" s="216">
        <v>9.0500000000000007</v>
      </c>
      <c r="G159" s="190">
        <v>71.599999999999994</v>
      </c>
      <c r="H159" s="3">
        <v>5.4</v>
      </c>
      <c r="J159" s="3"/>
      <c r="K159" s="3"/>
      <c r="L159" s="7"/>
      <c r="M159" s="3"/>
      <c r="N159" s="3"/>
    </row>
    <row r="160" spans="3:14" ht="15.75" customHeight="1" x14ac:dyDescent="0.2">
      <c r="C160" s="52">
        <v>44369</v>
      </c>
      <c r="D160" s="19">
        <v>0.55208333333333337</v>
      </c>
      <c r="E160" s="3">
        <v>69</v>
      </c>
      <c r="F160" s="216">
        <v>9.02</v>
      </c>
      <c r="G160" s="190">
        <v>71.3</v>
      </c>
      <c r="H160" s="3">
        <v>5.4</v>
      </c>
      <c r="J160" s="3"/>
      <c r="K160" s="3"/>
      <c r="L160" s="7"/>
      <c r="M160" s="3"/>
      <c r="N160" s="3"/>
    </row>
    <row r="161" spans="3:14" ht="15.75" customHeight="1" x14ac:dyDescent="0.2">
      <c r="C161" s="52">
        <v>44369</v>
      </c>
      <c r="D161" s="19">
        <v>0.55208333333333337</v>
      </c>
      <c r="E161" s="3">
        <v>71</v>
      </c>
      <c r="F161" s="216">
        <v>8.99</v>
      </c>
      <c r="G161" s="190">
        <v>70.900000000000006</v>
      </c>
      <c r="H161" s="3">
        <v>5.3</v>
      </c>
      <c r="J161" s="3"/>
      <c r="K161" s="3"/>
      <c r="L161" s="7"/>
      <c r="M161" s="3"/>
      <c r="N161" s="3"/>
    </row>
    <row r="162" spans="3:14" ht="15.75" customHeight="1" x14ac:dyDescent="0.2">
      <c r="C162" s="52">
        <v>44369</v>
      </c>
      <c r="D162" s="19">
        <v>0.55208333333333337</v>
      </c>
      <c r="E162" s="3">
        <v>73</v>
      </c>
      <c r="F162" s="216">
        <v>8.9499999999999993</v>
      </c>
      <c r="G162" s="190">
        <v>70.599999999999994</v>
      </c>
      <c r="H162" s="3">
        <v>5.3</v>
      </c>
      <c r="J162" s="3"/>
      <c r="K162" s="3"/>
      <c r="L162" s="7"/>
      <c r="M162" s="3"/>
      <c r="N162" s="3"/>
    </row>
    <row r="163" spans="3:14" ht="15.75" customHeight="1" x14ac:dyDescent="0.2">
      <c r="C163" s="52">
        <v>44369</v>
      </c>
      <c r="D163" s="19">
        <v>0.55208333333333337</v>
      </c>
      <c r="E163" s="3">
        <v>75</v>
      </c>
      <c r="F163" s="216">
        <v>8.94</v>
      </c>
      <c r="G163" s="190">
        <v>70.400000000000006</v>
      </c>
      <c r="H163" s="3">
        <v>5.2</v>
      </c>
      <c r="J163" s="3"/>
      <c r="K163" s="3"/>
      <c r="L163" s="7"/>
      <c r="M163" s="3"/>
      <c r="N163" s="3"/>
    </row>
    <row r="164" spans="3:14" ht="15.75" customHeight="1" x14ac:dyDescent="0.2">
      <c r="C164" s="52">
        <v>44369</v>
      </c>
      <c r="D164" s="19">
        <v>0.55208333333333337</v>
      </c>
      <c r="E164" s="3">
        <v>77</v>
      </c>
      <c r="F164" s="216">
        <v>8.9</v>
      </c>
      <c r="G164" s="190">
        <v>70</v>
      </c>
      <c r="H164" s="3">
        <v>5.2</v>
      </c>
      <c r="J164" s="3"/>
      <c r="K164" s="3"/>
      <c r="L164" s="7"/>
      <c r="M164" s="3"/>
      <c r="N164" s="3"/>
    </row>
    <row r="165" spans="3:14" ht="15.75" customHeight="1" x14ac:dyDescent="0.2">
      <c r="C165" s="52">
        <v>44369</v>
      </c>
      <c r="D165" s="19">
        <v>0.55208333333333337</v>
      </c>
      <c r="E165" s="3">
        <v>79</v>
      </c>
      <c r="F165" s="216">
        <v>8.8800000000000008</v>
      </c>
      <c r="G165" s="190">
        <v>69.7</v>
      </c>
      <c r="H165" s="3">
        <v>5.2</v>
      </c>
      <c r="J165" s="3"/>
      <c r="K165" s="3"/>
      <c r="L165" s="7"/>
      <c r="M165" s="3"/>
      <c r="N165" s="3"/>
    </row>
    <row r="166" spans="3:14" ht="15.75" customHeight="1" x14ac:dyDescent="0.2">
      <c r="C166" s="52">
        <v>44369</v>
      </c>
      <c r="D166" s="19">
        <v>0.55208333333333337</v>
      </c>
      <c r="E166" s="3">
        <v>81</v>
      </c>
      <c r="F166" s="216">
        <v>8.85</v>
      </c>
      <c r="G166" s="190">
        <v>69.5</v>
      </c>
      <c r="H166" s="3">
        <v>5.0999999999999996</v>
      </c>
      <c r="J166" s="3"/>
      <c r="K166" s="3"/>
      <c r="L166" s="7"/>
      <c r="M166" s="3"/>
      <c r="N166" s="3"/>
    </row>
    <row r="167" spans="3:14" ht="15.75" customHeight="1" x14ac:dyDescent="0.2">
      <c r="C167" s="52">
        <v>44369</v>
      </c>
      <c r="D167" s="19">
        <v>0.55208333333333337</v>
      </c>
      <c r="E167" s="3">
        <v>83</v>
      </c>
      <c r="F167" s="216">
        <v>8.84</v>
      </c>
      <c r="G167" s="216">
        <v>69.400000000000006</v>
      </c>
      <c r="H167" s="3">
        <v>5.0999999999999996</v>
      </c>
      <c r="J167" s="3"/>
      <c r="K167" s="3"/>
      <c r="L167" s="7"/>
      <c r="M167" s="3"/>
      <c r="N167" s="3"/>
    </row>
    <row r="168" spans="3:14" ht="15.75" customHeight="1" x14ac:dyDescent="0.2">
      <c r="C168" s="52">
        <v>44369</v>
      </c>
      <c r="D168" s="19">
        <v>0.55208333333333337</v>
      </c>
      <c r="E168" s="3">
        <v>85</v>
      </c>
      <c r="F168" s="216">
        <v>8.83</v>
      </c>
      <c r="G168" s="216">
        <v>69.3</v>
      </c>
      <c r="H168" s="3">
        <v>5.0999999999999996</v>
      </c>
      <c r="J168" s="3"/>
      <c r="K168" s="3"/>
      <c r="L168" s="7"/>
      <c r="M168" s="3"/>
      <c r="N168" s="3"/>
    </row>
    <row r="169" spans="3:14" ht="15.75" customHeight="1" x14ac:dyDescent="0.2">
      <c r="C169" s="52">
        <v>44369</v>
      </c>
      <c r="D169" s="19">
        <v>0.55208333333333337</v>
      </c>
      <c r="E169" s="3">
        <v>87</v>
      </c>
      <c r="F169" s="216">
        <v>8.82</v>
      </c>
      <c r="G169" s="216">
        <v>69.2</v>
      </c>
      <c r="H169" s="3">
        <v>5.0999999999999996</v>
      </c>
      <c r="J169" s="3"/>
      <c r="K169" s="3"/>
      <c r="L169" s="7"/>
      <c r="M169" s="3"/>
      <c r="N169" s="3"/>
    </row>
    <row r="170" spans="3:14" ht="15.75" customHeight="1" x14ac:dyDescent="0.2">
      <c r="C170" s="52">
        <v>44369</v>
      </c>
      <c r="D170" s="19">
        <v>0.55208333333333337</v>
      </c>
      <c r="E170" s="3">
        <v>89</v>
      </c>
      <c r="F170" s="216">
        <v>8.75</v>
      </c>
      <c r="G170" s="216">
        <v>68.3</v>
      </c>
      <c r="H170" s="3">
        <v>5</v>
      </c>
      <c r="J170" s="3"/>
      <c r="K170" s="3"/>
      <c r="L170" s="7"/>
      <c r="M170" s="3"/>
      <c r="N170" s="3"/>
    </row>
    <row r="171" spans="3:14" ht="15.75" customHeight="1" x14ac:dyDescent="0.2">
      <c r="C171" s="52"/>
      <c r="D171" s="19"/>
      <c r="E171" s="3"/>
      <c r="H171" s="3"/>
      <c r="J171" s="3"/>
      <c r="K171" s="3"/>
      <c r="L171" s="7"/>
      <c r="M171" s="3"/>
      <c r="N171" s="3"/>
    </row>
    <row r="172" spans="3:14" ht="15.75" customHeight="1" x14ac:dyDescent="0.2">
      <c r="C172" s="52">
        <v>44403</v>
      </c>
      <c r="D172" s="19">
        <v>0.56944444444444442</v>
      </c>
      <c r="E172" s="3"/>
      <c r="H172" s="3"/>
      <c r="J172" s="3">
        <v>10.5</v>
      </c>
      <c r="K172" s="3">
        <v>13</v>
      </c>
      <c r="L172" s="7"/>
      <c r="M172" s="3"/>
      <c r="N172" s="3"/>
    </row>
    <row r="173" spans="3:14" ht="15.75" customHeight="1" x14ac:dyDescent="0.2">
      <c r="C173" s="52">
        <v>44403</v>
      </c>
      <c r="D173" s="19">
        <v>0.56944444444444442</v>
      </c>
      <c r="E173" s="3">
        <v>0.1</v>
      </c>
      <c r="F173" s="216">
        <v>7</v>
      </c>
      <c r="G173" s="216">
        <v>82.9</v>
      </c>
      <c r="H173" s="3">
        <v>23.8</v>
      </c>
      <c r="I173" s="1">
        <v>23.8</v>
      </c>
      <c r="J173" s="3"/>
      <c r="K173" s="3"/>
      <c r="L173" s="7"/>
      <c r="M173" s="3"/>
      <c r="N173" s="3"/>
    </row>
    <row r="174" spans="3:14" ht="15.75" customHeight="1" x14ac:dyDescent="0.2">
      <c r="C174" s="52">
        <v>44403</v>
      </c>
      <c r="D174" s="19">
        <v>0.56944444444444442</v>
      </c>
      <c r="E174" s="3">
        <v>1</v>
      </c>
      <c r="F174" s="216">
        <v>7</v>
      </c>
      <c r="G174" s="216">
        <v>83.2</v>
      </c>
      <c r="H174" s="3">
        <v>23.5</v>
      </c>
      <c r="I174" s="1">
        <v>23.5</v>
      </c>
      <c r="J174" s="3"/>
      <c r="K174" s="3"/>
      <c r="L174" s="7"/>
      <c r="M174" s="3"/>
      <c r="N174" s="3"/>
    </row>
    <row r="175" spans="3:14" ht="15.75" customHeight="1" x14ac:dyDescent="0.2">
      <c r="C175" s="52">
        <v>44403</v>
      </c>
      <c r="D175" s="19">
        <v>0.56944444444444442</v>
      </c>
      <c r="E175" s="3">
        <v>2</v>
      </c>
      <c r="F175" s="216">
        <v>7.08</v>
      </c>
      <c r="G175" s="216">
        <v>83.2</v>
      </c>
      <c r="H175" s="3">
        <v>23.4</v>
      </c>
      <c r="I175" s="1">
        <v>23.4</v>
      </c>
      <c r="J175" s="3"/>
      <c r="K175" s="3"/>
      <c r="L175" s="7"/>
      <c r="M175" s="3"/>
      <c r="N175" s="3"/>
    </row>
    <row r="176" spans="3:14" ht="15.75" customHeight="1" x14ac:dyDescent="0.2">
      <c r="C176" s="52">
        <v>44403</v>
      </c>
      <c r="D176" s="19">
        <v>0.56944444444444442</v>
      </c>
      <c r="E176" s="3">
        <v>3</v>
      </c>
      <c r="F176" s="216">
        <v>7.08</v>
      </c>
      <c r="G176" s="190">
        <v>83</v>
      </c>
      <c r="H176" s="3">
        <v>23.3</v>
      </c>
      <c r="I176" s="1">
        <v>23.3</v>
      </c>
      <c r="J176" s="3"/>
      <c r="K176" s="3"/>
      <c r="L176" s="7"/>
      <c r="M176" s="3"/>
      <c r="N176" s="3"/>
    </row>
    <row r="177" spans="3:14" ht="15.75" customHeight="1" x14ac:dyDescent="0.2">
      <c r="C177" s="52">
        <v>44403</v>
      </c>
      <c r="D177" s="19">
        <v>0.56944444444444442</v>
      </c>
      <c r="E177" s="3">
        <v>4</v>
      </c>
      <c r="F177" s="216">
        <v>7.08</v>
      </c>
      <c r="G177" s="190">
        <v>83</v>
      </c>
      <c r="H177" s="3">
        <v>23.3</v>
      </c>
      <c r="I177" s="1">
        <v>23.3</v>
      </c>
      <c r="J177" s="3"/>
      <c r="K177" s="3"/>
      <c r="L177" s="7"/>
      <c r="M177" s="3"/>
      <c r="N177" s="3"/>
    </row>
    <row r="178" spans="3:14" ht="15.75" customHeight="1" x14ac:dyDescent="0.2">
      <c r="C178" s="52">
        <v>44403</v>
      </c>
      <c r="D178" s="19">
        <v>0.56944444444444442</v>
      </c>
      <c r="E178" s="3">
        <v>5</v>
      </c>
      <c r="F178" s="216">
        <v>7.08</v>
      </c>
      <c r="G178" s="190">
        <v>82.9</v>
      </c>
      <c r="H178" s="3">
        <v>23.2</v>
      </c>
      <c r="I178" s="1">
        <v>23.2</v>
      </c>
      <c r="J178" s="3"/>
      <c r="K178" s="3"/>
      <c r="L178" s="7"/>
      <c r="M178" s="3"/>
      <c r="N178" s="3"/>
    </row>
    <row r="179" spans="3:14" ht="15.75" customHeight="1" x14ac:dyDescent="0.2">
      <c r="C179" s="52">
        <v>44403</v>
      </c>
      <c r="D179" s="19">
        <v>0.56944444444444442</v>
      </c>
      <c r="E179" s="3">
        <v>6</v>
      </c>
      <c r="F179" s="216">
        <v>7.09</v>
      </c>
      <c r="G179" s="190">
        <v>82.6</v>
      </c>
      <c r="H179" s="3">
        <v>23.1</v>
      </c>
      <c r="I179" s="1">
        <v>23.1</v>
      </c>
      <c r="J179" s="3"/>
      <c r="K179" s="3"/>
      <c r="L179" s="7"/>
      <c r="M179" s="3"/>
      <c r="N179" s="3"/>
    </row>
    <row r="180" spans="3:14" ht="15.75" customHeight="1" x14ac:dyDescent="0.2">
      <c r="C180" s="52">
        <v>44403</v>
      </c>
      <c r="D180" s="19">
        <v>0.56944444444444442</v>
      </c>
      <c r="E180" s="3">
        <v>7</v>
      </c>
      <c r="F180" s="216">
        <v>7.07</v>
      </c>
      <c r="G180" s="190">
        <v>82.4</v>
      </c>
      <c r="H180" s="3">
        <v>23</v>
      </c>
      <c r="I180" s="1">
        <v>23</v>
      </c>
      <c r="J180" s="3"/>
      <c r="K180" s="3"/>
      <c r="L180" s="7"/>
      <c r="M180" s="3"/>
      <c r="N180" s="3"/>
    </row>
    <row r="181" spans="3:14" ht="15.75" customHeight="1" x14ac:dyDescent="0.2">
      <c r="C181" s="52">
        <v>44403</v>
      </c>
      <c r="D181" s="19">
        <v>0.56944444444444442</v>
      </c>
      <c r="E181" s="3">
        <v>8</v>
      </c>
      <c r="F181" s="216">
        <v>7.1</v>
      </c>
      <c r="G181" s="190">
        <v>82.4</v>
      </c>
      <c r="H181" s="3">
        <v>22.9</v>
      </c>
      <c r="I181" s="1">
        <v>22.9</v>
      </c>
      <c r="J181" s="3"/>
      <c r="K181" s="3"/>
      <c r="L181" s="7"/>
      <c r="M181" s="3"/>
      <c r="N181" s="3"/>
    </row>
    <row r="182" spans="3:14" ht="15.75" customHeight="1" x14ac:dyDescent="0.2">
      <c r="C182" s="52">
        <v>44403</v>
      </c>
      <c r="D182" s="19">
        <v>0.56944444444444442</v>
      </c>
      <c r="E182" s="3">
        <v>9</v>
      </c>
      <c r="F182" s="216">
        <v>7.1</v>
      </c>
      <c r="G182" s="216">
        <v>82.5</v>
      </c>
      <c r="H182" s="3">
        <v>22.8</v>
      </c>
      <c r="I182" s="1">
        <v>22.8</v>
      </c>
      <c r="J182" s="3"/>
      <c r="K182" s="3"/>
      <c r="L182" s="66"/>
    </row>
    <row r="183" spans="3:14" ht="15.75" customHeight="1" x14ac:dyDescent="0.2">
      <c r="C183" s="52">
        <v>44403</v>
      </c>
      <c r="D183" s="19">
        <v>0.56944444444444442</v>
      </c>
      <c r="E183" s="3">
        <v>10</v>
      </c>
      <c r="F183" s="216">
        <v>7.11</v>
      </c>
      <c r="G183" s="190">
        <v>82.4</v>
      </c>
      <c r="H183" s="3">
        <v>22.7</v>
      </c>
      <c r="I183" s="1">
        <v>22.7</v>
      </c>
      <c r="J183" s="3"/>
      <c r="K183" s="3"/>
      <c r="L183" s="66"/>
    </row>
    <row r="184" spans="3:14" ht="15.75" customHeight="1" x14ac:dyDescent="0.2">
      <c r="C184" s="52">
        <v>44403</v>
      </c>
      <c r="D184" s="19">
        <v>0.56944444444444442</v>
      </c>
      <c r="E184" s="3">
        <v>11</v>
      </c>
      <c r="F184" s="216">
        <v>8.69</v>
      </c>
      <c r="G184" s="216">
        <v>92.7</v>
      </c>
      <c r="H184" s="3">
        <v>17.600000000000001</v>
      </c>
      <c r="I184" s="65">
        <f>AVERAGE(I173:I183)</f>
        <v>23.18181818181818</v>
      </c>
      <c r="J184" s="3"/>
      <c r="K184" s="3"/>
      <c r="L184" s="66"/>
    </row>
    <row r="185" spans="3:14" ht="15.75" customHeight="1" x14ac:dyDescent="0.2">
      <c r="C185" s="52">
        <v>44403</v>
      </c>
      <c r="D185" s="19">
        <v>0.56944444444444442</v>
      </c>
      <c r="E185" s="3">
        <v>13</v>
      </c>
      <c r="F185" s="216">
        <v>8.76</v>
      </c>
      <c r="G185" s="190">
        <v>90.8</v>
      </c>
      <c r="H185" s="3">
        <v>17.2</v>
      </c>
      <c r="J185" s="3"/>
      <c r="K185" s="3"/>
      <c r="L185" s="66"/>
    </row>
    <row r="186" spans="3:14" ht="15.75" customHeight="1" x14ac:dyDescent="0.2">
      <c r="C186" s="52">
        <v>44403</v>
      </c>
      <c r="D186" s="19">
        <v>0.56944444444444442</v>
      </c>
      <c r="E186" s="3">
        <v>15</v>
      </c>
      <c r="F186" s="216">
        <v>9</v>
      </c>
      <c r="G186" s="190">
        <v>89.6</v>
      </c>
      <c r="H186" s="3">
        <v>15</v>
      </c>
      <c r="J186" s="3"/>
      <c r="K186" s="3"/>
      <c r="L186" s="66"/>
    </row>
    <row r="187" spans="3:14" ht="15.75" customHeight="1" x14ac:dyDescent="0.2">
      <c r="C187" s="52">
        <v>44403</v>
      </c>
      <c r="D187" s="19">
        <v>0.56944444444444442</v>
      </c>
      <c r="E187" s="3">
        <v>17</v>
      </c>
      <c r="F187" s="216">
        <v>9.23</v>
      </c>
      <c r="G187" s="190">
        <v>87.1</v>
      </c>
      <c r="H187" s="3">
        <v>12.8</v>
      </c>
      <c r="J187" s="3"/>
      <c r="K187" s="3"/>
      <c r="L187" s="66"/>
    </row>
    <row r="188" spans="3:14" ht="15.75" customHeight="1" x14ac:dyDescent="0.2">
      <c r="C188" s="52">
        <v>44403</v>
      </c>
      <c r="D188" s="19">
        <v>0.56944444444444442</v>
      </c>
      <c r="E188" s="3">
        <v>19</v>
      </c>
      <c r="F188" s="216">
        <v>9.3699999999999992</v>
      </c>
      <c r="G188" s="190">
        <v>83.3</v>
      </c>
      <c r="H188" s="3">
        <v>10.3</v>
      </c>
      <c r="J188" s="3"/>
      <c r="K188" s="3"/>
      <c r="L188" s="66"/>
    </row>
    <row r="189" spans="3:14" ht="15.75" customHeight="1" x14ac:dyDescent="0.2">
      <c r="C189" s="52">
        <v>44403</v>
      </c>
      <c r="D189" s="19">
        <v>0.56944444444444442</v>
      </c>
      <c r="E189" s="3">
        <v>21</v>
      </c>
      <c r="F189" s="216">
        <v>9.35</v>
      </c>
      <c r="G189" s="216">
        <v>79.8</v>
      </c>
      <c r="H189" s="3">
        <v>8.4</v>
      </c>
      <c r="J189" s="3"/>
      <c r="K189" s="3"/>
      <c r="L189" s="66"/>
    </row>
    <row r="190" spans="3:14" ht="15.75" customHeight="1" x14ac:dyDescent="0.2">
      <c r="C190" s="52">
        <v>44403</v>
      </c>
      <c r="D190" s="19">
        <v>0.56944444444444442</v>
      </c>
      <c r="E190" s="3">
        <v>23</v>
      </c>
      <c r="F190" s="216">
        <v>9.31</v>
      </c>
      <c r="G190" s="216">
        <v>77.900000000000006</v>
      </c>
      <c r="H190" s="3">
        <v>7.6</v>
      </c>
      <c r="J190" s="3"/>
      <c r="K190" s="3"/>
      <c r="L190" s="66"/>
    </row>
    <row r="191" spans="3:14" ht="15.75" customHeight="1" x14ac:dyDescent="0.2">
      <c r="C191" s="52"/>
      <c r="D191" s="19"/>
      <c r="E191" s="3"/>
      <c r="H191" s="3"/>
      <c r="K191" s="3"/>
      <c r="L191" s="66"/>
    </row>
    <row r="192" spans="3:14" ht="15.75" customHeight="1" x14ac:dyDescent="0.2">
      <c r="C192" s="52">
        <v>44438</v>
      </c>
      <c r="D192" s="19">
        <v>0.53472222222222221</v>
      </c>
      <c r="E192" s="3"/>
      <c r="H192" s="3"/>
      <c r="J192">
        <v>9.5</v>
      </c>
      <c r="K192" s="3">
        <v>11.5</v>
      </c>
      <c r="L192" s="66"/>
    </row>
    <row r="193" spans="3:14" ht="15.75" customHeight="1" x14ac:dyDescent="0.2">
      <c r="C193" s="52">
        <v>44438</v>
      </c>
      <c r="D193" s="19">
        <v>0.54861111111111105</v>
      </c>
      <c r="E193" s="3">
        <v>0.1</v>
      </c>
      <c r="F193" s="216">
        <v>7.59</v>
      </c>
      <c r="G193" s="190">
        <v>86.3</v>
      </c>
      <c r="H193" s="3">
        <v>21.8</v>
      </c>
      <c r="I193" s="1">
        <v>21.8</v>
      </c>
      <c r="J193" s="54"/>
      <c r="K193" s="3"/>
      <c r="L193" s="66"/>
    </row>
    <row r="194" spans="3:14" ht="15.75" customHeight="1" x14ac:dyDescent="0.2">
      <c r="C194" s="52">
        <v>44438</v>
      </c>
      <c r="D194" s="19">
        <v>0.54861111111111105</v>
      </c>
      <c r="E194" s="3">
        <v>1</v>
      </c>
      <c r="F194" s="216">
        <v>7.67</v>
      </c>
      <c r="G194" s="190">
        <v>85.6</v>
      </c>
      <c r="H194" s="3">
        <v>20.8</v>
      </c>
      <c r="I194" s="1">
        <v>20.8</v>
      </c>
      <c r="J194" s="3"/>
      <c r="K194" s="3"/>
      <c r="L194" s="66"/>
    </row>
    <row r="195" spans="3:14" ht="15.75" customHeight="1" x14ac:dyDescent="0.2">
      <c r="C195" s="52">
        <v>44438</v>
      </c>
      <c r="D195" s="19">
        <v>0.54861111111111105</v>
      </c>
      <c r="E195" s="3">
        <v>2</v>
      </c>
      <c r="F195" s="216">
        <v>7.66</v>
      </c>
      <c r="G195" s="190">
        <v>85.1</v>
      </c>
      <c r="H195" s="3">
        <v>20.5</v>
      </c>
      <c r="I195" s="1">
        <v>20.5</v>
      </c>
      <c r="J195" s="3"/>
      <c r="K195" s="3"/>
      <c r="L195" s="66"/>
    </row>
    <row r="196" spans="3:14" ht="15.75" customHeight="1" x14ac:dyDescent="0.2">
      <c r="C196" s="52">
        <v>44438</v>
      </c>
      <c r="D196" s="19">
        <v>0.54861111111111105</v>
      </c>
      <c r="E196" s="3">
        <v>3</v>
      </c>
      <c r="F196" s="216">
        <v>7.67</v>
      </c>
      <c r="G196" s="190">
        <v>84.9</v>
      </c>
      <c r="H196" s="3">
        <v>20.3</v>
      </c>
      <c r="I196" s="1">
        <v>20.3</v>
      </c>
      <c r="J196" s="3"/>
      <c r="K196" s="3"/>
      <c r="L196" s="66"/>
    </row>
    <row r="197" spans="3:14" ht="15.75" customHeight="1" x14ac:dyDescent="0.2">
      <c r="C197" s="52">
        <v>44438</v>
      </c>
      <c r="D197" s="19">
        <v>0.54861111111111105</v>
      </c>
      <c r="E197" s="3">
        <v>4</v>
      </c>
      <c r="F197" s="216">
        <v>7.66</v>
      </c>
      <c r="G197" s="190">
        <v>84.5</v>
      </c>
      <c r="H197" s="3">
        <v>20.2</v>
      </c>
      <c r="I197" s="1">
        <v>20.2</v>
      </c>
      <c r="J197" s="3"/>
      <c r="K197" s="3"/>
      <c r="L197" s="66"/>
    </row>
    <row r="198" spans="3:14" ht="15.75" customHeight="1" x14ac:dyDescent="0.2">
      <c r="C198" s="52">
        <v>44438</v>
      </c>
      <c r="D198" s="19">
        <v>0.54861111111111105</v>
      </c>
      <c r="E198" s="3">
        <v>5</v>
      </c>
      <c r="F198" s="216">
        <v>7.66</v>
      </c>
      <c r="G198" s="190">
        <v>84.4</v>
      </c>
      <c r="H198" s="3">
        <v>20.100000000000001</v>
      </c>
      <c r="I198" s="1">
        <v>20.100000000000001</v>
      </c>
      <c r="J198" s="3"/>
      <c r="K198" s="3"/>
      <c r="L198" s="66"/>
    </row>
    <row r="199" spans="3:14" ht="15.75" customHeight="1" x14ac:dyDescent="0.2">
      <c r="C199" s="52">
        <v>44438</v>
      </c>
      <c r="D199" s="19">
        <v>0.54861111111111105</v>
      </c>
      <c r="E199" s="3">
        <v>6</v>
      </c>
      <c r="F199" s="216">
        <v>7.65</v>
      </c>
      <c r="G199" s="190">
        <v>84.1</v>
      </c>
      <c r="H199" s="3">
        <v>20</v>
      </c>
      <c r="I199" s="1">
        <v>20</v>
      </c>
      <c r="J199" s="3"/>
      <c r="K199" s="3"/>
      <c r="L199" s="66"/>
    </row>
    <row r="200" spans="3:14" ht="15.75" customHeight="1" x14ac:dyDescent="0.2">
      <c r="C200" s="52">
        <v>44438</v>
      </c>
      <c r="D200" s="19">
        <v>0.54861111111111105</v>
      </c>
      <c r="E200" s="3">
        <v>7</v>
      </c>
      <c r="F200" s="216">
        <v>7.63</v>
      </c>
      <c r="G200" s="190">
        <v>83.9</v>
      </c>
      <c r="H200" s="3">
        <v>20</v>
      </c>
      <c r="I200" s="1">
        <v>20</v>
      </c>
      <c r="J200" s="3"/>
      <c r="K200" s="3"/>
      <c r="L200" s="66"/>
    </row>
    <row r="201" spans="3:14" ht="15.75" customHeight="1" x14ac:dyDescent="0.2">
      <c r="C201" s="52">
        <v>44438</v>
      </c>
      <c r="D201" s="19">
        <v>0.54861111111111105</v>
      </c>
      <c r="E201" s="3">
        <v>8</v>
      </c>
      <c r="F201" s="216">
        <v>7.62</v>
      </c>
      <c r="G201" s="190">
        <v>83.7</v>
      </c>
      <c r="H201" s="3">
        <v>20</v>
      </c>
      <c r="I201" s="1">
        <v>20</v>
      </c>
      <c r="J201" s="3"/>
      <c r="K201" s="3"/>
      <c r="L201" s="66"/>
    </row>
    <row r="202" spans="3:14" ht="15.75" customHeight="1" x14ac:dyDescent="0.2">
      <c r="C202" s="52">
        <v>44438</v>
      </c>
      <c r="D202" s="19">
        <v>0.54861111111111105</v>
      </c>
      <c r="E202" s="3">
        <v>9</v>
      </c>
      <c r="F202" s="216">
        <v>7.61</v>
      </c>
      <c r="G202" s="190">
        <v>83.5</v>
      </c>
      <c r="H202" s="3">
        <v>19.899999999999999</v>
      </c>
      <c r="I202" s="1">
        <v>19.899999999999999</v>
      </c>
      <c r="J202" s="3"/>
      <c r="K202" s="3"/>
      <c r="L202" s="66"/>
    </row>
    <row r="203" spans="3:14" ht="15.75" customHeight="1" x14ac:dyDescent="0.2">
      <c r="C203" s="52">
        <v>44438</v>
      </c>
      <c r="D203" s="19">
        <v>0.54861111111111105</v>
      </c>
      <c r="E203" s="3">
        <v>10</v>
      </c>
      <c r="F203" s="216">
        <v>7.61</v>
      </c>
      <c r="G203" s="190">
        <v>83.4</v>
      </c>
      <c r="H203" s="3">
        <v>19.8</v>
      </c>
      <c r="I203" s="1">
        <v>19.8</v>
      </c>
      <c r="J203" s="3"/>
      <c r="K203" s="3"/>
      <c r="L203" s="66"/>
    </row>
    <row r="204" spans="3:14" ht="15.75" customHeight="1" x14ac:dyDescent="0.2">
      <c r="C204" s="52">
        <v>44438</v>
      </c>
      <c r="D204" s="19">
        <v>0.54861111111111105</v>
      </c>
      <c r="E204" s="3">
        <v>11</v>
      </c>
      <c r="F204" s="216">
        <v>9.06</v>
      </c>
      <c r="G204" s="190">
        <v>95.3</v>
      </c>
      <c r="H204" s="3">
        <v>17.899999999999999</v>
      </c>
      <c r="I204" s="17">
        <f>AVERAGE(I193:I203)</f>
        <v>20.309090909090912</v>
      </c>
      <c r="J204" s="3"/>
      <c r="K204" s="3"/>
      <c r="L204" s="7"/>
      <c r="M204" s="3"/>
      <c r="N204" s="3"/>
    </row>
    <row r="205" spans="3:14" ht="15.75" customHeight="1" x14ac:dyDescent="0.2">
      <c r="C205" s="52">
        <v>44438</v>
      </c>
      <c r="D205" s="19">
        <v>0.54861111111111105</v>
      </c>
      <c r="E205" s="3">
        <v>13</v>
      </c>
      <c r="F205" s="216">
        <v>9.48</v>
      </c>
      <c r="G205" s="190">
        <v>90.8</v>
      </c>
      <c r="H205" s="3">
        <v>13.5</v>
      </c>
      <c r="J205" s="3"/>
      <c r="K205" s="3"/>
      <c r="L205" s="7"/>
      <c r="M205" s="3"/>
      <c r="N205" s="3"/>
    </row>
    <row r="206" spans="3:14" ht="15.75" customHeight="1" x14ac:dyDescent="0.2">
      <c r="C206" s="52">
        <v>44438</v>
      </c>
      <c r="D206" s="19">
        <v>0.54861111111111105</v>
      </c>
      <c r="E206" s="3">
        <v>15</v>
      </c>
      <c r="F206" s="216">
        <v>9.5399999999999991</v>
      </c>
      <c r="G206" s="190">
        <v>87.3</v>
      </c>
      <c r="H206" s="3">
        <v>11.4</v>
      </c>
      <c r="J206" s="3"/>
      <c r="K206" s="3"/>
      <c r="L206" s="7"/>
      <c r="M206" s="3"/>
      <c r="N206" s="3"/>
    </row>
    <row r="207" spans="3:14" ht="15.75" customHeight="1" x14ac:dyDescent="0.2">
      <c r="C207" s="52">
        <v>44438</v>
      </c>
      <c r="D207" s="19">
        <v>0.54861111111111105</v>
      </c>
      <c r="E207" s="3">
        <v>17</v>
      </c>
      <c r="F207" s="216">
        <v>9.51</v>
      </c>
      <c r="G207" s="190">
        <v>83.1</v>
      </c>
      <c r="H207" s="3">
        <v>9.4</v>
      </c>
      <c r="J207" s="3"/>
      <c r="K207" s="3"/>
      <c r="L207" s="7"/>
      <c r="M207" s="3"/>
      <c r="N207" s="3"/>
    </row>
    <row r="208" spans="3:14" ht="15.75" customHeight="1" x14ac:dyDescent="0.2">
      <c r="C208" s="52">
        <v>44438</v>
      </c>
      <c r="D208" s="19">
        <v>0.54861111111111105</v>
      </c>
      <c r="E208" s="3">
        <v>19</v>
      </c>
      <c r="F208" s="216">
        <v>9.52</v>
      </c>
      <c r="G208" s="190">
        <v>81.2</v>
      </c>
      <c r="H208" s="3">
        <v>8.4</v>
      </c>
      <c r="J208" s="3"/>
      <c r="K208" s="3"/>
      <c r="L208" s="7"/>
      <c r="M208" s="3"/>
      <c r="N208" s="3"/>
    </row>
    <row r="209" spans="3:14" ht="15.75" customHeight="1" x14ac:dyDescent="0.2">
      <c r="C209" s="52">
        <v>44438</v>
      </c>
      <c r="D209" s="19">
        <v>0.54861111111111105</v>
      </c>
      <c r="E209" s="3">
        <v>21</v>
      </c>
      <c r="F209" s="216">
        <v>9.39</v>
      </c>
      <c r="G209" s="190">
        <v>78.599999999999994</v>
      </c>
      <c r="H209" s="3">
        <v>7.7</v>
      </c>
      <c r="J209" s="3"/>
      <c r="K209" s="3"/>
      <c r="L209" s="7"/>
      <c r="M209" s="3"/>
      <c r="N209" s="3"/>
    </row>
    <row r="210" spans="3:14" ht="15.75" customHeight="1" x14ac:dyDescent="0.2">
      <c r="C210" s="52">
        <v>44438</v>
      </c>
      <c r="D210" s="19">
        <v>0.54861111111111105</v>
      </c>
      <c r="E210" s="3">
        <v>23</v>
      </c>
      <c r="F210" s="216">
        <v>9.35</v>
      </c>
      <c r="G210" s="190">
        <v>77.7</v>
      </c>
      <c r="H210" s="3">
        <v>7.4</v>
      </c>
      <c r="J210" s="3"/>
      <c r="K210" s="3"/>
      <c r="L210" s="7"/>
      <c r="M210" s="3"/>
      <c r="N210" s="3"/>
    </row>
    <row r="211" spans="3:14" ht="15.75" customHeight="1" x14ac:dyDescent="0.2">
      <c r="C211" s="52">
        <v>44438</v>
      </c>
      <c r="D211" s="19">
        <v>0.54861111111111105</v>
      </c>
      <c r="E211" s="3">
        <v>25</v>
      </c>
      <c r="F211" s="216">
        <v>9.25</v>
      </c>
      <c r="G211" s="190">
        <v>76.3</v>
      </c>
      <c r="H211" s="3">
        <v>7.1</v>
      </c>
      <c r="J211" s="3"/>
      <c r="K211" s="3"/>
      <c r="L211" s="7"/>
      <c r="M211" s="3"/>
      <c r="N211" s="3"/>
    </row>
    <row r="212" spans="3:14" ht="15.75" customHeight="1" x14ac:dyDescent="0.2">
      <c r="C212" s="52">
        <v>44438</v>
      </c>
      <c r="D212" s="19">
        <v>0.54861111111111105</v>
      </c>
      <c r="E212" s="3">
        <v>27</v>
      </c>
      <c r="F212" s="216">
        <v>9.08</v>
      </c>
      <c r="G212" s="190">
        <v>74.099999999999994</v>
      </c>
      <c r="H212" s="3">
        <v>6.7</v>
      </c>
      <c r="J212" s="3"/>
      <c r="K212" s="3"/>
      <c r="L212" s="7"/>
      <c r="M212" s="3"/>
      <c r="N212" s="3"/>
    </row>
    <row r="213" spans="3:14" ht="15.75" customHeight="1" x14ac:dyDescent="0.2">
      <c r="C213" s="52">
        <v>44438</v>
      </c>
      <c r="D213" s="19">
        <v>0.54861111111111105</v>
      </c>
      <c r="E213" s="3">
        <v>29</v>
      </c>
      <c r="F213" s="216">
        <v>8.9700000000000006</v>
      </c>
      <c r="G213" s="190">
        <v>73.099999999999994</v>
      </c>
      <c r="H213" s="3">
        <v>6.6</v>
      </c>
      <c r="J213" s="3"/>
      <c r="K213" s="3"/>
      <c r="L213" s="7"/>
      <c r="M213" s="3"/>
      <c r="N213" s="3"/>
    </row>
    <row r="214" spans="3:14" ht="15.75" customHeight="1" x14ac:dyDescent="0.2">
      <c r="C214" s="52">
        <v>44438</v>
      </c>
      <c r="D214" s="19">
        <v>0.54861111111111105</v>
      </c>
      <c r="E214" s="3">
        <v>31</v>
      </c>
      <c r="F214" s="216">
        <v>8.92</v>
      </c>
      <c r="G214" s="190">
        <v>72.5</v>
      </c>
      <c r="H214" s="3">
        <v>6.5</v>
      </c>
      <c r="J214" s="3"/>
      <c r="K214" s="3"/>
      <c r="L214" s="7"/>
      <c r="M214" s="3"/>
      <c r="N214" s="3"/>
    </row>
    <row r="215" spans="3:14" ht="15.75" customHeight="1" x14ac:dyDescent="0.2">
      <c r="C215" s="52">
        <v>44438</v>
      </c>
      <c r="D215" s="19">
        <v>0.54861111111111105</v>
      </c>
      <c r="E215" s="3">
        <v>33</v>
      </c>
      <c r="F215" s="216">
        <v>8.86</v>
      </c>
      <c r="G215" s="190">
        <v>71.8</v>
      </c>
      <c r="H215" s="3">
        <v>6.4</v>
      </c>
      <c r="J215" s="3"/>
      <c r="K215" s="3"/>
      <c r="L215" s="7"/>
      <c r="M215" s="3"/>
      <c r="N215" s="3"/>
    </row>
    <row r="216" spans="3:14" ht="15.75" customHeight="1" x14ac:dyDescent="0.2">
      <c r="C216" s="52">
        <v>44438</v>
      </c>
      <c r="D216" s="19">
        <v>0.54861111111111105</v>
      </c>
      <c r="E216" s="3">
        <v>35</v>
      </c>
      <c r="F216" s="216">
        <v>8.8000000000000007</v>
      </c>
      <c r="G216" s="190">
        <v>71.2</v>
      </c>
      <c r="H216" s="3">
        <v>6.3</v>
      </c>
      <c r="J216" s="3"/>
      <c r="K216" s="3"/>
      <c r="L216" s="7"/>
      <c r="M216" s="3"/>
      <c r="N216" s="3"/>
    </row>
    <row r="217" spans="3:14" ht="15.75" customHeight="1" x14ac:dyDescent="0.2">
      <c r="C217" s="52">
        <v>44438</v>
      </c>
      <c r="D217" s="19">
        <v>0.54861111111111105</v>
      </c>
      <c r="E217" s="3">
        <v>37</v>
      </c>
      <c r="F217" s="216">
        <v>8.77</v>
      </c>
      <c r="G217" s="190">
        <v>70.8</v>
      </c>
      <c r="H217" s="3">
        <v>6.2</v>
      </c>
      <c r="J217" s="3"/>
      <c r="K217" s="3"/>
      <c r="L217" s="7"/>
      <c r="M217" s="3"/>
      <c r="N217" s="3"/>
    </row>
    <row r="218" spans="3:14" ht="15.75" customHeight="1" x14ac:dyDescent="0.2">
      <c r="C218" s="52">
        <v>44438</v>
      </c>
      <c r="D218" s="19">
        <v>0.54861111111111105</v>
      </c>
      <c r="E218" s="3">
        <v>39</v>
      </c>
      <c r="F218" s="216">
        <v>8.7200000000000006</v>
      </c>
      <c r="G218" s="190">
        <v>70.099999999999994</v>
      </c>
      <c r="H218" s="3">
        <v>6.1</v>
      </c>
      <c r="J218" s="3"/>
      <c r="K218" s="3"/>
      <c r="L218" s="7"/>
      <c r="M218" s="3"/>
      <c r="N218" s="3"/>
    </row>
    <row r="219" spans="3:14" ht="15.75" customHeight="1" x14ac:dyDescent="0.2">
      <c r="C219" s="52">
        <v>44438</v>
      </c>
      <c r="D219" s="19">
        <v>0.54861111111111105</v>
      </c>
      <c r="E219" s="3">
        <v>41</v>
      </c>
      <c r="F219" s="216">
        <v>8.6199999999999992</v>
      </c>
      <c r="G219" s="190">
        <v>69.400000000000006</v>
      </c>
      <c r="H219" s="3">
        <v>6.1</v>
      </c>
      <c r="J219" s="3"/>
      <c r="K219" s="3"/>
      <c r="L219" s="7"/>
      <c r="M219" s="3"/>
      <c r="N219" s="3"/>
    </row>
    <row r="220" spans="3:14" ht="15.75" customHeight="1" x14ac:dyDescent="0.2">
      <c r="C220" s="52">
        <v>44438</v>
      </c>
      <c r="D220" s="19">
        <v>0.54861111111111105</v>
      </c>
      <c r="E220" s="3">
        <v>43</v>
      </c>
      <c r="F220" s="216">
        <v>8.56</v>
      </c>
      <c r="G220" s="190">
        <v>68.7</v>
      </c>
      <c r="H220" s="3">
        <v>6</v>
      </c>
      <c r="L220" s="7"/>
      <c r="M220" s="3"/>
      <c r="N220" s="3"/>
    </row>
    <row r="221" spans="3:14" ht="15.75" customHeight="1" x14ac:dyDescent="0.2">
      <c r="C221" s="52">
        <v>44438</v>
      </c>
      <c r="D221" s="19">
        <v>0.54861111111111105</v>
      </c>
      <c r="E221" s="3">
        <v>45</v>
      </c>
      <c r="F221" s="216">
        <v>8.52</v>
      </c>
      <c r="G221" s="190">
        <v>68.099999999999994</v>
      </c>
      <c r="H221" s="3">
        <v>5.9</v>
      </c>
      <c r="L221" s="7"/>
      <c r="M221" s="3"/>
      <c r="N221" s="3"/>
    </row>
    <row r="222" spans="3:14" ht="15.75" customHeight="1" x14ac:dyDescent="0.2">
      <c r="C222" s="52">
        <v>44438</v>
      </c>
      <c r="D222" s="19">
        <v>0.54861111111111105</v>
      </c>
      <c r="E222" s="3">
        <v>47</v>
      </c>
      <c r="F222" s="216">
        <v>8.5</v>
      </c>
      <c r="G222" s="190">
        <v>68.2</v>
      </c>
      <c r="H222" s="3">
        <v>5.9</v>
      </c>
      <c r="L222" s="7"/>
      <c r="M222" s="3"/>
      <c r="N222" s="3"/>
    </row>
    <row r="223" spans="3:14" ht="15.75" customHeight="1" x14ac:dyDescent="0.2">
      <c r="C223" s="52">
        <v>44438</v>
      </c>
      <c r="D223" s="19">
        <v>0.54861111111111105</v>
      </c>
      <c r="E223" s="3">
        <v>49</v>
      </c>
      <c r="F223" s="216">
        <v>8.48</v>
      </c>
      <c r="G223" s="190">
        <v>67.7</v>
      </c>
      <c r="H223" s="3">
        <v>5.8</v>
      </c>
      <c r="L223" s="7"/>
      <c r="M223" s="3"/>
      <c r="N223" s="3"/>
    </row>
    <row r="224" spans="3:14" ht="15.75" customHeight="1" x14ac:dyDescent="0.2">
      <c r="C224" s="52">
        <v>44438</v>
      </c>
      <c r="D224" s="19">
        <v>0.54861111111111105</v>
      </c>
      <c r="E224" s="3">
        <v>51</v>
      </c>
      <c r="F224" s="216">
        <v>8.41</v>
      </c>
      <c r="G224" s="190">
        <v>67.2</v>
      </c>
      <c r="H224" s="3">
        <v>5.8</v>
      </c>
      <c r="L224" s="7"/>
      <c r="M224" s="3"/>
      <c r="N224" s="3"/>
    </row>
    <row r="225" spans="3:14" ht="15.75" customHeight="1" x14ac:dyDescent="0.2">
      <c r="C225" s="52">
        <v>44438</v>
      </c>
      <c r="D225" s="19">
        <v>0.54861111111111105</v>
      </c>
      <c r="E225" s="3">
        <v>53</v>
      </c>
      <c r="F225" s="216">
        <v>8.41</v>
      </c>
      <c r="G225" s="190">
        <v>67.099999999999994</v>
      </c>
      <c r="H225" s="3">
        <v>5.7</v>
      </c>
      <c r="L225" s="7"/>
      <c r="M225" s="3"/>
      <c r="N225" s="3"/>
    </row>
    <row r="226" spans="3:14" ht="15.75" customHeight="1" x14ac:dyDescent="0.2">
      <c r="C226" s="52">
        <v>44438</v>
      </c>
      <c r="D226" s="19">
        <v>0.54861111111111105</v>
      </c>
      <c r="E226" s="3">
        <v>55</v>
      </c>
      <c r="F226" s="216">
        <v>8.4499999999999993</v>
      </c>
      <c r="G226" s="190">
        <v>67.3</v>
      </c>
      <c r="H226" s="3">
        <v>5.7</v>
      </c>
      <c r="L226" s="7"/>
      <c r="M226" s="3"/>
      <c r="N226" s="3"/>
    </row>
    <row r="227" spans="3:14" ht="15.75" customHeight="1" x14ac:dyDescent="0.2">
      <c r="C227" s="52">
        <v>44438</v>
      </c>
      <c r="D227" s="19">
        <v>0.54861111111111105</v>
      </c>
      <c r="E227" s="3">
        <v>57</v>
      </c>
      <c r="F227" s="216">
        <v>8.4600000000000009</v>
      </c>
      <c r="G227" s="190">
        <v>67.400000000000006</v>
      </c>
      <c r="H227" s="3">
        <v>5.6</v>
      </c>
      <c r="L227" s="7"/>
      <c r="M227" s="3"/>
      <c r="N227" s="3"/>
    </row>
    <row r="228" spans="3:14" ht="15.75" customHeight="1" x14ac:dyDescent="0.2">
      <c r="C228" s="52">
        <v>44438</v>
      </c>
      <c r="D228" s="19">
        <v>0.54861111111111105</v>
      </c>
      <c r="E228" s="3">
        <v>59</v>
      </c>
      <c r="F228" s="216">
        <v>8.49</v>
      </c>
      <c r="G228" s="190">
        <v>67.3</v>
      </c>
      <c r="H228" s="3">
        <v>5.5</v>
      </c>
      <c r="L228" s="7"/>
      <c r="M228" s="3"/>
      <c r="N228" s="3"/>
    </row>
    <row r="229" spans="3:14" ht="15.75" customHeight="1" x14ac:dyDescent="0.2">
      <c r="C229" s="52">
        <v>44438</v>
      </c>
      <c r="D229" s="19">
        <v>0.54861111111111105</v>
      </c>
      <c r="E229" s="3">
        <v>61</v>
      </c>
      <c r="F229" s="216">
        <v>8.43</v>
      </c>
      <c r="G229" s="190">
        <v>66.8</v>
      </c>
      <c r="H229" s="3">
        <v>5.5</v>
      </c>
      <c r="L229" s="7"/>
      <c r="M229" s="3"/>
      <c r="N229" s="3"/>
    </row>
    <row r="230" spans="3:14" ht="15.75" customHeight="1" x14ac:dyDescent="0.2">
      <c r="C230" s="52">
        <v>44438</v>
      </c>
      <c r="D230" s="19">
        <v>0.54861111111111105</v>
      </c>
      <c r="E230" s="3">
        <v>63</v>
      </c>
      <c r="F230" s="216">
        <v>8.41</v>
      </c>
      <c r="G230" s="190">
        <v>66.5</v>
      </c>
      <c r="H230" s="3">
        <v>5.4</v>
      </c>
      <c r="L230" s="7"/>
      <c r="M230" s="3"/>
      <c r="N230" s="3"/>
    </row>
    <row r="231" spans="3:14" ht="15.75" customHeight="1" x14ac:dyDescent="0.2">
      <c r="C231" s="52">
        <v>44438</v>
      </c>
      <c r="D231" s="19">
        <v>0.54861111111111105</v>
      </c>
      <c r="E231" s="3">
        <v>65</v>
      </c>
      <c r="F231" s="216">
        <v>8.3699999999999992</v>
      </c>
      <c r="G231" s="190">
        <v>66.2</v>
      </c>
      <c r="H231" s="3">
        <v>5.4</v>
      </c>
      <c r="L231" s="7"/>
      <c r="M231" s="3"/>
      <c r="N231" s="3"/>
    </row>
    <row r="232" spans="3:14" ht="15.75" customHeight="1" x14ac:dyDescent="0.2">
      <c r="C232" s="52">
        <v>44438</v>
      </c>
      <c r="D232" s="19">
        <v>0.54861111111111105</v>
      </c>
      <c r="E232" s="3">
        <v>67</v>
      </c>
      <c r="F232" s="216">
        <v>8.32</v>
      </c>
      <c r="G232" s="190">
        <v>65.8</v>
      </c>
      <c r="H232" s="3">
        <v>5.4</v>
      </c>
      <c r="L232" s="7"/>
      <c r="M232" s="3"/>
      <c r="N232" s="3"/>
    </row>
    <row r="233" spans="3:14" ht="15.75" customHeight="1" x14ac:dyDescent="0.2">
      <c r="C233" s="52">
        <v>44438</v>
      </c>
      <c r="D233" s="19">
        <v>0.54861111111111105</v>
      </c>
      <c r="E233" s="3">
        <v>69</v>
      </c>
      <c r="F233" s="216">
        <v>8.31</v>
      </c>
      <c r="G233" s="190">
        <v>65.599999999999994</v>
      </c>
      <c r="H233" s="3">
        <v>5.3</v>
      </c>
      <c r="L233" s="7"/>
      <c r="M233" s="3"/>
      <c r="N233" s="3"/>
    </row>
    <row r="234" spans="3:14" ht="15.75" customHeight="1" x14ac:dyDescent="0.2">
      <c r="C234" s="52">
        <v>44438</v>
      </c>
      <c r="D234" s="19">
        <v>0.54861111111111105</v>
      </c>
      <c r="E234" s="3">
        <v>71</v>
      </c>
      <c r="F234" s="216">
        <v>8.2899999999999991</v>
      </c>
      <c r="G234" s="190">
        <v>65.2</v>
      </c>
      <c r="H234" s="3">
        <v>5.2</v>
      </c>
      <c r="L234" s="7"/>
      <c r="M234" s="3"/>
      <c r="N234" s="3"/>
    </row>
    <row r="235" spans="3:14" ht="15.75" customHeight="1" x14ac:dyDescent="0.2">
      <c r="C235" s="52">
        <v>44438</v>
      </c>
      <c r="D235" s="19">
        <v>0.54861111111111105</v>
      </c>
      <c r="E235" s="3">
        <v>73</v>
      </c>
      <c r="F235" s="216">
        <v>8.23</v>
      </c>
      <c r="G235" s="190">
        <v>64.8</v>
      </c>
      <c r="H235" s="3">
        <v>5.2</v>
      </c>
      <c r="L235" s="7"/>
      <c r="M235" s="3"/>
      <c r="N235" s="3"/>
    </row>
    <row r="236" spans="3:14" ht="15.75" customHeight="1" x14ac:dyDescent="0.2">
      <c r="C236" s="52">
        <v>44438</v>
      </c>
      <c r="D236" s="19">
        <v>0.54861111111111105</v>
      </c>
      <c r="E236" s="3">
        <v>75</v>
      </c>
      <c r="F236" s="216">
        <v>8.1999999999999993</v>
      </c>
      <c r="G236" s="190">
        <v>64.5</v>
      </c>
      <c r="H236" s="3">
        <v>5.2</v>
      </c>
      <c r="L236" s="7"/>
      <c r="M236" s="3"/>
      <c r="N236" s="3"/>
    </row>
    <row r="237" spans="3:14" ht="15.75" customHeight="1" x14ac:dyDescent="0.2">
      <c r="C237" s="52">
        <v>44438</v>
      </c>
      <c r="D237" s="19">
        <v>0.54861111111111105</v>
      </c>
      <c r="E237" s="3">
        <v>77</v>
      </c>
      <c r="F237" s="216">
        <v>8.18</v>
      </c>
      <c r="G237" s="190">
        <v>64.2</v>
      </c>
      <c r="H237" s="3">
        <v>5.0999999999999996</v>
      </c>
      <c r="L237" s="7"/>
      <c r="M237" s="3"/>
      <c r="N237" s="3"/>
    </row>
    <row r="238" spans="3:14" ht="15.75" customHeight="1" x14ac:dyDescent="0.2">
      <c r="C238" s="52">
        <v>44438</v>
      </c>
      <c r="D238" s="19">
        <v>0.54861111111111105</v>
      </c>
      <c r="E238" s="3">
        <v>79</v>
      </c>
      <c r="F238" s="216">
        <v>8.16</v>
      </c>
      <c r="G238" s="190">
        <v>64</v>
      </c>
      <c r="H238" s="3">
        <v>5.0999999999999996</v>
      </c>
      <c r="L238" s="7"/>
      <c r="M238" s="3"/>
      <c r="N238" s="3"/>
    </row>
    <row r="239" spans="3:14" ht="15.75" customHeight="1" x14ac:dyDescent="0.2">
      <c r="C239" s="52">
        <v>44438</v>
      </c>
      <c r="D239" s="19">
        <v>0.54861111111111105</v>
      </c>
      <c r="E239" s="3">
        <v>81</v>
      </c>
      <c r="F239" s="216">
        <v>8.1199999999999992</v>
      </c>
      <c r="G239" s="216">
        <v>63.8</v>
      </c>
      <c r="H239" s="3">
        <v>5.0999999999999996</v>
      </c>
      <c r="L239" s="7"/>
      <c r="M239" s="3"/>
      <c r="N239" s="3"/>
    </row>
    <row r="240" spans="3:14" ht="15.75" customHeight="1" x14ac:dyDescent="0.2">
      <c r="C240" s="52">
        <v>44438</v>
      </c>
      <c r="D240" s="19">
        <v>0.54861111111111105</v>
      </c>
      <c r="E240" s="3">
        <v>83</v>
      </c>
      <c r="F240" s="216">
        <v>8.0500000000000007</v>
      </c>
      <c r="G240" s="216">
        <v>63</v>
      </c>
      <c r="H240" s="3">
        <v>5</v>
      </c>
      <c r="L240" s="7"/>
      <c r="M240" s="3"/>
      <c r="N240" s="3"/>
    </row>
    <row r="241" spans="3:14" ht="15.75" customHeight="1" x14ac:dyDescent="0.2">
      <c r="C241" s="52">
        <v>44438</v>
      </c>
      <c r="D241" s="19">
        <v>0.54861111111111105</v>
      </c>
      <c r="E241" s="3">
        <v>85</v>
      </c>
      <c r="F241" s="216">
        <v>7.98</v>
      </c>
      <c r="G241" s="216">
        <v>62.4</v>
      </c>
      <c r="H241" s="3">
        <v>5</v>
      </c>
      <c r="L241" s="7"/>
      <c r="M241" s="3"/>
      <c r="N241" s="3"/>
    </row>
    <row r="242" spans="3:14" ht="15.75" customHeight="1" x14ac:dyDescent="0.2">
      <c r="C242" s="52">
        <v>44438</v>
      </c>
      <c r="D242" s="19">
        <v>0.54861111111111105</v>
      </c>
      <c r="E242" s="3">
        <v>87</v>
      </c>
      <c r="F242" s="216">
        <v>7.91</v>
      </c>
      <c r="G242" s="216">
        <v>61.9</v>
      </c>
      <c r="H242" s="3">
        <v>5</v>
      </c>
      <c r="J242" s="3"/>
      <c r="K242" s="3"/>
      <c r="L242" s="7"/>
      <c r="M242" s="3"/>
      <c r="N242" s="3"/>
    </row>
    <row r="243" spans="3:14" ht="15.75" customHeight="1" x14ac:dyDescent="0.2">
      <c r="C243" s="3"/>
      <c r="E243" s="3"/>
      <c r="H243" s="3"/>
      <c r="J243" s="3"/>
      <c r="K243" s="3"/>
      <c r="L243" s="7"/>
      <c r="M243" s="3"/>
      <c r="N243" s="3"/>
    </row>
    <row r="244" spans="3:14" ht="15.75" customHeight="1" x14ac:dyDescent="0.2">
      <c r="C244" s="52">
        <v>44459</v>
      </c>
      <c r="D244" s="19">
        <v>0.52430555555555558</v>
      </c>
      <c r="E244" s="3"/>
      <c r="H244" s="3"/>
      <c r="J244" s="3">
        <v>9.5</v>
      </c>
      <c r="K244" s="3">
        <v>12</v>
      </c>
      <c r="L244" s="7"/>
      <c r="M244" s="3"/>
      <c r="N244" s="3"/>
    </row>
    <row r="245" spans="3:14" ht="15.75" customHeight="1" x14ac:dyDescent="0.2">
      <c r="C245" s="52">
        <v>44459</v>
      </c>
      <c r="D245" s="19">
        <v>0.53472222222222221</v>
      </c>
      <c r="E245" s="3">
        <v>0.1</v>
      </c>
      <c r="F245" s="216">
        <v>8.15</v>
      </c>
      <c r="G245" s="216">
        <v>84.8</v>
      </c>
      <c r="H245" s="3">
        <v>17.3</v>
      </c>
      <c r="I245" s="1">
        <v>17.3</v>
      </c>
      <c r="J245" s="3"/>
      <c r="K245" s="3"/>
      <c r="L245" s="7"/>
      <c r="M245" s="3"/>
      <c r="N245" s="3"/>
    </row>
    <row r="246" spans="3:14" ht="15.75" customHeight="1" x14ac:dyDescent="0.2">
      <c r="C246" s="52">
        <v>44459</v>
      </c>
      <c r="D246" s="19">
        <v>0.53472222222222221</v>
      </c>
      <c r="E246" s="3">
        <v>1</v>
      </c>
      <c r="F246" s="216">
        <v>8.09</v>
      </c>
      <c r="G246" s="216">
        <v>84.2</v>
      </c>
      <c r="H246" s="3">
        <v>17.3</v>
      </c>
      <c r="I246" s="1">
        <v>17.3</v>
      </c>
      <c r="J246" s="3"/>
      <c r="K246" s="3"/>
      <c r="L246" s="66"/>
    </row>
    <row r="247" spans="3:14" ht="15.75" customHeight="1" x14ac:dyDescent="0.2">
      <c r="C247" s="52">
        <v>44459</v>
      </c>
      <c r="D247" s="19">
        <v>0.53472222222222221</v>
      </c>
      <c r="E247" s="3">
        <v>2</v>
      </c>
      <c r="F247" s="216">
        <v>8.0500000000000007</v>
      </c>
      <c r="G247" s="216">
        <v>83.8</v>
      </c>
      <c r="H247" s="3">
        <v>17.3</v>
      </c>
      <c r="I247" s="1">
        <v>17.3</v>
      </c>
      <c r="J247" s="3"/>
      <c r="K247" s="3"/>
      <c r="L247" s="66"/>
    </row>
    <row r="248" spans="3:14" ht="15.75" customHeight="1" x14ac:dyDescent="0.2">
      <c r="C248" s="52">
        <v>44459</v>
      </c>
      <c r="D248" s="19">
        <v>0.53472222222222221</v>
      </c>
      <c r="E248" s="3">
        <v>3</v>
      </c>
      <c r="F248" s="216">
        <v>8.02</v>
      </c>
      <c r="G248" s="190">
        <v>83.4</v>
      </c>
      <c r="H248" s="3">
        <v>17.3</v>
      </c>
      <c r="I248" s="1">
        <v>17.3</v>
      </c>
      <c r="J248" s="3"/>
      <c r="K248" s="3"/>
      <c r="L248" s="66"/>
    </row>
    <row r="249" spans="3:14" ht="15.75" customHeight="1" x14ac:dyDescent="0.2">
      <c r="C249" s="52">
        <v>44459</v>
      </c>
      <c r="D249" s="19">
        <v>0.53472222222222221</v>
      </c>
      <c r="E249" s="3">
        <v>4</v>
      </c>
      <c r="F249" s="216">
        <v>7.96</v>
      </c>
      <c r="G249" s="190">
        <v>83</v>
      </c>
      <c r="H249" s="3">
        <v>17.399999999999999</v>
      </c>
      <c r="I249" s="1">
        <v>17.399999999999999</v>
      </c>
      <c r="J249" s="3"/>
      <c r="K249" s="3"/>
      <c r="L249" s="66"/>
    </row>
    <row r="250" spans="3:14" ht="15.75" customHeight="1" x14ac:dyDescent="0.2">
      <c r="C250" s="52">
        <v>44459</v>
      </c>
      <c r="D250" s="19">
        <v>0.53472222222222221</v>
      </c>
      <c r="E250" s="3">
        <v>5</v>
      </c>
      <c r="F250" s="216">
        <v>7.95</v>
      </c>
      <c r="G250" s="190">
        <v>82.7</v>
      </c>
      <c r="H250" s="3">
        <v>17.3</v>
      </c>
      <c r="I250" s="1">
        <v>17.3</v>
      </c>
      <c r="J250" s="3"/>
      <c r="K250" s="3"/>
      <c r="L250" s="66"/>
    </row>
    <row r="251" spans="3:14" ht="15.75" customHeight="1" x14ac:dyDescent="0.2">
      <c r="C251" s="52">
        <v>44459</v>
      </c>
      <c r="D251" s="19">
        <v>0.53472222222222221</v>
      </c>
      <c r="E251" s="3">
        <v>6</v>
      </c>
      <c r="F251" s="216">
        <v>7.92</v>
      </c>
      <c r="G251" s="190">
        <v>82.5</v>
      </c>
      <c r="H251" s="3">
        <v>17.3</v>
      </c>
      <c r="I251" s="1">
        <v>17.3</v>
      </c>
      <c r="J251" s="3"/>
      <c r="K251" s="3"/>
      <c r="L251" s="66"/>
    </row>
    <row r="252" spans="3:14" ht="15.75" customHeight="1" x14ac:dyDescent="0.2">
      <c r="C252" s="52">
        <v>44459</v>
      </c>
      <c r="D252" s="19">
        <v>0.53472222222222221</v>
      </c>
      <c r="E252" s="3">
        <v>7</v>
      </c>
      <c r="F252" s="216">
        <v>7.9</v>
      </c>
      <c r="G252" s="190">
        <v>82.2</v>
      </c>
      <c r="H252" s="3">
        <v>17.3</v>
      </c>
      <c r="I252" s="1">
        <v>17.3</v>
      </c>
      <c r="J252" s="3"/>
      <c r="K252" s="3"/>
      <c r="L252" s="66"/>
    </row>
    <row r="253" spans="3:14" ht="15.75" customHeight="1" x14ac:dyDescent="0.2">
      <c r="C253" s="52">
        <v>44459</v>
      </c>
      <c r="D253" s="19">
        <v>0.53472222222222221</v>
      </c>
      <c r="E253" s="3">
        <v>8</v>
      </c>
      <c r="F253" s="216">
        <v>7.88</v>
      </c>
      <c r="G253" s="190">
        <v>82</v>
      </c>
      <c r="H253" s="3">
        <v>17.3</v>
      </c>
      <c r="I253" s="1">
        <v>17.3</v>
      </c>
      <c r="J253" s="3"/>
      <c r="K253" s="3"/>
      <c r="L253" s="66"/>
    </row>
    <row r="254" spans="3:14" ht="15.75" customHeight="1" x14ac:dyDescent="0.2">
      <c r="C254" s="52">
        <v>44459</v>
      </c>
      <c r="D254" s="19">
        <v>0.53472222222222221</v>
      </c>
      <c r="E254" s="3">
        <v>9</v>
      </c>
      <c r="F254" s="216">
        <v>7.86</v>
      </c>
      <c r="G254" s="190">
        <v>81.8</v>
      </c>
      <c r="H254" s="3">
        <v>17.3</v>
      </c>
      <c r="I254" s="1">
        <v>17.3</v>
      </c>
      <c r="J254" s="3"/>
      <c r="K254" s="3"/>
      <c r="L254" s="66"/>
    </row>
    <row r="255" spans="3:14" ht="15.75" customHeight="1" x14ac:dyDescent="0.2">
      <c r="C255" s="52">
        <v>44459</v>
      </c>
      <c r="D255" s="19">
        <v>0.53472222222222221</v>
      </c>
      <c r="E255" s="3">
        <v>10</v>
      </c>
      <c r="F255" s="216">
        <v>7.84</v>
      </c>
      <c r="G255" s="190">
        <v>81.599999999999994</v>
      </c>
      <c r="H255" s="3">
        <v>17.3</v>
      </c>
      <c r="I255" s="1">
        <v>17.3</v>
      </c>
      <c r="J255" s="3"/>
      <c r="K255" s="3"/>
      <c r="L255" s="66"/>
    </row>
    <row r="256" spans="3:14" ht="15.75" customHeight="1" x14ac:dyDescent="0.2">
      <c r="C256" s="52">
        <v>44459</v>
      </c>
      <c r="D256" s="19">
        <v>0.53472222222222221</v>
      </c>
      <c r="E256" s="3">
        <v>11</v>
      </c>
      <c r="F256" s="216">
        <v>7.82</v>
      </c>
      <c r="G256" s="216">
        <v>81.400000000000006</v>
      </c>
      <c r="H256" s="3">
        <v>17.3</v>
      </c>
      <c r="I256" s="1">
        <v>17.3</v>
      </c>
      <c r="J256" s="3"/>
      <c r="K256" s="3"/>
      <c r="L256" s="67"/>
    </row>
    <row r="257" spans="3:12" ht="15.75" customHeight="1" x14ac:dyDescent="0.2">
      <c r="C257" s="52">
        <v>44459</v>
      </c>
      <c r="D257" s="19">
        <v>0.53472222222222221</v>
      </c>
      <c r="E257" s="3">
        <v>12</v>
      </c>
      <c r="F257" s="216">
        <v>7.83</v>
      </c>
      <c r="G257" s="216">
        <v>81.400000000000006</v>
      </c>
      <c r="H257" s="3">
        <v>17.2</v>
      </c>
      <c r="I257" s="1">
        <v>17.2</v>
      </c>
      <c r="J257" s="3"/>
      <c r="K257" s="3"/>
      <c r="L257" s="67"/>
    </row>
    <row r="258" spans="3:12" ht="15.75" customHeight="1" x14ac:dyDescent="0.2">
      <c r="C258" s="52">
        <v>44459</v>
      </c>
      <c r="D258" s="19">
        <v>0.53472222222222221</v>
      </c>
      <c r="E258" s="3">
        <v>13</v>
      </c>
      <c r="F258" s="216">
        <v>8.7799999999999994</v>
      </c>
      <c r="G258" s="216">
        <v>90.2</v>
      </c>
      <c r="H258" s="3">
        <v>15.5</v>
      </c>
      <c r="I258" s="47">
        <f>AVERAGE(I245:I257)</f>
        <v>17.300000000000004</v>
      </c>
      <c r="J258" s="3"/>
      <c r="K258" s="3"/>
      <c r="L258" s="67"/>
    </row>
    <row r="259" spans="3:12" ht="15.75" customHeight="1" x14ac:dyDescent="0.2">
      <c r="C259" s="52">
        <v>44459</v>
      </c>
      <c r="D259" s="19">
        <v>0.53472222222222221</v>
      </c>
      <c r="E259" s="3">
        <v>15</v>
      </c>
      <c r="F259" s="216">
        <v>9.44</v>
      </c>
      <c r="G259" s="216">
        <v>87.1</v>
      </c>
      <c r="H259" s="3">
        <v>11.7</v>
      </c>
      <c r="J259" s="3"/>
      <c r="K259" s="3"/>
      <c r="L259" s="67"/>
    </row>
    <row r="260" spans="3:12" ht="15.75" customHeight="1" x14ac:dyDescent="0.2">
      <c r="C260" s="52">
        <v>44459</v>
      </c>
      <c r="D260" s="19">
        <v>0.53472222222222221</v>
      </c>
      <c r="E260" s="3">
        <v>17</v>
      </c>
      <c r="F260" s="216">
        <v>9.49</v>
      </c>
      <c r="G260" s="216">
        <v>83.4</v>
      </c>
      <c r="H260" s="3">
        <v>9.6999999999999993</v>
      </c>
      <c r="J260" s="3"/>
      <c r="K260" s="3"/>
      <c r="L260" s="67"/>
    </row>
    <row r="261" spans="3:12" ht="15.75" customHeight="1" x14ac:dyDescent="0.2">
      <c r="C261" s="52">
        <v>44459</v>
      </c>
      <c r="D261" s="19">
        <v>0.53472222222222221</v>
      </c>
      <c r="E261" s="3">
        <v>19</v>
      </c>
      <c r="F261" s="216">
        <v>9.39</v>
      </c>
      <c r="G261" s="216">
        <v>79.900000000000006</v>
      </c>
      <c r="H261" s="3">
        <v>8.5</v>
      </c>
      <c r="J261" s="3"/>
      <c r="K261" s="3"/>
      <c r="L261" s="67"/>
    </row>
    <row r="262" spans="3:12" ht="15.75" customHeight="1" x14ac:dyDescent="0.2">
      <c r="C262" s="52">
        <v>44459</v>
      </c>
      <c r="D262" s="19">
        <v>0.53472222222222221</v>
      </c>
      <c r="E262" s="3">
        <v>21</v>
      </c>
      <c r="F262" s="216">
        <v>9.3000000000000007</v>
      </c>
      <c r="G262" s="190">
        <v>78</v>
      </c>
      <c r="H262" s="3">
        <v>7.8</v>
      </c>
      <c r="J262" s="3"/>
      <c r="K262" s="3"/>
      <c r="L262" s="67"/>
    </row>
    <row r="263" spans="3:12" ht="15.75" customHeight="1" x14ac:dyDescent="0.2">
      <c r="C263" s="52">
        <v>44459</v>
      </c>
      <c r="D263" s="19">
        <v>0.53472222222222221</v>
      </c>
      <c r="E263" s="3">
        <v>23</v>
      </c>
      <c r="F263" s="216">
        <v>9.24</v>
      </c>
      <c r="G263" s="190">
        <v>76.8</v>
      </c>
      <c r="H263" s="3">
        <v>7.5</v>
      </c>
      <c r="J263" s="3"/>
      <c r="K263" s="3"/>
      <c r="L263" s="66"/>
    </row>
    <row r="264" spans="3:12" ht="15.75" customHeight="1" x14ac:dyDescent="0.2">
      <c r="C264" s="52">
        <v>44459</v>
      </c>
      <c r="D264" s="19">
        <v>0.53472222222222221</v>
      </c>
      <c r="E264" s="3">
        <v>25</v>
      </c>
      <c r="F264" s="216">
        <v>9.15</v>
      </c>
      <c r="G264" s="190">
        <v>75.599999999999994</v>
      </c>
      <c r="H264" s="3">
        <v>7.2</v>
      </c>
      <c r="J264" s="3"/>
      <c r="K264" s="3"/>
      <c r="L264" s="66"/>
    </row>
    <row r="265" spans="3:12" ht="15.75" customHeight="1" x14ac:dyDescent="0.2">
      <c r="C265" s="52">
        <v>44459</v>
      </c>
      <c r="D265" s="19">
        <v>0.53472222222222221</v>
      </c>
      <c r="E265" s="3">
        <v>27</v>
      </c>
      <c r="F265" s="216">
        <v>9.06</v>
      </c>
      <c r="G265" s="190">
        <v>74.599999999999994</v>
      </c>
      <c r="H265" s="3">
        <v>7.1</v>
      </c>
      <c r="J265" s="3"/>
      <c r="K265" s="3"/>
      <c r="L265" s="66"/>
    </row>
    <row r="266" spans="3:12" ht="15.75" customHeight="1" x14ac:dyDescent="0.2">
      <c r="C266" s="52">
        <v>44459</v>
      </c>
      <c r="D266" s="19">
        <v>0.53472222222222221</v>
      </c>
      <c r="E266" s="3">
        <v>29</v>
      </c>
      <c r="F266" s="216">
        <v>8.9600000000000009</v>
      </c>
      <c r="G266" s="190">
        <v>73.3</v>
      </c>
      <c r="H266" s="3">
        <v>6.8</v>
      </c>
      <c r="J266" s="3"/>
      <c r="K266" s="3"/>
      <c r="L266" s="67"/>
    </row>
    <row r="267" spans="3:12" ht="15.75" customHeight="1" x14ac:dyDescent="0.2">
      <c r="C267" s="52">
        <v>44459</v>
      </c>
      <c r="D267" s="19">
        <v>0.53472222222222221</v>
      </c>
      <c r="E267" s="3">
        <v>31</v>
      </c>
      <c r="F267" s="216">
        <v>8.86</v>
      </c>
      <c r="G267" s="190">
        <v>72.400000000000006</v>
      </c>
      <c r="H267" s="3">
        <v>6.7</v>
      </c>
      <c r="J267" s="3"/>
      <c r="K267" s="3"/>
      <c r="L267" s="67"/>
    </row>
    <row r="268" spans="3:12" ht="15.75" customHeight="1" x14ac:dyDescent="0.2">
      <c r="C268" s="52">
        <v>44459</v>
      </c>
      <c r="D268" s="19">
        <v>0.53472222222222221</v>
      </c>
      <c r="E268" s="3">
        <v>33</v>
      </c>
      <c r="F268" s="216">
        <v>8.85</v>
      </c>
      <c r="G268" s="190">
        <v>72</v>
      </c>
      <c r="H268" s="3">
        <v>6.5</v>
      </c>
      <c r="J268" s="3"/>
      <c r="K268" s="3"/>
      <c r="L268" s="67"/>
    </row>
    <row r="269" spans="3:12" ht="15.75" customHeight="1" x14ac:dyDescent="0.2">
      <c r="C269" s="52">
        <v>44459</v>
      </c>
      <c r="D269" s="19">
        <v>0.53472222222222221</v>
      </c>
      <c r="E269" s="3">
        <v>35</v>
      </c>
      <c r="F269" s="216">
        <v>8.7899999999999991</v>
      </c>
      <c r="G269" s="190">
        <v>71.2</v>
      </c>
      <c r="H269" s="3">
        <v>6.4</v>
      </c>
      <c r="J269" s="3"/>
      <c r="K269" s="3"/>
      <c r="L269" s="67"/>
    </row>
    <row r="270" spans="3:12" ht="15.75" customHeight="1" x14ac:dyDescent="0.2">
      <c r="C270" s="52">
        <v>44459</v>
      </c>
      <c r="D270" s="19">
        <v>0.53472222222222221</v>
      </c>
      <c r="E270" s="3">
        <v>37</v>
      </c>
      <c r="F270" s="216">
        <v>8.66</v>
      </c>
      <c r="G270" s="190">
        <v>70</v>
      </c>
      <c r="H270" s="3">
        <v>6.3</v>
      </c>
      <c r="J270" s="3"/>
      <c r="K270" s="3"/>
      <c r="L270" s="67"/>
    </row>
    <row r="271" spans="3:12" ht="15.75" customHeight="1" x14ac:dyDescent="0.2">
      <c r="C271" s="52">
        <v>44459</v>
      </c>
      <c r="D271" s="19">
        <v>0.53472222222222221</v>
      </c>
      <c r="E271" s="3">
        <v>39</v>
      </c>
      <c r="F271" s="216">
        <v>8.58</v>
      </c>
      <c r="G271" s="190">
        <v>69.2</v>
      </c>
      <c r="H271" s="3">
        <v>6.2</v>
      </c>
      <c r="J271" s="3"/>
      <c r="K271" s="3"/>
      <c r="L271" s="67"/>
    </row>
    <row r="272" spans="3:12" ht="15.75" customHeight="1" x14ac:dyDescent="0.2">
      <c r="C272" s="52">
        <v>44459</v>
      </c>
      <c r="D272" s="19">
        <v>0.53472222222222221</v>
      </c>
      <c r="E272" s="3">
        <v>41</v>
      </c>
      <c r="F272" s="216">
        <v>8.5399999999999991</v>
      </c>
      <c r="G272" s="190">
        <v>68.7</v>
      </c>
      <c r="H272" s="3">
        <v>6.1</v>
      </c>
      <c r="J272" s="3"/>
      <c r="K272" s="3"/>
      <c r="L272" s="67"/>
    </row>
    <row r="273" spans="3:12" ht="15.75" customHeight="1" x14ac:dyDescent="0.2">
      <c r="C273" s="52">
        <v>44459</v>
      </c>
      <c r="D273" s="19">
        <v>0.53472222222222221</v>
      </c>
      <c r="E273" s="3">
        <v>43</v>
      </c>
      <c r="F273" s="216">
        <v>8.52</v>
      </c>
      <c r="G273" s="190">
        <v>68.400000000000006</v>
      </c>
      <c r="H273" s="3">
        <v>6</v>
      </c>
      <c r="J273" s="3"/>
      <c r="K273" s="3"/>
      <c r="L273" s="67"/>
    </row>
    <row r="274" spans="3:12" ht="15.75" customHeight="1" x14ac:dyDescent="0.2">
      <c r="C274" s="52">
        <v>44459</v>
      </c>
      <c r="D274" s="19">
        <v>0.53472222222222221</v>
      </c>
      <c r="E274" s="3">
        <v>45</v>
      </c>
      <c r="F274" s="216">
        <v>8.48</v>
      </c>
      <c r="G274" s="190">
        <v>68.099999999999994</v>
      </c>
      <c r="H274" s="3">
        <v>6</v>
      </c>
      <c r="J274" s="3"/>
      <c r="K274" s="3"/>
      <c r="L274" s="67"/>
    </row>
    <row r="275" spans="3:12" ht="15.75" customHeight="1" x14ac:dyDescent="0.2">
      <c r="C275" s="52">
        <v>44459</v>
      </c>
      <c r="D275" s="19">
        <v>0.53472222222222221</v>
      </c>
      <c r="E275" s="3">
        <v>47</v>
      </c>
      <c r="F275" s="216">
        <v>8.4700000000000006</v>
      </c>
      <c r="G275" s="190">
        <v>67.900000000000006</v>
      </c>
      <c r="H275" s="3">
        <v>5.9</v>
      </c>
      <c r="J275" s="3"/>
      <c r="K275" s="3"/>
      <c r="L275" s="67"/>
    </row>
    <row r="276" spans="3:12" ht="15.75" customHeight="1" x14ac:dyDescent="0.2">
      <c r="C276" s="52">
        <v>44459</v>
      </c>
      <c r="D276" s="19">
        <v>0.53472222222222221</v>
      </c>
      <c r="E276" s="3">
        <v>49</v>
      </c>
      <c r="F276" s="216">
        <v>8.44</v>
      </c>
      <c r="G276" s="190">
        <v>67.599999999999994</v>
      </c>
      <c r="H276" s="3">
        <v>5.9</v>
      </c>
      <c r="J276" s="3"/>
      <c r="K276" s="3"/>
      <c r="L276" s="67"/>
    </row>
    <row r="277" spans="3:12" ht="15.75" customHeight="1" x14ac:dyDescent="0.2">
      <c r="C277" s="52">
        <v>44459</v>
      </c>
      <c r="D277" s="19">
        <v>0.53472222222222221</v>
      </c>
      <c r="E277" s="3">
        <v>51</v>
      </c>
      <c r="F277" s="216">
        <v>8.34</v>
      </c>
      <c r="G277" s="190">
        <v>66.8</v>
      </c>
      <c r="H277" s="3">
        <v>5.9</v>
      </c>
      <c r="J277" s="3"/>
      <c r="K277" s="3"/>
      <c r="L277" s="67"/>
    </row>
    <row r="278" spans="3:12" ht="15.75" customHeight="1" x14ac:dyDescent="0.2">
      <c r="C278" s="52">
        <v>44459</v>
      </c>
      <c r="D278" s="19">
        <v>0.53472222222222221</v>
      </c>
      <c r="E278" s="3">
        <v>53</v>
      </c>
      <c r="F278" s="216">
        <v>8.27</v>
      </c>
      <c r="G278" s="190">
        <v>65.900000000000006</v>
      </c>
      <c r="H278" s="3">
        <v>5.8</v>
      </c>
      <c r="J278" s="3"/>
      <c r="K278" s="3"/>
      <c r="L278" s="66"/>
    </row>
    <row r="279" spans="3:12" ht="15.75" customHeight="1" x14ac:dyDescent="0.2">
      <c r="C279" s="52">
        <v>44459</v>
      </c>
      <c r="D279" s="19">
        <v>0.53472222222222221</v>
      </c>
      <c r="E279" s="3">
        <v>55</v>
      </c>
      <c r="F279" s="216">
        <v>8.1999999999999993</v>
      </c>
      <c r="G279" s="190">
        <v>65.3</v>
      </c>
      <c r="H279" s="3">
        <v>5.7</v>
      </c>
      <c r="J279" s="3"/>
      <c r="K279" s="3"/>
      <c r="L279" s="66"/>
    </row>
    <row r="280" spans="3:12" ht="15.75" customHeight="1" x14ac:dyDescent="0.2">
      <c r="C280" s="52">
        <v>44459</v>
      </c>
      <c r="D280" s="19">
        <v>0.53472222222222221</v>
      </c>
      <c r="E280" s="3">
        <v>57</v>
      </c>
      <c r="F280" s="216">
        <v>8.2100000000000009</v>
      </c>
      <c r="G280" s="190">
        <v>65.5</v>
      </c>
      <c r="H280" s="3">
        <v>5.7</v>
      </c>
      <c r="J280" s="3"/>
      <c r="K280" s="3"/>
      <c r="L280" s="66"/>
    </row>
    <row r="281" spans="3:12" ht="15.75" customHeight="1" x14ac:dyDescent="0.2">
      <c r="C281" s="52">
        <v>44459</v>
      </c>
      <c r="D281" s="19">
        <v>0.53472222222222221</v>
      </c>
      <c r="E281" s="3">
        <v>59</v>
      </c>
      <c r="F281" s="216">
        <v>8.24</v>
      </c>
      <c r="G281" s="190">
        <v>65.599999999999994</v>
      </c>
      <c r="H281" s="3">
        <v>5.6</v>
      </c>
      <c r="J281" s="3"/>
      <c r="K281" s="3"/>
      <c r="L281" s="66"/>
    </row>
    <row r="282" spans="3:12" ht="15.75" customHeight="1" x14ac:dyDescent="0.2">
      <c r="C282" s="52">
        <v>44459</v>
      </c>
      <c r="D282" s="19">
        <v>0.53472222222222221</v>
      </c>
      <c r="E282" s="3">
        <v>61</v>
      </c>
      <c r="F282" s="216">
        <v>8.24</v>
      </c>
      <c r="G282" s="190">
        <v>65.5</v>
      </c>
      <c r="H282" s="3">
        <v>5.6</v>
      </c>
      <c r="J282" s="3"/>
      <c r="K282" s="3"/>
      <c r="L282" s="66"/>
    </row>
    <row r="283" spans="3:12" ht="15.75" customHeight="1" x14ac:dyDescent="0.2">
      <c r="C283" s="52">
        <v>44459</v>
      </c>
      <c r="D283" s="19">
        <v>0.53472222222222221</v>
      </c>
      <c r="E283" s="3">
        <v>63</v>
      </c>
      <c r="F283" s="216">
        <v>8.24</v>
      </c>
      <c r="G283" s="190">
        <v>65.5</v>
      </c>
      <c r="H283" s="3">
        <v>5.5</v>
      </c>
      <c r="J283" s="3"/>
      <c r="K283" s="3"/>
      <c r="L283" s="66"/>
    </row>
    <row r="284" spans="3:12" ht="15.75" customHeight="1" x14ac:dyDescent="0.2">
      <c r="C284" s="52">
        <v>44459</v>
      </c>
      <c r="D284" s="19">
        <v>0.53472222222222221</v>
      </c>
      <c r="E284" s="3">
        <v>65</v>
      </c>
      <c r="F284" s="216">
        <v>8.31</v>
      </c>
      <c r="G284" s="190">
        <v>65.8</v>
      </c>
      <c r="H284" s="3">
        <v>5.4</v>
      </c>
      <c r="L284" s="66"/>
    </row>
    <row r="285" spans="3:12" ht="15.75" customHeight="1" x14ac:dyDescent="0.2">
      <c r="C285" s="52">
        <v>44459</v>
      </c>
      <c r="D285" s="19">
        <v>0.53472222222222221</v>
      </c>
      <c r="E285" s="3">
        <v>67</v>
      </c>
      <c r="F285" s="216">
        <v>8.31</v>
      </c>
      <c r="G285" s="190">
        <v>65.599999999999994</v>
      </c>
      <c r="H285" s="3">
        <v>5.3</v>
      </c>
      <c r="L285" s="66"/>
    </row>
    <row r="286" spans="3:12" ht="15.75" customHeight="1" x14ac:dyDescent="0.2">
      <c r="C286" s="52">
        <v>44459</v>
      </c>
      <c r="D286" s="19">
        <v>0.53472222222222221</v>
      </c>
      <c r="E286" s="3">
        <v>69</v>
      </c>
      <c r="F286" s="216">
        <v>8.3000000000000007</v>
      </c>
      <c r="G286" s="190">
        <v>65.599999999999994</v>
      </c>
      <c r="H286" s="3">
        <v>5.3</v>
      </c>
      <c r="L286" s="66"/>
    </row>
    <row r="287" spans="3:12" ht="15.75" customHeight="1" x14ac:dyDescent="0.2">
      <c r="C287" s="52">
        <v>44459</v>
      </c>
      <c r="D287" s="19">
        <v>0.53472222222222221</v>
      </c>
      <c r="E287" s="3">
        <v>71</v>
      </c>
      <c r="F287" s="216">
        <v>8.36</v>
      </c>
      <c r="G287" s="190">
        <v>65.8</v>
      </c>
      <c r="H287" s="3">
        <v>5.2</v>
      </c>
      <c r="L287" s="66"/>
    </row>
    <row r="288" spans="3:12" ht="15.75" customHeight="1" x14ac:dyDescent="0.2">
      <c r="C288" s="52">
        <v>44459</v>
      </c>
      <c r="D288" s="19">
        <v>0.53472222222222221</v>
      </c>
      <c r="E288" s="3">
        <v>73</v>
      </c>
      <c r="F288" s="216">
        <v>8.35</v>
      </c>
      <c r="G288" s="190">
        <v>65.7</v>
      </c>
      <c r="H288" s="3">
        <v>5.2</v>
      </c>
    </row>
    <row r="289" spans="3:11" ht="15.75" customHeight="1" x14ac:dyDescent="0.2">
      <c r="C289" s="52">
        <v>44459</v>
      </c>
      <c r="D289" s="19">
        <v>0.53472222222222221</v>
      </c>
      <c r="E289" s="3">
        <v>75</v>
      </c>
      <c r="F289" s="216">
        <v>8.32</v>
      </c>
      <c r="G289" s="216">
        <v>65.5</v>
      </c>
      <c r="H289" s="3">
        <v>5.2</v>
      </c>
    </row>
    <row r="290" spans="3:11" ht="15.75" customHeight="1" x14ac:dyDescent="0.2">
      <c r="C290" s="52">
        <v>44459</v>
      </c>
      <c r="D290" s="19">
        <v>0.53472222222222221</v>
      </c>
      <c r="E290" s="3">
        <v>77</v>
      </c>
      <c r="F290" s="216">
        <v>8.2899999999999991</v>
      </c>
      <c r="G290" s="216">
        <v>65.099999999999994</v>
      </c>
      <c r="H290" s="3">
        <v>5.0999999999999996</v>
      </c>
    </row>
    <row r="291" spans="3:11" ht="15.75" customHeight="1" x14ac:dyDescent="0.2">
      <c r="C291" s="52">
        <v>44459</v>
      </c>
      <c r="D291" s="19">
        <v>0.53472222222222221</v>
      </c>
      <c r="E291" s="3">
        <v>79</v>
      </c>
      <c r="F291" s="216">
        <v>8.27</v>
      </c>
      <c r="G291" s="216">
        <v>65</v>
      </c>
      <c r="H291" s="3">
        <v>5.0999999999999996</v>
      </c>
    </row>
    <row r="292" spans="3:11" ht="15.75" customHeight="1" x14ac:dyDescent="0.2">
      <c r="C292" s="52">
        <v>44459</v>
      </c>
      <c r="D292" s="19">
        <v>0.53472222222222221</v>
      </c>
      <c r="E292" s="3">
        <v>81</v>
      </c>
      <c r="F292" s="216">
        <v>8.25</v>
      </c>
      <c r="G292" s="216">
        <v>64.7</v>
      </c>
      <c r="H292" s="3">
        <v>5.0999999999999996</v>
      </c>
    </row>
    <row r="293" spans="3:11" ht="15.75" customHeight="1" x14ac:dyDescent="0.2">
      <c r="C293" s="52"/>
      <c r="D293" s="19"/>
      <c r="E293" s="3"/>
      <c r="F293" s="216"/>
      <c r="G293" s="216"/>
      <c r="H293" s="3"/>
    </row>
    <row r="294" spans="3:11" ht="15.75" customHeight="1" x14ac:dyDescent="0.2">
      <c r="C294" s="52">
        <v>43018</v>
      </c>
      <c r="D294" s="19">
        <v>0.4375</v>
      </c>
      <c r="E294" s="3"/>
      <c r="F294" s="216"/>
      <c r="G294" s="216"/>
      <c r="H294" s="3"/>
      <c r="J294">
        <v>10</v>
      </c>
      <c r="K294">
        <v>13</v>
      </c>
    </row>
    <row r="295" spans="3:11" ht="15.75" customHeight="1" x14ac:dyDescent="0.2">
      <c r="C295" s="52">
        <v>43018</v>
      </c>
      <c r="D295" s="19">
        <v>0.44791666666666669</v>
      </c>
      <c r="E295" s="3">
        <v>0.1</v>
      </c>
      <c r="F295" s="216">
        <v>8.83</v>
      </c>
      <c r="G295" s="216">
        <v>84.5</v>
      </c>
      <c r="H295" s="3">
        <v>13.5</v>
      </c>
    </row>
    <row r="296" spans="3:11" ht="15.75" customHeight="1" x14ac:dyDescent="0.2">
      <c r="C296" s="52">
        <v>43018</v>
      </c>
      <c r="D296" s="19">
        <v>0.44791666666666669</v>
      </c>
      <c r="E296" s="3">
        <v>1</v>
      </c>
      <c r="F296" s="216">
        <v>8.6999999999999993</v>
      </c>
      <c r="G296" s="216">
        <v>83.8</v>
      </c>
      <c r="H296" s="3">
        <v>13.7</v>
      </c>
    </row>
    <row r="297" spans="3:11" ht="15.75" customHeight="1" x14ac:dyDescent="0.2">
      <c r="C297" s="52">
        <v>43018</v>
      </c>
      <c r="D297" s="19">
        <v>0.44791666666666669</v>
      </c>
      <c r="E297" s="3">
        <v>2</v>
      </c>
      <c r="F297" s="216">
        <v>8.64</v>
      </c>
      <c r="G297" s="216">
        <v>83.5</v>
      </c>
      <c r="H297" s="3">
        <v>13.8</v>
      </c>
    </row>
    <row r="298" spans="3:11" ht="15.75" customHeight="1" x14ac:dyDescent="0.2">
      <c r="C298" s="52">
        <v>43018</v>
      </c>
      <c r="D298" s="19">
        <v>0.44791666666666669</v>
      </c>
      <c r="E298" s="3">
        <v>3</v>
      </c>
      <c r="F298" s="216">
        <v>8.6199999999999992</v>
      </c>
      <c r="G298" s="216">
        <v>83.2</v>
      </c>
      <c r="H298" s="3">
        <v>13.8</v>
      </c>
    </row>
    <row r="299" spans="3:11" ht="15.75" customHeight="1" x14ac:dyDescent="0.2">
      <c r="C299" s="52">
        <v>43018</v>
      </c>
      <c r="D299" s="19">
        <v>0.44791666666666669</v>
      </c>
      <c r="E299" s="3">
        <v>4</v>
      </c>
      <c r="F299" s="216">
        <v>8.6</v>
      </c>
      <c r="G299" s="216">
        <v>83</v>
      </c>
      <c r="H299" s="3">
        <v>13.8</v>
      </c>
    </row>
    <row r="300" spans="3:11" ht="15.75" customHeight="1" x14ac:dyDescent="0.2">
      <c r="C300" s="52">
        <v>43018</v>
      </c>
      <c r="D300" s="19">
        <v>0.44791666666666669</v>
      </c>
      <c r="E300" s="3">
        <v>5</v>
      </c>
      <c r="F300" s="216">
        <v>8.56</v>
      </c>
      <c r="G300" s="216">
        <v>82.8</v>
      </c>
      <c r="H300" s="3">
        <v>13.9</v>
      </c>
    </row>
    <row r="301" spans="3:11" ht="15.75" customHeight="1" x14ac:dyDescent="0.2">
      <c r="C301" s="52">
        <v>43018</v>
      </c>
      <c r="D301" s="19">
        <v>0.44791666666666669</v>
      </c>
      <c r="E301" s="3">
        <v>6</v>
      </c>
      <c r="F301" s="216">
        <v>8.5399999999999991</v>
      </c>
      <c r="G301" s="216">
        <v>82.7</v>
      </c>
      <c r="H301" s="3">
        <v>13.9</v>
      </c>
    </row>
    <row r="302" spans="3:11" ht="15.75" customHeight="1" x14ac:dyDescent="0.2">
      <c r="C302" s="52">
        <v>43018</v>
      </c>
      <c r="D302" s="19">
        <v>0.44791666666666669</v>
      </c>
      <c r="E302" s="3">
        <v>7</v>
      </c>
      <c r="F302" s="216">
        <v>8.5299999999999994</v>
      </c>
      <c r="G302" s="216">
        <v>82.5</v>
      </c>
      <c r="H302" s="3">
        <v>13.9</v>
      </c>
    </row>
    <row r="303" spans="3:11" ht="15.75" customHeight="1" x14ac:dyDescent="0.2">
      <c r="C303" s="52">
        <v>43018</v>
      </c>
      <c r="D303" s="19">
        <v>0.44791666666666669</v>
      </c>
      <c r="E303" s="3">
        <v>8</v>
      </c>
      <c r="F303" s="216">
        <v>8.51</v>
      </c>
      <c r="G303" s="216">
        <v>82.4</v>
      </c>
      <c r="H303" s="3">
        <v>13.9</v>
      </c>
    </row>
    <row r="304" spans="3:11" ht="15.75" customHeight="1" x14ac:dyDescent="0.2">
      <c r="C304" s="52">
        <v>43018</v>
      </c>
      <c r="D304" s="19">
        <v>0.44791666666666669</v>
      </c>
      <c r="E304" s="3">
        <v>9</v>
      </c>
      <c r="F304" s="216">
        <v>8.49</v>
      </c>
      <c r="G304" s="216">
        <v>82.2</v>
      </c>
      <c r="H304" s="3">
        <v>13.9</v>
      </c>
    </row>
    <row r="305" spans="3:8" ht="15.75" customHeight="1" x14ac:dyDescent="0.2">
      <c r="C305" s="52">
        <v>43018</v>
      </c>
      <c r="D305" s="19">
        <v>0.44791666666666669</v>
      </c>
      <c r="E305" s="3">
        <v>10</v>
      </c>
      <c r="F305" s="216">
        <v>8.48</v>
      </c>
      <c r="G305" s="216">
        <v>82.1</v>
      </c>
      <c r="H305" s="3">
        <v>13.9</v>
      </c>
    </row>
    <row r="306" spans="3:8" ht="15.75" customHeight="1" x14ac:dyDescent="0.2">
      <c r="C306" s="52">
        <v>43018</v>
      </c>
      <c r="D306" s="19">
        <v>0.44791666666666669</v>
      </c>
      <c r="E306" s="3">
        <v>11</v>
      </c>
      <c r="F306" s="216">
        <v>8.48</v>
      </c>
      <c r="G306" s="216">
        <v>81.900000000000006</v>
      </c>
      <c r="H306" s="3">
        <v>13.8</v>
      </c>
    </row>
    <row r="307" spans="3:8" ht="15.75" customHeight="1" x14ac:dyDescent="0.2">
      <c r="C307" s="52">
        <v>43018</v>
      </c>
      <c r="D307" s="19">
        <v>0.44791666666666669</v>
      </c>
      <c r="E307" s="3">
        <v>12</v>
      </c>
      <c r="F307" s="216">
        <v>8.59</v>
      </c>
      <c r="G307" s="216">
        <v>82.4</v>
      </c>
      <c r="H307" s="3">
        <v>13.2</v>
      </c>
    </row>
    <row r="308" spans="3:8" ht="15.75" customHeight="1" x14ac:dyDescent="0.2">
      <c r="C308" s="52">
        <v>43018</v>
      </c>
      <c r="D308" s="19">
        <v>0.44791666666666669</v>
      </c>
      <c r="E308" s="3">
        <v>13</v>
      </c>
      <c r="F308" s="216">
        <v>9.15</v>
      </c>
      <c r="G308" s="216">
        <v>83.4</v>
      </c>
      <c r="H308" s="3">
        <v>11.1</v>
      </c>
    </row>
    <row r="309" spans="3:8" ht="15.75" customHeight="1" x14ac:dyDescent="0.2">
      <c r="C309" s="52">
        <v>43018</v>
      </c>
      <c r="D309" s="19">
        <v>0.44791666666666669</v>
      </c>
      <c r="E309" s="3">
        <v>15</v>
      </c>
      <c r="F309" s="216">
        <v>9.3800000000000008</v>
      </c>
      <c r="G309" s="216">
        <v>81.400000000000006</v>
      </c>
      <c r="H309" s="3">
        <v>9.1</v>
      </c>
    </row>
    <row r="310" spans="3:8" ht="15.75" customHeight="1" x14ac:dyDescent="0.2">
      <c r="C310" s="52">
        <v>43018</v>
      </c>
      <c r="D310" s="19">
        <v>0.44791666666666669</v>
      </c>
      <c r="E310" s="3">
        <v>17</v>
      </c>
      <c r="F310" s="216">
        <v>9.16</v>
      </c>
      <c r="G310" s="216">
        <v>77.099999999999994</v>
      </c>
      <c r="H310" s="3">
        <v>8</v>
      </c>
    </row>
    <row r="311" spans="3:8" ht="15.75" customHeight="1" x14ac:dyDescent="0.2">
      <c r="C311" s="52">
        <v>43018</v>
      </c>
      <c r="D311" s="19">
        <v>0.44791666666666669</v>
      </c>
      <c r="E311" s="3">
        <v>19</v>
      </c>
      <c r="F311" s="216">
        <v>8.77</v>
      </c>
      <c r="G311" s="216">
        <v>72.400000000000006</v>
      </c>
      <c r="H311" s="3">
        <v>7.1</v>
      </c>
    </row>
    <row r="312" spans="3:8" ht="15.75" customHeight="1" x14ac:dyDescent="0.2">
      <c r="C312" s="52">
        <v>43018</v>
      </c>
      <c r="D312" s="19">
        <v>0.44791666666666669</v>
      </c>
      <c r="E312" s="3">
        <v>21</v>
      </c>
      <c r="F312" s="216">
        <v>8.6999999999999993</v>
      </c>
      <c r="G312" s="216">
        <v>70.5</v>
      </c>
      <c r="H312" s="3">
        <v>6.8</v>
      </c>
    </row>
    <row r="313" spans="3:8" ht="15.75" customHeight="1" x14ac:dyDescent="0.2">
      <c r="C313" s="52">
        <v>43018</v>
      </c>
      <c r="D313" s="19">
        <v>0.44791666666666669</v>
      </c>
      <c r="E313" s="3">
        <v>23</v>
      </c>
      <c r="F313" s="216">
        <v>8.5299999999999994</v>
      </c>
      <c r="G313" s="216">
        <v>69.7</v>
      </c>
      <c r="H313" s="3">
        <v>6.7</v>
      </c>
    </row>
    <row r="314" spans="3:8" ht="15.75" customHeight="1" x14ac:dyDescent="0.2">
      <c r="C314" s="52">
        <v>43018</v>
      </c>
      <c r="D314" s="19">
        <v>0.44791666666666669</v>
      </c>
      <c r="E314" s="3">
        <v>25</v>
      </c>
      <c r="F314" s="216">
        <v>8.4</v>
      </c>
      <c r="G314" s="216">
        <v>68.2</v>
      </c>
      <c r="H314" s="3">
        <v>6.5</v>
      </c>
    </row>
    <row r="315" spans="3:8" ht="15.75" customHeight="1" x14ac:dyDescent="0.2">
      <c r="C315" s="52">
        <v>43018</v>
      </c>
      <c r="D315" s="19">
        <v>0.44791666666666669</v>
      </c>
      <c r="E315" s="3">
        <v>27</v>
      </c>
      <c r="F315" s="216">
        <v>8.35</v>
      </c>
      <c r="G315" s="216">
        <v>67.5</v>
      </c>
      <c r="H315" s="3">
        <v>6.4</v>
      </c>
    </row>
    <row r="316" spans="3:8" ht="15.75" customHeight="1" x14ac:dyDescent="0.2">
      <c r="C316" s="52">
        <v>43018</v>
      </c>
      <c r="D316" s="19">
        <v>0.44791666666666669</v>
      </c>
      <c r="E316" s="3">
        <v>29</v>
      </c>
      <c r="F316" s="216">
        <v>8.2799999999999994</v>
      </c>
      <c r="G316" s="216">
        <v>66.8</v>
      </c>
      <c r="H316" s="3">
        <v>6.2</v>
      </c>
    </row>
    <row r="317" spans="3:8" ht="15.75" customHeight="1" x14ac:dyDescent="0.2">
      <c r="C317" s="52">
        <v>43018</v>
      </c>
      <c r="D317" s="19">
        <v>0.44791666666666669</v>
      </c>
      <c r="E317" s="3">
        <v>31</v>
      </c>
      <c r="F317" s="216">
        <v>8.2200000000000006</v>
      </c>
      <c r="G317" s="216">
        <v>66.2</v>
      </c>
      <c r="H317" s="3">
        <v>6.1</v>
      </c>
    </row>
    <row r="318" spans="3:8" ht="15.75" customHeight="1" x14ac:dyDescent="0.2">
      <c r="C318" s="52">
        <v>43018</v>
      </c>
      <c r="D318" s="19">
        <v>0.44791666666666669</v>
      </c>
      <c r="E318" s="3">
        <v>33</v>
      </c>
      <c r="F318" s="216">
        <v>8.1999999999999993</v>
      </c>
      <c r="G318" s="216">
        <v>65.8</v>
      </c>
      <c r="H318" s="3">
        <v>6</v>
      </c>
    </row>
    <row r="319" spans="3:8" ht="15.75" customHeight="1" x14ac:dyDescent="0.2">
      <c r="C319" s="52">
        <v>43018</v>
      </c>
      <c r="D319" s="19">
        <v>0.44791666666666669</v>
      </c>
      <c r="E319" s="3">
        <v>35</v>
      </c>
      <c r="F319" s="216">
        <v>8.15</v>
      </c>
      <c r="G319" s="216">
        <v>65.3</v>
      </c>
      <c r="H319" s="3">
        <v>5.9</v>
      </c>
    </row>
    <row r="320" spans="3:8" ht="15.75" customHeight="1" x14ac:dyDescent="0.2">
      <c r="C320" s="52">
        <v>43018</v>
      </c>
      <c r="D320" s="19">
        <v>0.44791666666666669</v>
      </c>
      <c r="E320" s="3">
        <v>37</v>
      </c>
      <c r="F320" s="216">
        <v>8.11</v>
      </c>
      <c r="G320" s="216">
        <v>65</v>
      </c>
      <c r="H320" s="3">
        <v>5.9</v>
      </c>
    </row>
    <row r="321" spans="3:8" ht="15.75" customHeight="1" x14ac:dyDescent="0.2">
      <c r="C321" s="52">
        <v>43018</v>
      </c>
      <c r="D321" s="19">
        <v>0.44791666666666669</v>
      </c>
      <c r="E321" s="3">
        <v>39</v>
      </c>
      <c r="F321" s="216">
        <v>8.1</v>
      </c>
      <c r="G321" s="216">
        <v>64.7</v>
      </c>
      <c r="H321" s="3">
        <v>5.8</v>
      </c>
    </row>
    <row r="322" spans="3:8" ht="15.75" customHeight="1" x14ac:dyDescent="0.2">
      <c r="C322" s="52">
        <v>43018</v>
      </c>
      <c r="D322" s="19">
        <v>0.44791666666666669</v>
      </c>
      <c r="E322" s="3">
        <v>41</v>
      </c>
      <c r="F322" s="216">
        <v>8.07</v>
      </c>
      <c r="G322" s="216">
        <v>64</v>
      </c>
      <c r="H322" s="3">
        <v>5.5</v>
      </c>
    </row>
    <row r="323" spans="3:8" ht="15.75" customHeight="1" x14ac:dyDescent="0.2">
      <c r="C323" s="52">
        <v>43018</v>
      </c>
      <c r="D323" s="19">
        <v>0.44791666666666669</v>
      </c>
      <c r="E323" s="3">
        <v>43</v>
      </c>
      <c r="F323" s="216">
        <v>8.0399999999999991</v>
      </c>
      <c r="G323" s="216">
        <v>63.7</v>
      </c>
      <c r="H323" s="3">
        <v>5.5</v>
      </c>
    </row>
    <row r="324" spans="3:8" ht="15.75" customHeight="1" x14ac:dyDescent="0.2">
      <c r="C324" s="52">
        <v>43018</v>
      </c>
      <c r="D324" s="19">
        <v>0.44791666666666669</v>
      </c>
      <c r="E324" s="3">
        <v>45</v>
      </c>
      <c r="F324" s="216">
        <v>8.02</v>
      </c>
      <c r="G324" s="216">
        <v>63.5</v>
      </c>
      <c r="H324" s="3">
        <v>5.4</v>
      </c>
    </row>
    <row r="325" spans="3:8" ht="15.75" customHeight="1" x14ac:dyDescent="0.2">
      <c r="C325" s="52">
        <v>43018</v>
      </c>
      <c r="D325" s="19">
        <v>0.44791666666666669</v>
      </c>
      <c r="E325" s="3">
        <v>47</v>
      </c>
      <c r="F325" s="216">
        <v>8</v>
      </c>
      <c r="G325" s="216">
        <v>63.2</v>
      </c>
      <c r="H325" s="3">
        <v>5.3</v>
      </c>
    </row>
    <row r="326" spans="3:8" ht="15.75" customHeight="1" x14ac:dyDescent="0.2">
      <c r="C326" s="52">
        <v>43018</v>
      </c>
      <c r="D326" s="19">
        <v>0.44791666666666669</v>
      </c>
      <c r="E326" s="3">
        <v>49</v>
      </c>
      <c r="F326" s="216">
        <v>8</v>
      </c>
      <c r="G326" s="216">
        <v>62.9</v>
      </c>
      <c r="H326" s="3">
        <v>5.2</v>
      </c>
    </row>
    <row r="327" spans="3:8" ht="15.75" customHeight="1" x14ac:dyDescent="0.2">
      <c r="C327" s="52">
        <v>43018</v>
      </c>
      <c r="D327" s="19">
        <v>0.44791666666666669</v>
      </c>
      <c r="E327" s="3">
        <v>51</v>
      </c>
      <c r="F327" s="216">
        <v>7.96</v>
      </c>
      <c r="G327" s="216">
        <v>62.6</v>
      </c>
      <c r="H327" s="3">
        <v>5.2</v>
      </c>
    </row>
    <row r="328" spans="3:8" ht="15.75" customHeight="1" x14ac:dyDescent="0.2">
      <c r="C328" s="52">
        <v>43018</v>
      </c>
      <c r="D328" s="19">
        <v>0.44791666666666669</v>
      </c>
      <c r="E328" s="3">
        <v>53</v>
      </c>
      <c r="F328" s="216">
        <v>7.93</v>
      </c>
      <c r="G328" s="216">
        <v>62.3</v>
      </c>
      <c r="H328" s="3">
        <v>5.0999999999999996</v>
      </c>
    </row>
    <row r="329" spans="3:8" ht="15.75" customHeight="1" x14ac:dyDescent="0.2">
      <c r="C329" s="52">
        <v>43018</v>
      </c>
      <c r="D329" s="19">
        <v>0.44791666666666669</v>
      </c>
      <c r="E329" s="3">
        <v>55</v>
      </c>
      <c r="F329" s="216">
        <v>7.93</v>
      </c>
      <c r="G329" s="216">
        <v>62.1</v>
      </c>
      <c r="H329" s="3">
        <v>5</v>
      </c>
    </row>
    <row r="330" spans="3:8" ht="15.75" customHeight="1" x14ac:dyDescent="0.2">
      <c r="C330" s="52">
        <v>43018</v>
      </c>
      <c r="D330" s="19">
        <v>0.44791666666666669</v>
      </c>
      <c r="E330" s="3">
        <v>57</v>
      </c>
      <c r="F330" s="216">
        <v>7.91</v>
      </c>
      <c r="G330" s="216">
        <v>61.9</v>
      </c>
      <c r="H330" s="3">
        <v>5</v>
      </c>
    </row>
    <row r="331" spans="3:8" ht="15.75" customHeight="1" x14ac:dyDescent="0.2">
      <c r="C331" s="52">
        <v>43018</v>
      </c>
      <c r="D331" s="19">
        <v>0.44791666666666669</v>
      </c>
      <c r="E331" s="3">
        <v>59</v>
      </c>
      <c r="F331" s="216">
        <v>7.86</v>
      </c>
      <c r="G331" s="216">
        <v>61.5</v>
      </c>
      <c r="H331" s="3">
        <v>5</v>
      </c>
    </row>
    <row r="332" spans="3:8" ht="15.75" customHeight="1" x14ac:dyDescent="0.2">
      <c r="C332" s="52">
        <v>43018</v>
      </c>
      <c r="D332" s="19">
        <v>0.44791666666666669</v>
      </c>
      <c r="E332" s="3">
        <v>61</v>
      </c>
      <c r="F332" s="216">
        <v>7.85</v>
      </c>
      <c r="G332" s="216">
        <v>61.3</v>
      </c>
      <c r="H332" s="3">
        <v>4.9000000000000004</v>
      </c>
    </row>
    <row r="333" spans="3:8" ht="15.75" customHeight="1" x14ac:dyDescent="0.2">
      <c r="C333" s="52">
        <v>43018</v>
      </c>
      <c r="D333" s="19">
        <v>0.44791666666666669</v>
      </c>
      <c r="E333" s="3">
        <v>63</v>
      </c>
      <c r="F333" s="216">
        <v>7.84</v>
      </c>
      <c r="G333" s="216">
        <v>61.2</v>
      </c>
      <c r="H333" s="3">
        <v>4.9000000000000004</v>
      </c>
    </row>
    <row r="334" spans="3:8" ht="15.75" customHeight="1" x14ac:dyDescent="0.2">
      <c r="C334" s="52">
        <v>43018</v>
      </c>
      <c r="D334" s="19">
        <v>0.44791666666666669</v>
      </c>
      <c r="E334" s="3">
        <v>65</v>
      </c>
      <c r="F334" s="216">
        <v>7.84</v>
      </c>
      <c r="G334" s="216">
        <v>61</v>
      </c>
      <c r="H334" s="3">
        <v>4.9000000000000004</v>
      </c>
    </row>
    <row r="335" spans="3:8" ht="15.75" customHeight="1" x14ac:dyDescent="0.2">
      <c r="C335" s="52">
        <v>43018</v>
      </c>
      <c r="D335" s="19">
        <v>0.44791666666666669</v>
      </c>
      <c r="E335" s="3">
        <v>67</v>
      </c>
      <c r="F335" s="216">
        <v>7.75</v>
      </c>
      <c r="G335" s="216">
        <v>60.5</v>
      </c>
      <c r="H335" s="3">
        <v>4.9000000000000004</v>
      </c>
    </row>
    <row r="336" spans="3:8" ht="15.75" customHeight="1" x14ac:dyDescent="0.2">
      <c r="C336" s="52">
        <v>43018</v>
      </c>
      <c r="D336" s="19">
        <v>0.44791666666666669</v>
      </c>
      <c r="E336" s="3">
        <v>69</v>
      </c>
      <c r="F336" s="216">
        <v>7.68</v>
      </c>
      <c r="G336" s="216">
        <v>59.9</v>
      </c>
      <c r="H336" s="3">
        <v>4.9000000000000004</v>
      </c>
    </row>
    <row r="337" spans="3:11" ht="15.75" customHeight="1" x14ac:dyDescent="0.2">
      <c r="C337" s="52">
        <v>43018</v>
      </c>
      <c r="D337" s="19">
        <v>0.44791666666666669</v>
      </c>
      <c r="E337" s="3">
        <v>71</v>
      </c>
      <c r="F337" s="216">
        <v>7.62</v>
      </c>
      <c r="G337" s="216">
        <v>59.5</v>
      </c>
      <c r="H337" s="3">
        <v>4.9000000000000004</v>
      </c>
    </row>
    <row r="338" spans="3:11" ht="15.75" customHeight="1" x14ac:dyDescent="0.2">
      <c r="C338" s="52">
        <v>43018</v>
      </c>
      <c r="D338" s="19">
        <v>0.44791666666666669</v>
      </c>
      <c r="E338" s="3">
        <v>73</v>
      </c>
      <c r="F338" s="216">
        <v>7.59</v>
      </c>
      <c r="G338" s="216">
        <v>59.2</v>
      </c>
      <c r="H338" s="3">
        <v>4.9000000000000004</v>
      </c>
    </row>
    <row r="339" spans="3:11" ht="15.75" customHeight="1" x14ac:dyDescent="0.2">
      <c r="C339" s="52">
        <v>43018</v>
      </c>
      <c r="D339" s="19">
        <v>0.44791666666666669</v>
      </c>
      <c r="E339" s="3">
        <v>75</v>
      </c>
      <c r="F339" s="216">
        <v>7.56</v>
      </c>
      <c r="G339" s="216">
        <v>59</v>
      </c>
      <c r="H339" s="3">
        <v>4.9000000000000004</v>
      </c>
    </row>
    <row r="340" spans="3:11" ht="15.75" customHeight="1" x14ac:dyDescent="0.2">
      <c r="C340" s="52">
        <v>43018</v>
      </c>
      <c r="D340" s="19">
        <v>0.44791666666666669</v>
      </c>
      <c r="E340" s="3">
        <v>77</v>
      </c>
      <c r="F340" s="216">
        <v>7.53</v>
      </c>
      <c r="G340" s="216">
        <v>58.7</v>
      </c>
      <c r="H340" s="3">
        <v>4.9000000000000004</v>
      </c>
    </row>
    <row r="341" spans="3:11" ht="15.75" customHeight="1" x14ac:dyDescent="0.2">
      <c r="C341" s="52">
        <v>43018</v>
      </c>
      <c r="D341" s="19">
        <v>0.44791666666666669</v>
      </c>
      <c r="E341" s="3">
        <v>79</v>
      </c>
      <c r="F341" s="216">
        <v>7.48</v>
      </c>
      <c r="G341" s="216">
        <v>58.4</v>
      </c>
      <c r="H341" s="3">
        <v>4.9000000000000004</v>
      </c>
    </row>
    <row r="342" spans="3:11" ht="15.75" customHeight="1" x14ac:dyDescent="0.2">
      <c r="C342" s="52">
        <v>43018</v>
      </c>
      <c r="D342" s="19">
        <v>0.44791666666666669</v>
      </c>
      <c r="E342" s="3">
        <v>81</v>
      </c>
      <c r="F342" s="216">
        <v>7.45</v>
      </c>
      <c r="G342" s="216">
        <v>58</v>
      </c>
      <c r="H342" s="3">
        <v>4.8</v>
      </c>
    </row>
    <row r="343" spans="3:11" ht="15.75" customHeight="1" x14ac:dyDescent="0.2">
      <c r="C343" s="52">
        <v>43018</v>
      </c>
      <c r="D343" s="19">
        <v>0.44791666666666669</v>
      </c>
      <c r="E343" s="3">
        <v>83</v>
      </c>
      <c r="F343" s="216">
        <v>7.42</v>
      </c>
      <c r="G343" s="216">
        <v>57.8</v>
      </c>
      <c r="H343" s="3">
        <v>4.8</v>
      </c>
    </row>
    <row r="344" spans="3:11" ht="15.75" customHeight="1" x14ac:dyDescent="0.2">
      <c r="C344" s="52">
        <v>43018</v>
      </c>
      <c r="D344" s="19">
        <v>0.44791666666666669</v>
      </c>
      <c r="E344" s="3">
        <v>85</v>
      </c>
      <c r="F344" s="216">
        <v>7.39</v>
      </c>
      <c r="G344" s="216">
        <v>57.5</v>
      </c>
      <c r="H344" s="3">
        <v>4.8</v>
      </c>
    </row>
    <row r="345" spans="3:11" ht="15.75" customHeight="1" x14ac:dyDescent="0.2">
      <c r="C345" s="52">
        <v>43018</v>
      </c>
      <c r="D345" s="19">
        <v>0.44791666666666669</v>
      </c>
      <c r="E345" s="3">
        <v>87</v>
      </c>
      <c r="F345" s="216">
        <v>7.38</v>
      </c>
      <c r="G345" s="216">
        <v>57.3</v>
      </c>
      <c r="H345" s="3">
        <v>4.7</v>
      </c>
    </row>
    <row r="346" spans="3:11" ht="15.75" customHeight="1" x14ac:dyDescent="0.2">
      <c r="C346" s="52">
        <v>43018</v>
      </c>
      <c r="D346" s="19">
        <v>0.44791666666666669</v>
      </c>
      <c r="E346" s="3">
        <v>89</v>
      </c>
      <c r="F346" s="216">
        <v>7.25</v>
      </c>
      <c r="G346" s="216">
        <v>56.3</v>
      </c>
      <c r="H346" s="3">
        <v>4.7</v>
      </c>
    </row>
    <row r="347" spans="3:11" ht="15.75" customHeight="1" x14ac:dyDescent="0.2">
      <c r="C347" s="52">
        <v>43018</v>
      </c>
      <c r="D347" s="19">
        <v>0.44791666666666669</v>
      </c>
      <c r="E347" s="3">
        <v>91</v>
      </c>
      <c r="F347" s="216">
        <v>7.23</v>
      </c>
      <c r="G347" s="216">
        <v>56.1</v>
      </c>
      <c r="H347" s="3">
        <v>4.7</v>
      </c>
    </row>
    <row r="348" spans="3:11" ht="15.75" customHeight="1" x14ac:dyDescent="0.2">
      <c r="C348" s="52">
        <v>43018</v>
      </c>
      <c r="D348" s="19">
        <v>0.44791666666666669</v>
      </c>
      <c r="E348" s="3">
        <v>93</v>
      </c>
      <c r="F348" s="216">
        <v>7.12</v>
      </c>
      <c r="G348" s="216">
        <v>55.1</v>
      </c>
      <c r="H348" s="3">
        <v>4.7</v>
      </c>
    </row>
    <row r="349" spans="3:11" ht="15.75" customHeight="1" x14ac:dyDescent="0.2">
      <c r="C349" s="52">
        <v>43018</v>
      </c>
      <c r="D349" s="19">
        <v>0.44791666666666669</v>
      </c>
      <c r="E349" s="3">
        <v>95</v>
      </c>
      <c r="F349" s="216">
        <v>7.02</v>
      </c>
      <c r="G349" s="216">
        <v>54.4</v>
      </c>
      <c r="H349" s="3">
        <v>4.7</v>
      </c>
    </row>
    <row r="350" spans="3:11" ht="15.75" customHeight="1" x14ac:dyDescent="0.2">
      <c r="C350" s="52"/>
      <c r="D350" s="19"/>
      <c r="E350" s="3"/>
      <c r="F350" s="216"/>
      <c r="G350" s="216"/>
      <c r="H350" s="3"/>
    </row>
    <row r="351" spans="3:11" ht="15.75" customHeight="1" x14ac:dyDescent="0.2">
      <c r="C351" s="52"/>
      <c r="D351" s="19"/>
      <c r="E351" s="3"/>
      <c r="F351" s="216"/>
      <c r="G351" s="216"/>
      <c r="H351" s="3"/>
    </row>
    <row r="352" spans="3:11" ht="15.75" customHeight="1" x14ac:dyDescent="0.2">
      <c r="C352" s="52">
        <v>42989</v>
      </c>
      <c r="D352" s="19">
        <v>0.4375</v>
      </c>
      <c r="E352" s="3"/>
      <c r="F352" s="216"/>
      <c r="G352" s="216"/>
      <c r="H352" s="3"/>
      <c r="J352">
        <v>12</v>
      </c>
      <c r="K352">
        <v>15.25</v>
      </c>
    </row>
    <row r="353" spans="3:8" ht="15.75" customHeight="1" x14ac:dyDescent="0.2">
      <c r="C353" s="52">
        <v>42989</v>
      </c>
      <c r="D353" s="19">
        <v>0.4375</v>
      </c>
      <c r="E353" s="3">
        <v>0.1</v>
      </c>
      <c r="F353" s="216">
        <v>7.72</v>
      </c>
      <c r="G353" s="190">
        <v>85.7</v>
      </c>
      <c r="H353" s="3">
        <v>20.5</v>
      </c>
    </row>
    <row r="354" spans="3:8" ht="15.75" customHeight="1" x14ac:dyDescent="0.2">
      <c r="C354" s="52">
        <v>42989</v>
      </c>
      <c r="D354" s="19">
        <v>0.4375</v>
      </c>
      <c r="E354" s="3">
        <v>1</v>
      </c>
      <c r="F354" s="216">
        <v>7.72</v>
      </c>
      <c r="G354" s="190">
        <v>85.6</v>
      </c>
      <c r="H354" s="3">
        <v>20.399999999999999</v>
      </c>
    </row>
    <row r="355" spans="3:8" ht="15.75" customHeight="1" x14ac:dyDescent="0.2">
      <c r="C355" s="52">
        <v>42989</v>
      </c>
      <c r="D355" s="19">
        <v>0.4375</v>
      </c>
      <c r="E355" s="3">
        <v>2</v>
      </c>
      <c r="F355" s="216">
        <v>7.7</v>
      </c>
      <c r="G355" s="190">
        <v>85.4</v>
      </c>
      <c r="H355" s="3">
        <v>20.399999999999999</v>
      </c>
    </row>
    <row r="356" spans="3:8" ht="15.75" customHeight="1" x14ac:dyDescent="0.2">
      <c r="C356" s="52">
        <v>42989</v>
      </c>
      <c r="D356" s="19">
        <v>0.4375</v>
      </c>
      <c r="E356" s="3">
        <v>3</v>
      </c>
      <c r="F356" s="216">
        <v>7.69</v>
      </c>
      <c r="G356" s="190">
        <v>85.2</v>
      </c>
      <c r="H356" s="3">
        <v>20.399999999999999</v>
      </c>
    </row>
    <row r="357" spans="3:8" ht="15.75" customHeight="1" x14ac:dyDescent="0.2">
      <c r="C357" s="52">
        <v>42989</v>
      </c>
      <c r="D357" s="19">
        <v>0.4375</v>
      </c>
      <c r="E357" s="3">
        <v>4</v>
      </c>
      <c r="F357" s="216">
        <v>7.69</v>
      </c>
      <c r="G357" s="216">
        <v>85</v>
      </c>
      <c r="H357" s="3">
        <v>20.3</v>
      </c>
    </row>
    <row r="358" spans="3:8" ht="15.75" customHeight="1" x14ac:dyDescent="0.2">
      <c r="C358" s="52">
        <v>42989</v>
      </c>
      <c r="D358" s="19">
        <v>0.4375</v>
      </c>
      <c r="E358" s="3">
        <v>5</v>
      </c>
      <c r="F358" s="216">
        <v>7.67</v>
      </c>
      <c r="G358" s="216">
        <v>84.9</v>
      </c>
      <c r="H358" s="3">
        <v>20.3</v>
      </c>
    </row>
    <row r="359" spans="3:8" ht="15.75" customHeight="1" x14ac:dyDescent="0.2">
      <c r="C359" s="52">
        <v>42989</v>
      </c>
      <c r="D359" s="19">
        <v>0.4375</v>
      </c>
      <c r="E359" s="3">
        <v>6</v>
      </c>
      <c r="F359" s="216">
        <v>7.65</v>
      </c>
      <c r="G359" s="216">
        <v>84.7</v>
      </c>
      <c r="H359" s="3">
        <v>20.3</v>
      </c>
    </row>
    <row r="360" spans="3:8" ht="15.75" customHeight="1" x14ac:dyDescent="0.2">
      <c r="C360" s="52">
        <v>42989</v>
      </c>
      <c r="D360" s="19">
        <v>0.4375</v>
      </c>
      <c r="E360" s="3">
        <v>7</v>
      </c>
      <c r="F360" s="216">
        <v>7.64</v>
      </c>
      <c r="G360" s="216">
        <v>84.5</v>
      </c>
      <c r="H360" s="3">
        <v>20.3</v>
      </c>
    </row>
    <row r="361" spans="3:8" ht="15.75" customHeight="1" x14ac:dyDescent="0.2">
      <c r="C361" s="52">
        <v>42989</v>
      </c>
      <c r="D361" s="19">
        <v>0.4375</v>
      </c>
      <c r="E361" s="3">
        <v>8</v>
      </c>
      <c r="F361" s="216">
        <v>7.62</v>
      </c>
      <c r="G361" s="216">
        <v>84.3</v>
      </c>
      <c r="H361" s="3">
        <v>20.3</v>
      </c>
    </row>
    <row r="362" spans="3:8" ht="15.75" customHeight="1" x14ac:dyDescent="0.2">
      <c r="C362" s="52">
        <v>42989</v>
      </c>
      <c r="D362" s="19">
        <v>0.4375</v>
      </c>
      <c r="E362" s="3">
        <v>9</v>
      </c>
      <c r="F362" s="216">
        <v>7.6</v>
      </c>
      <c r="G362" s="216">
        <v>84</v>
      </c>
      <c r="H362" s="3">
        <v>20.3</v>
      </c>
    </row>
    <row r="363" spans="3:8" ht="15.75" customHeight="1" x14ac:dyDescent="0.2">
      <c r="C363" s="52">
        <v>42989</v>
      </c>
      <c r="D363" s="19">
        <v>0.4375</v>
      </c>
      <c r="E363" s="3">
        <v>10</v>
      </c>
      <c r="F363" s="216">
        <v>7.75</v>
      </c>
      <c r="G363" s="216">
        <v>85.3</v>
      </c>
      <c r="H363" s="3">
        <v>19.899999999999999</v>
      </c>
    </row>
    <row r="364" spans="3:8" ht="15.75" customHeight="1" x14ac:dyDescent="0.2">
      <c r="C364" s="52">
        <v>42989</v>
      </c>
      <c r="D364" s="19">
        <v>0.4375</v>
      </c>
      <c r="E364" s="3">
        <v>11</v>
      </c>
      <c r="F364" s="216">
        <v>8.84</v>
      </c>
      <c r="G364" s="216">
        <v>92.2</v>
      </c>
      <c r="H364" s="3">
        <v>17.3</v>
      </c>
    </row>
    <row r="365" spans="3:8" ht="15.75" customHeight="1" x14ac:dyDescent="0.2">
      <c r="C365" s="52">
        <v>42989</v>
      </c>
      <c r="D365" s="19">
        <v>0.4375</v>
      </c>
      <c r="E365" s="3">
        <v>13</v>
      </c>
      <c r="F365" s="216">
        <v>9.49</v>
      </c>
      <c r="G365" s="216">
        <v>89.4</v>
      </c>
      <c r="H365" s="3">
        <v>12.6</v>
      </c>
    </row>
    <row r="366" spans="3:8" ht="15.75" customHeight="1" x14ac:dyDescent="0.2">
      <c r="C366" s="52">
        <v>42989</v>
      </c>
      <c r="D366" s="19">
        <v>0.4375</v>
      </c>
      <c r="E366" s="3">
        <v>15</v>
      </c>
      <c r="F366" s="216">
        <v>9.51</v>
      </c>
      <c r="G366" s="216">
        <v>81.3</v>
      </c>
      <c r="H366" s="3">
        <v>8.5</v>
      </c>
    </row>
    <row r="367" spans="3:8" ht="15.75" customHeight="1" x14ac:dyDescent="0.2">
      <c r="C367" s="52">
        <v>42989</v>
      </c>
      <c r="D367" s="19">
        <v>0.4375</v>
      </c>
      <c r="E367" s="3">
        <v>17</v>
      </c>
      <c r="F367" s="216">
        <v>9.4700000000000006</v>
      </c>
      <c r="G367" s="216">
        <v>79.599999999999994</v>
      </c>
      <c r="H367" s="3">
        <v>7.8</v>
      </c>
    </row>
    <row r="368" spans="3:8" ht="15.75" customHeight="1" x14ac:dyDescent="0.2">
      <c r="C368" s="52">
        <v>42989</v>
      </c>
      <c r="D368" s="19">
        <v>0.4375</v>
      </c>
      <c r="E368" s="3">
        <v>19</v>
      </c>
      <c r="F368" s="216">
        <v>9.1999999999999993</v>
      </c>
      <c r="G368" s="216">
        <v>75.8</v>
      </c>
      <c r="H368" s="3">
        <v>7.2</v>
      </c>
    </row>
    <row r="369" spans="3:8" ht="15.75" customHeight="1" x14ac:dyDescent="0.2">
      <c r="C369" s="52">
        <v>42989</v>
      </c>
      <c r="D369" s="19">
        <v>0.4375</v>
      </c>
      <c r="E369" s="3">
        <v>21</v>
      </c>
      <c r="F369" s="216">
        <v>8.74</v>
      </c>
      <c r="G369" s="216">
        <v>71</v>
      </c>
      <c r="H369" s="3">
        <v>6.5</v>
      </c>
    </row>
    <row r="370" spans="3:8" ht="15.75" customHeight="1" x14ac:dyDescent="0.2">
      <c r="C370" s="52">
        <v>42989</v>
      </c>
      <c r="D370" s="19">
        <v>0.4375</v>
      </c>
      <c r="E370" s="3">
        <v>23</v>
      </c>
      <c r="F370" s="216">
        <v>8.5399999999999991</v>
      </c>
      <c r="G370" s="216">
        <v>68.900000000000006</v>
      </c>
      <c r="H370" s="3">
        <v>6.2</v>
      </c>
    </row>
    <row r="371" spans="3:8" ht="15.75" customHeight="1" x14ac:dyDescent="0.2">
      <c r="C371" s="52">
        <v>42989</v>
      </c>
      <c r="D371" s="19">
        <v>0.4375</v>
      </c>
      <c r="E371" s="3">
        <v>25</v>
      </c>
      <c r="F371" s="216">
        <v>8.4700000000000006</v>
      </c>
      <c r="G371" s="216">
        <v>68.2</v>
      </c>
      <c r="H371" s="3">
        <v>6.1</v>
      </c>
    </row>
    <row r="372" spans="3:8" ht="15.75" customHeight="1" x14ac:dyDescent="0.2">
      <c r="C372" s="52">
        <v>42989</v>
      </c>
      <c r="D372" s="19">
        <v>0.4375</v>
      </c>
      <c r="E372" s="3">
        <v>27</v>
      </c>
      <c r="F372" s="216">
        <v>8.42</v>
      </c>
      <c r="G372" s="216">
        <v>67.599999999999994</v>
      </c>
      <c r="H372" s="3">
        <v>6</v>
      </c>
    </row>
    <row r="373" spans="3:8" ht="15.75" customHeight="1" x14ac:dyDescent="0.2">
      <c r="C373" s="52">
        <v>42989</v>
      </c>
      <c r="D373" s="19">
        <v>0.4375</v>
      </c>
      <c r="E373" s="3">
        <v>29</v>
      </c>
      <c r="F373" s="216">
        <v>8.33</v>
      </c>
      <c r="G373" s="216">
        <v>66.7</v>
      </c>
      <c r="H373" s="3">
        <v>5.9</v>
      </c>
    </row>
    <row r="374" spans="3:8" ht="15.75" customHeight="1" x14ac:dyDescent="0.2">
      <c r="C374" s="52">
        <v>42989</v>
      </c>
      <c r="D374" s="19">
        <v>0.4375</v>
      </c>
      <c r="E374" s="3">
        <v>31</v>
      </c>
      <c r="F374" s="216">
        <v>8.26</v>
      </c>
      <c r="G374" s="216">
        <v>65.8</v>
      </c>
      <c r="H374" s="3">
        <v>5.7</v>
      </c>
    </row>
    <row r="375" spans="3:8" ht="15.75" customHeight="1" x14ac:dyDescent="0.2">
      <c r="C375" s="52">
        <v>42989</v>
      </c>
      <c r="D375" s="19">
        <v>0.4375</v>
      </c>
      <c r="E375" s="3">
        <v>33</v>
      </c>
      <c r="F375" s="216">
        <v>8.24</v>
      </c>
      <c r="G375" s="216">
        <v>65.5</v>
      </c>
      <c r="H375" s="3">
        <v>5.6</v>
      </c>
    </row>
    <row r="376" spans="3:8" ht="15.75" customHeight="1" x14ac:dyDescent="0.2">
      <c r="C376" s="52">
        <v>42989</v>
      </c>
      <c r="D376" s="19">
        <v>0.4375</v>
      </c>
      <c r="E376" s="3">
        <v>35</v>
      </c>
      <c r="F376" s="216">
        <v>8.19</v>
      </c>
      <c r="G376" s="216">
        <v>65.099999999999994</v>
      </c>
      <c r="H376" s="3">
        <v>5.6</v>
      </c>
    </row>
    <row r="377" spans="3:8" ht="15.75" customHeight="1" x14ac:dyDescent="0.2">
      <c r="C377" s="52">
        <v>42989</v>
      </c>
      <c r="D377" s="19">
        <v>0.4375</v>
      </c>
      <c r="E377" s="3">
        <v>37</v>
      </c>
      <c r="F377" s="216">
        <v>8.16</v>
      </c>
      <c r="G377" s="216">
        <v>64.7</v>
      </c>
      <c r="H377" s="3">
        <v>5.5</v>
      </c>
    </row>
    <row r="378" spans="3:8" ht="15.75" customHeight="1" x14ac:dyDescent="0.2">
      <c r="C378" s="52">
        <v>42989</v>
      </c>
      <c r="D378" s="19">
        <v>0.4375</v>
      </c>
      <c r="E378" s="3">
        <v>39</v>
      </c>
      <c r="F378" s="216">
        <v>8.1199999999999992</v>
      </c>
      <c r="G378" s="216">
        <v>64.400000000000006</v>
      </c>
      <c r="H378" s="3">
        <v>5.5</v>
      </c>
    </row>
    <row r="379" spans="3:8" ht="15.75" customHeight="1" x14ac:dyDescent="0.2">
      <c r="C379" s="52">
        <v>42989</v>
      </c>
      <c r="D379" s="19">
        <v>0.4375</v>
      </c>
      <c r="E379" s="3">
        <v>41</v>
      </c>
      <c r="F379" s="216">
        <v>8.08</v>
      </c>
      <c r="G379" s="216">
        <v>64.099999999999994</v>
      </c>
      <c r="H379" s="3">
        <v>5.5</v>
      </c>
    </row>
    <row r="380" spans="3:8" ht="15.75" customHeight="1" x14ac:dyDescent="0.2">
      <c r="C380" s="52">
        <v>42989</v>
      </c>
      <c r="D380" s="19">
        <v>0.4375</v>
      </c>
      <c r="E380" s="3">
        <v>43</v>
      </c>
      <c r="F380" s="216">
        <v>8.07</v>
      </c>
      <c r="G380" s="216">
        <v>63.9</v>
      </c>
      <c r="H380" s="3">
        <v>5.4</v>
      </c>
    </row>
    <row r="381" spans="3:8" ht="15.75" customHeight="1" x14ac:dyDescent="0.2">
      <c r="C381" s="52">
        <v>42989</v>
      </c>
      <c r="D381" s="19">
        <v>0.4375</v>
      </c>
      <c r="E381" s="3">
        <v>45</v>
      </c>
      <c r="F381" s="216">
        <v>8.0500000000000007</v>
      </c>
      <c r="G381" s="216">
        <v>63.7</v>
      </c>
      <c r="H381" s="3">
        <v>5.4</v>
      </c>
    </row>
    <row r="382" spans="3:8" ht="15.75" customHeight="1" x14ac:dyDescent="0.2">
      <c r="C382" s="52">
        <v>42989</v>
      </c>
      <c r="D382" s="19">
        <v>0.4375</v>
      </c>
      <c r="E382" s="3">
        <v>47</v>
      </c>
      <c r="F382" s="216">
        <v>8.0500000000000007</v>
      </c>
      <c r="G382" s="216">
        <v>63.6</v>
      </c>
      <c r="H382" s="3">
        <v>5.3</v>
      </c>
    </row>
    <row r="383" spans="3:8" ht="15.75" customHeight="1" x14ac:dyDescent="0.2">
      <c r="C383" s="52">
        <v>42989</v>
      </c>
      <c r="D383" s="19">
        <v>0.4375</v>
      </c>
      <c r="E383" s="3">
        <v>49</v>
      </c>
      <c r="F383" s="216">
        <v>8.0299999999999994</v>
      </c>
      <c r="G383" s="216">
        <v>63.4</v>
      </c>
      <c r="H383" s="3">
        <v>5.3</v>
      </c>
    </row>
    <row r="384" spans="3:8" ht="15.75" customHeight="1" x14ac:dyDescent="0.2">
      <c r="C384" s="52">
        <v>42989</v>
      </c>
      <c r="D384" s="19">
        <v>0.4375</v>
      </c>
      <c r="E384" s="3">
        <v>51</v>
      </c>
      <c r="F384" s="216">
        <v>8.01</v>
      </c>
      <c r="G384" s="216">
        <v>63.2</v>
      </c>
      <c r="H384" s="3">
        <v>5.3</v>
      </c>
    </row>
    <row r="385" spans="3:8" ht="15.75" customHeight="1" x14ac:dyDescent="0.2">
      <c r="C385" s="52">
        <v>42989</v>
      </c>
      <c r="D385" s="19">
        <v>0.4375</v>
      </c>
      <c r="E385" s="3">
        <v>53</v>
      </c>
      <c r="F385" s="216">
        <v>7.97</v>
      </c>
      <c r="G385" s="216">
        <v>62.7</v>
      </c>
      <c r="H385" s="3">
        <v>5.2</v>
      </c>
    </row>
    <row r="386" spans="3:8" ht="15.75" customHeight="1" x14ac:dyDescent="0.2">
      <c r="C386" s="52">
        <v>42989</v>
      </c>
      <c r="D386" s="19">
        <v>0.4375</v>
      </c>
      <c r="E386" s="3">
        <v>55</v>
      </c>
      <c r="F386" s="216">
        <v>7.92</v>
      </c>
      <c r="G386" s="216">
        <v>62.4</v>
      </c>
      <c r="H386" s="3">
        <v>5.2</v>
      </c>
    </row>
    <row r="387" spans="3:8" ht="15.75" customHeight="1" x14ac:dyDescent="0.2">
      <c r="C387" s="52">
        <v>42989</v>
      </c>
      <c r="D387" s="19">
        <v>0.4375</v>
      </c>
      <c r="E387" s="3">
        <v>57</v>
      </c>
      <c r="F387" s="216">
        <v>7.92</v>
      </c>
      <c r="G387" s="216">
        <v>62.2</v>
      </c>
      <c r="H387" s="3">
        <v>5.0999999999999996</v>
      </c>
    </row>
    <row r="388" spans="3:8" ht="15.75" customHeight="1" x14ac:dyDescent="0.2">
      <c r="C388" s="52">
        <v>42989</v>
      </c>
      <c r="D388" s="19">
        <v>0.4375</v>
      </c>
      <c r="E388" s="3">
        <v>59</v>
      </c>
      <c r="F388" s="216">
        <v>7.89</v>
      </c>
      <c r="G388" s="216">
        <v>62</v>
      </c>
      <c r="H388" s="3">
        <v>5.0999999999999996</v>
      </c>
    </row>
    <row r="389" spans="3:8" ht="15.75" customHeight="1" x14ac:dyDescent="0.2">
      <c r="C389" s="52">
        <v>42989</v>
      </c>
      <c r="D389" s="19">
        <v>0.4375</v>
      </c>
      <c r="E389" s="3">
        <v>61</v>
      </c>
      <c r="F389" s="216">
        <v>7.89</v>
      </c>
      <c r="G389" s="216">
        <v>61.8</v>
      </c>
      <c r="H389" s="3">
        <v>5</v>
      </c>
    </row>
    <row r="390" spans="3:8" ht="15.75" customHeight="1" x14ac:dyDescent="0.2">
      <c r="C390" s="52">
        <v>42989</v>
      </c>
      <c r="D390" s="19">
        <v>0.4375</v>
      </c>
      <c r="E390" s="3">
        <v>63</v>
      </c>
      <c r="F390" s="216">
        <v>7.86</v>
      </c>
      <c r="G390" s="216">
        <v>61.5</v>
      </c>
      <c r="H390" s="3">
        <v>5</v>
      </c>
    </row>
    <row r="391" spans="3:8" ht="15.75" customHeight="1" x14ac:dyDescent="0.2">
      <c r="C391" s="52">
        <v>42989</v>
      </c>
      <c r="D391" s="19">
        <v>0.4375</v>
      </c>
      <c r="E391" s="3">
        <v>65</v>
      </c>
      <c r="F391" s="216">
        <v>7.82</v>
      </c>
      <c r="G391" s="216">
        <v>61.2</v>
      </c>
      <c r="H391" s="3">
        <v>5</v>
      </c>
    </row>
    <row r="392" spans="3:8" ht="15.75" customHeight="1" x14ac:dyDescent="0.2">
      <c r="C392" s="52">
        <v>42989</v>
      </c>
      <c r="D392" s="19">
        <v>0.4375</v>
      </c>
      <c r="E392" s="3">
        <v>67</v>
      </c>
      <c r="F392" s="216">
        <v>7.78</v>
      </c>
      <c r="G392" s="216">
        <v>60.9</v>
      </c>
      <c r="H392" s="3">
        <v>5</v>
      </c>
    </row>
    <row r="393" spans="3:8" ht="15.75" customHeight="1" x14ac:dyDescent="0.2">
      <c r="C393" s="52">
        <v>42989</v>
      </c>
      <c r="D393" s="19">
        <v>0.4375</v>
      </c>
      <c r="E393" s="3">
        <v>69</v>
      </c>
      <c r="F393" s="216">
        <v>7.76</v>
      </c>
      <c r="G393" s="216">
        <v>60.6</v>
      </c>
      <c r="H393" s="3">
        <v>4.9000000000000004</v>
      </c>
    </row>
    <row r="394" spans="3:8" ht="15.75" customHeight="1" x14ac:dyDescent="0.2">
      <c r="C394" s="52">
        <v>42989</v>
      </c>
      <c r="D394" s="19">
        <v>0.4375</v>
      </c>
      <c r="E394" s="3">
        <v>71</v>
      </c>
      <c r="F394" s="216">
        <v>7.73</v>
      </c>
      <c r="G394" s="216">
        <v>60.3</v>
      </c>
      <c r="H394" s="3">
        <v>4.9000000000000004</v>
      </c>
    </row>
    <row r="395" spans="3:8" ht="15.75" customHeight="1" x14ac:dyDescent="0.2">
      <c r="C395" s="52">
        <v>42989</v>
      </c>
      <c r="D395" s="19">
        <v>0.4375</v>
      </c>
      <c r="E395" s="3">
        <v>73</v>
      </c>
      <c r="F395" s="216">
        <v>7.7</v>
      </c>
      <c r="G395" s="216">
        <v>60.1</v>
      </c>
      <c r="H395" s="3">
        <v>4.9000000000000004</v>
      </c>
    </row>
    <row r="396" spans="3:8" ht="15.75" customHeight="1" x14ac:dyDescent="0.2">
      <c r="C396" s="52">
        <v>42989</v>
      </c>
      <c r="D396" s="19">
        <v>0.4375</v>
      </c>
      <c r="E396" s="3">
        <v>75</v>
      </c>
      <c r="F396" s="216">
        <v>7.67</v>
      </c>
      <c r="G396" s="216">
        <v>59.8</v>
      </c>
      <c r="H396" s="3">
        <v>4.8</v>
      </c>
    </row>
    <row r="397" spans="3:8" ht="15.75" customHeight="1" x14ac:dyDescent="0.2">
      <c r="C397" s="52">
        <v>42989</v>
      </c>
      <c r="D397" s="19">
        <v>0.4375</v>
      </c>
      <c r="E397" s="3">
        <v>77</v>
      </c>
      <c r="F397" s="216">
        <v>7.65</v>
      </c>
      <c r="G397" s="216">
        <v>59.6</v>
      </c>
      <c r="H397" s="3">
        <v>4.8</v>
      </c>
    </row>
    <row r="398" spans="3:8" ht="15.75" customHeight="1" x14ac:dyDescent="0.2">
      <c r="C398" s="52">
        <v>42989</v>
      </c>
      <c r="D398" s="19">
        <v>0.4375</v>
      </c>
      <c r="E398" s="3">
        <v>79</v>
      </c>
      <c r="F398" s="216">
        <v>7.52</v>
      </c>
      <c r="G398" s="216">
        <v>58.5</v>
      </c>
      <c r="H398" s="3">
        <v>4.8</v>
      </c>
    </row>
    <row r="399" spans="3:8" ht="15.75" customHeight="1" x14ac:dyDescent="0.2">
      <c r="C399" s="52">
        <v>42989</v>
      </c>
      <c r="D399" s="19">
        <v>0.4375</v>
      </c>
      <c r="E399" s="3">
        <v>81</v>
      </c>
      <c r="F399" s="216">
        <v>7.45</v>
      </c>
      <c r="G399" s="216">
        <v>58</v>
      </c>
      <c r="H399" s="3">
        <v>4.8</v>
      </c>
    </row>
    <row r="400" spans="3:8" ht="15.75" customHeight="1" x14ac:dyDescent="0.2">
      <c r="C400" s="52">
        <v>42989</v>
      </c>
      <c r="D400" s="19">
        <v>0.4375</v>
      </c>
      <c r="E400" s="3">
        <v>83</v>
      </c>
      <c r="F400" s="216">
        <v>7.42</v>
      </c>
      <c r="G400" s="216">
        <v>57.6</v>
      </c>
      <c r="H400" s="3">
        <v>4.7</v>
      </c>
    </row>
    <row r="401" spans="3:11" ht="15.75" customHeight="1" x14ac:dyDescent="0.2">
      <c r="C401" s="52">
        <v>42989</v>
      </c>
      <c r="D401" s="19">
        <v>0.4375</v>
      </c>
      <c r="E401" s="3">
        <v>85</v>
      </c>
      <c r="F401" s="216">
        <v>7.38</v>
      </c>
      <c r="G401" s="216">
        <v>57.3</v>
      </c>
      <c r="H401" s="3">
        <v>4.7</v>
      </c>
    </row>
    <row r="402" spans="3:11" ht="15.75" customHeight="1" x14ac:dyDescent="0.2">
      <c r="C402" s="52">
        <v>42989</v>
      </c>
      <c r="D402" s="19">
        <v>0.4375</v>
      </c>
      <c r="E402" s="3">
        <v>87</v>
      </c>
      <c r="F402" s="216">
        <v>7.33</v>
      </c>
      <c r="G402" s="216">
        <v>56.9</v>
      </c>
      <c r="H402" s="3">
        <v>4.7</v>
      </c>
    </row>
    <row r="403" spans="3:11" ht="15.75" customHeight="1" x14ac:dyDescent="0.2">
      <c r="C403" s="52">
        <v>42989</v>
      </c>
      <c r="D403" s="19">
        <v>0.4375</v>
      </c>
      <c r="E403" s="3">
        <v>89</v>
      </c>
      <c r="F403" s="216">
        <v>7.14</v>
      </c>
      <c r="G403" s="216">
        <v>55.5</v>
      </c>
      <c r="H403" s="3">
        <v>4.7</v>
      </c>
    </row>
    <row r="404" spans="3:11" ht="15.75" customHeight="1" x14ac:dyDescent="0.2">
      <c r="C404" s="52">
        <v>42989</v>
      </c>
      <c r="D404" s="19">
        <v>0.4375</v>
      </c>
      <c r="E404" s="3">
        <v>91</v>
      </c>
      <c r="F404" s="216">
        <v>7.07</v>
      </c>
      <c r="G404" s="216">
        <v>54.8</v>
      </c>
      <c r="H404" s="3">
        <v>4.7</v>
      </c>
    </row>
    <row r="405" spans="3:11" ht="15.75" customHeight="1" x14ac:dyDescent="0.2">
      <c r="C405" s="52">
        <v>42989</v>
      </c>
      <c r="D405" s="19">
        <v>0.4375</v>
      </c>
      <c r="E405" s="3">
        <v>93</v>
      </c>
      <c r="F405" s="216">
        <v>6.9</v>
      </c>
      <c r="G405" s="216">
        <v>53.5</v>
      </c>
      <c r="H405" s="3">
        <v>4.7</v>
      </c>
    </row>
    <row r="406" spans="3:11" ht="15.75" customHeight="1" x14ac:dyDescent="0.2">
      <c r="C406" s="52"/>
      <c r="D406" s="19"/>
      <c r="E406" s="3"/>
      <c r="F406" s="216"/>
      <c r="G406" s="216"/>
      <c r="H406" s="3"/>
    </row>
    <row r="407" spans="3:11" ht="15.75" customHeight="1" x14ac:dyDescent="0.2">
      <c r="C407" s="52">
        <v>42954</v>
      </c>
      <c r="D407" s="19">
        <v>0.44444444444444442</v>
      </c>
      <c r="E407" s="3"/>
      <c r="F407" s="216"/>
      <c r="G407" s="216"/>
      <c r="H407" s="3"/>
      <c r="J407">
        <v>12</v>
      </c>
      <c r="K407">
        <v>15</v>
      </c>
    </row>
    <row r="408" spans="3:11" ht="15.75" customHeight="1" x14ac:dyDescent="0.2">
      <c r="C408" s="52">
        <v>42954</v>
      </c>
      <c r="D408" s="19">
        <v>0.4548611111111111</v>
      </c>
      <c r="E408" s="3">
        <v>0.1</v>
      </c>
      <c r="F408" s="216">
        <v>7.2</v>
      </c>
      <c r="G408" s="216">
        <v>85.4</v>
      </c>
      <c r="H408" s="3">
        <v>24</v>
      </c>
    </row>
    <row r="409" spans="3:11" ht="15.75" customHeight="1" x14ac:dyDescent="0.2">
      <c r="C409" s="52">
        <v>42954</v>
      </c>
      <c r="D409" s="19">
        <v>0.4548611111111111</v>
      </c>
      <c r="E409" s="3">
        <v>1</v>
      </c>
      <c r="F409" s="216">
        <v>7.24</v>
      </c>
      <c r="G409" s="216">
        <v>85.6</v>
      </c>
      <c r="H409" s="3">
        <v>23.7</v>
      </c>
    </row>
    <row r="410" spans="3:11" ht="15.75" customHeight="1" x14ac:dyDescent="0.2">
      <c r="C410" s="52">
        <v>42954</v>
      </c>
      <c r="D410" s="19">
        <v>0.4548611111111111</v>
      </c>
      <c r="E410" s="3">
        <v>2</v>
      </c>
      <c r="F410" s="216">
        <v>7.25</v>
      </c>
      <c r="G410" s="216">
        <v>85.5</v>
      </c>
      <c r="H410" s="3">
        <v>23.6</v>
      </c>
    </row>
    <row r="411" spans="3:11" ht="15.75" customHeight="1" x14ac:dyDescent="0.2">
      <c r="C411" s="52">
        <v>42954</v>
      </c>
      <c r="D411" s="19">
        <v>0.4548611111111111</v>
      </c>
      <c r="E411" s="3">
        <v>3</v>
      </c>
      <c r="F411" s="216">
        <v>7.24</v>
      </c>
      <c r="G411" s="216">
        <v>85.3</v>
      </c>
      <c r="H411" s="3">
        <v>23.6</v>
      </c>
    </row>
    <row r="412" spans="3:11" ht="15.75" customHeight="1" x14ac:dyDescent="0.2">
      <c r="C412" s="52">
        <v>42954</v>
      </c>
      <c r="D412" s="19">
        <v>0.4548611111111111</v>
      </c>
      <c r="E412" s="3">
        <v>4</v>
      </c>
      <c r="F412" s="216">
        <v>7.24</v>
      </c>
      <c r="G412" s="216">
        <v>85.2</v>
      </c>
      <c r="H412" s="3">
        <v>23.5</v>
      </c>
    </row>
    <row r="413" spans="3:11" ht="15.75" customHeight="1" x14ac:dyDescent="0.2">
      <c r="C413" s="52">
        <v>42954</v>
      </c>
      <c r="D413" s="19">
        <v>0.4548611111111111</v>
      </c>
      <c r="E413" s="3">
        <v>5</v>
      </c>
      <c r="F413" s="216">
        <v>7.34</v>
      </c>
      <c r="G413" s="216">
        <v>86.1</v>
      </c>
      <c r="H413" s="3">
        <v>23.3</v>
      </c>
    </row>
    <row r="414" spans="3:11" ht="15.75" customHeight="1" x14ac:dyDescent="0.2">
      <c r="C414" s="52">
        <v>42954</v>
      </c>
      <c r="D414" s="19">
        <v>0.4548611111111111</v>
      </c>
      <c r="E414" s="3">
        <v>6</v>
      </c>
      <c r="F414" s="216">
        <v>7.55</v>
      </c>
      <c r="G414" s="216">
        <v>87.5</v>
      </c>
      <c r="H414" s="3">
        <v>22.7</v>
      </c>
    </row>
    <row r="415" spans="3:11" ht="15.75" customHeight="1" x14ac:dyDescent="0.2">
      <c r="C415" s="52">
        <v>42954</v>
      </c>
      <c r="D415" s="19">
        <v>0.4548611111111111</v>
      </c>
      <c r="E415" s="3">
        <v>7</v>
      </c>
      <c r="F415" s="216">
        <v>7.75</v>
      </c>
      <c r="G415" s="216">
        <v>88.7</v>
      </c>
      <c r="H415" s="3">
        <v>22</v>
      </c>
    </row>
    <row r="416" spans="3:11" ht="15.75" customHeight="1" x14ac:dyDescent="0.2">
      <c r="C416" s="52">
        <v>42954</v>
      </c>
      <c r="D416" s="19">
        <v>0.4548611111111111</v>
      </c>
      <c r="E416" s="3">
        <v>8</v>
      </c>
      <c r="F416" s="216">
        <v>8.17</v>
      </c>
      <c r="G416" s="216">
        <v>90.2</v>
      </c>
      <c r="H416" s="3">
        <v>20.2</v>
      </c>
    </row>
    <row r="417" spans="3:8" ht="15.75" customHeight="1" x14ac:dyDescent="0.2">
      <c r="C417" s="52">
        <v>42954</v>
      </c>
      <c r="D417" s="19">
        <v>0.4548611111111111</v>
      </c>
      <c r="E417" s="3">
        <v>9</v>
      </c>
      <c r="F417" s="216">
        <v>8.5299999999999994</v>
      </c>
      <c r="G417" s="216">
        <v>91.3</v>
      </c>
      <c r="H417" s="3">
        <v>18.600000000000001</v>
      </c>
    </row>
    <row r="418" spans="3:8" ht="15.75" customHeight="1" x14ac:dyDescent="0.2">
      <c r="C418" s="52">
        <v>42954</v>
      </c>
      <c r="D418" s="19">
        <v>0.4548611111111111</v>
      </c>
      <c r="E418" s="3">
        <v>10</v>
      </c>
      <c r="F418" s="216">
        <v>9.16</v>
      </c>
      <c r="G418" s="216">
        <v>93.1</v>
      </c>
      <c r="H418" s="3">
        <v>16.100000000000001</v>
      </c>
    </row>
    <row r="419" spans="3:8" ht="15.75" customHeight="1" x14ac:dyDescent="0.2">
      <c r="C419" s="52">
        <v>42954</v>
      </c>
      <c r="D419" s="19">
        <v>0.4548611111111111</v>
      </c>
      <c r="E419" s="3">
        <v>12</v>
      </c>
      <c r="F419" s="216">
        <v>9.4700000000000006</v>
      </c>
      <c r="G419" s="216">
        <v>88.9</v>
      </c>
      <c r="H419" s="3">
        <v>12.5</v>
      </c>
    </row>
    <row r="420" spans="3:8" ht="15.75" customHeight="1" x14ac:dyDescent="0.2">
      <c r="C420" s="52">
        <v>42954</v>
      </c>
      <c r="D420" s="19">
        <v>0.4548611111111111</v>
      </c>
      <c r="E420" s="3">
        <v>14</v>
      </c>
      <c r="F420" s="216">
        <v>9.8000000000000007</v>
      </c>
      <c r="G420" s="216">
        <v>84.6</v>
      </c>
      <c r="H420" s="3">
        <v>9</v>
      </c>
    </row>
    <row r="421" spans="3:8" ht="15.75" customHeight="1" x14ac:dyDescent="0.2">
      <c r="C421" s="52">
        <v>42954</v>
      </c>
      <c r="D421" s="19">
        <v>0.4548611111111111</v>
      </c>
      <c r="E421" s="3">
        <v>16</v>
      </c>
      <c r="F421" s="216">
        <v>9.6300000000000008</v>
      </c>
      <c r="G421" s="216">
        <v>81.2</v>
      </c>
      <c r="H421" s="3">
        <v>8</v>
      </c>
    </row>
    <row r="422" spans="3:8" ht="15.75" customHeight="1" x14ac:dyDescent="0.2">
      <c r="C422" s="52">
        <v>42954</v>
      </c>
      <c r="D422" s="19">
        <v>0.4548611111111111</v>
      </c>
      <c r="E422" s="3">
        <v>18</v>
      </c>
      <c r="F422" s="216">
        <v>9.39</v>
      </c>
      <c r="G422" s="216">
        <v>77.5</v>
      </c>
      <c r="H422" s="3">
        <v>7.2</v>
      </c>
    </row>
    <row r="423" spans="3:8" ht="15.75" customHeight="1" x14ac:dyDescent="0.2">
      <c r="C423" s="52">
        <v>42954</v>
      </c>
      <c r="D423" s="19">
        <v>0.4548611111111111</v>
      </c>
      <c r="E423" s="3">
        <v>20</v>
      </c>
      <c r="F423" s="216">
        <v>9.1</v>
      </c>
      <c r="G423" s="216">
        <v>74.099999999999994</v>
      </c>
      <c r="H423" s="3">
        <v>6.6</v>
      </c>
    </row>
    <row r="424" spans="3:8" ht="15.75" customHeight="1" x14ac:dyDescent="0.2">
      <c r="C424" s="52">
        <v>42954</v>
      </c>
      <c r="D424" s="19">
        <v>0.4548611111111111</v>
      </c>
      <c r="E424" s="3">
        <v>22</v>
      </c>
      <c r="F424" s="216">
        <v>8.9</v>
      </c>
      <c r="G424" s="216">
        <v>72</v>
      </c>
      <c r="H424" s="3">
        <v>6.3</v>
      </c>
    </row>
    <row r="425" spans="3:8" ht="15.75" customHeight="1" x14ac:dyDescent="0.2">
      <c r="C425" s="52">
        <v>42954</v>
      </c>
      <c r="D425" s="19">
        <v>0.4548611111111111</v>
      </c>
      <c r="E425" s="3">
        <v>24</v>
      </c>
      <c r="F425" s="216">
        <v>8.77</v>
      </c>
      <c r="G425" s="216">
        <v>70.400000000000006</v>
      </c>
      <c r="H425" s="3">
        <v>6.1</v>
      </c>
    </row>
    <row r="426" spans="3:8" ht="15.75" customHeight="1" x14ac:dyDescent="0.2">
      <c r="C426" s="52">
        <v>42954</v>
      </c>
      <c r="D426" s="19">
        <v>0.4548611111111111</v>
      </c>
      <c r="E426" s="3">
        <v>26</v>
      </c>
      <c r="F426" s="216">
        <v>8.68</v>
      </c>
      <c r="G426" s="216">
        <v>69.5</v>
      </c>
      <c r="H426" s="3">
        <v>5.9</v>
      </c>
    </row>
    <row r="427" spans="3:8" ht="15.75" customHeight="1" x14ac:dyDescent="0.2">
      <c r="C427" s="52">
        <v>42954</v>
      </c>
      <c r="D427" s="19">
        <v>0.4548611111111111</v>
      </c>
      <c r="E427" s="3">
        <v>28</v>
      </c>
      <c r="F427" s="216">
        <v>8.6300000000000008</v>
      </c>
      <c r="G427" s="216">
        <v>68.900000000000006</v>
      </c>
      <c r="H427" s="3">
        <v>5.8</v>
      </c>
    </row>
    <row r="428" spans="3:8" ht="15.75" customHeight="1" x14ac:dyDescent="0.2">
      <c r="C428" s="52">
        <v>42954</v>
      </c>
      <c r="D428" s="19">
        <v>0.4548611111111111</v>
      </c>
      <c r="E428" s="3">
        <v>30</v>
      </c>
      <c r="F428" s="216">
        <v>8.5399999999999991</v>
      </c>
      <c r="G428" s="216">
        <v>68.099999999999994</v>
      </c>
      <c r="H428" s="3">
        <v>5.7</v>
      </c>
    </row>
    <row r="429" spans="3:8" ht="15.75" customHeight="1" x14ac:dyDescent="0.2">
      <c r="C429" s="52">
        <v>42954</v>
      </c>
      <c r="D429" s="19">
        <v>0.4548611111111111</v>
      </c>
      <c r="E429" s="3">
        <v>32</v>
      </c>
      <c r="F429" s="216">
        <v>8.52</v>
      </c>
      <c r="G429" s="216">
        <v>67.7</v>
      </c>
      <c r="H429" s="3">
        <v>5.6</v>
      </c>
    </row>
    <row r="430" spans="3:8" ht="15.75" customHeight="1" x14ac:dyDescent="0.2">
      <c r="C430" s="52">
        <v>42954</v>
      </c>
      <c r="D430" s="19">
        <v>0.4548611111111111</v>
      </c>
      <c r="E430" s="3">
        <v>34</v>
      </c>
      <c r="F430" s="216">
        <v>8.4700000000000006</v>
      </c>
      <c r="G430" s="216">
        <v>67.3</v>
      </c>
      <c r="H430" s="3">
        <v>5.6</v>
      </c>
    </row>
    <row r="431" spans="3:8" ht="15.75" customHeight="1" x14ac:dyDescent="0.2">
      <c r="C431" s="52">
        <v>42954</v>
      </c>
      <c r="D431" s="19">
        <v>0.4548611111111111</v>
      </c>
      <c r="E431" s="3">
        <v>36</v>
      </c>
      <c r="F431" s="216">
        <v>8.42</v>
      </c>
      <c r="G431" s="216">
        <v>66.8</v>
      </c>
      <c r="H431" s="3">
        <v>5.5</v>
      </c>
    </row>
    <row r="432" spans="3:8" ht="15.75" customHeight="1" x14ac:dyDescent="0.2">
      <c r="C432" s="52">
        <v>42954</v>
      </c>
      <c r="D432" s="19">
        <v>0.4548611111111111</v>
      </c>
      <c r="E432" s="3">
        <v>38</v>
      </c>
      <c r="F432" s="216">
        <v>8.4</v>
      </c>
      <c r="G432" s="216">
        <v>66.400000000000006</v>
      </c>
      <c r="H432" s="3">
        <v>5.4</v>
      </c>
    </row>
    <row r="433" spans="3:8" ht="15.75" customHeight="1" x14ac:dyDescent="0.2">
      <c r="C433" s="52">
        <v>42954</v>
      </c>
      <c r="D433" s="19">
        <v>0.4548611111111111</v>
      </c>
      <c r="E433" s="3">
        <v>40</v>
      </c>
      <c r="F433" s="216">
        <v>8.3699999999999992</v>
      </c>
      <c r="G433" s="216">
        <v>66</v>
      </c>
      <c r="H433" s="3">
        <v>5.3</v>
      </c>
    </row>
    <row r="434" spans="3:8" ht="15.75" customHeight="1" x14ac:dyDescent="0.2">
      <c r="C434" s="52">
        <v>42954</v>
      </c>
      <c r="D434" s="19">
        <v>0.4548611111111111</v>
      </c>
      <c r="E434" s="3">
        <v>42</v>
      </c>
      <c r="F434" s="216">
        <v>8.31</v>
      </c>
      <c r="G434" s="216">
        <v>65.599999999999994</v>
      </c>
      <c r="H434" s="3">
        <v>5.3</v>
      </c>
    </row>
    <row r="435" spans="3:8" ht="15.75" customHeight="1" x14ac:dyDescent="0.2">
      <c r="C435" s="52">
        <v>42954</v>
      </c>
      <c r="D435" s="19">
        <v>0.4548611111111111</v>
      </c>
      <c r="E435" s="3">
        <v>44</v>
      </c>
      <c r="F435" s="216">
        <v>8.2799999999999994</v>
      </c>
      <c r="G435" s="216">
        <v>65.099999999999994</v>
      </c>
      <c r="H435" s="3">
        <v>5.2</v>
      </c>
    </row>
    <row r="436" spans="3:8" ht="15.75" customHeight="1" x14ac:dyDescent="0.2">
      <c r="C436" s="52">
        <v>42954</v>
      </c>
      <c r="D436" s="19">
        <v>0.4548611111111111</v>
      </c>
      <c r="E436" s="3">
        <v>46</v>
      </c>
      <c r="F436" s="216">
        <v>8.24</v>
      </c>
      <c r="G436" s="216">
        <v>64.900000000000006</v>
      </c>
      <c r="H436" s="3">
        <v>5.2</v>
      </c>
    </row>
    <row r="437" spans="3:8" ht="15.75" customHeight="1" x14ac:dyDescent="0.2">
      <c r="C437" s="52">
        <v>42954</v>
      </c>
      <c r="D437" s="19">
        <v>0.4548611111111111</v>
      </c>
      <c r="E437" s="3">
        <v>48</v>
      </c>
      <c r="F437" s="216">
        <v>8.2100000000000009</v>
      </c>
      <c r="G437" s="216">
        <v>64.599999999999994</v>
      </c>
      <c r="H437" s="3">
        <v>5.2</v>
      </c>
    </row>
    <row r="438" spans="3:8" ht="15.75" customHeight="1" x14ac:dyDescent="0.2">
      <c r="C438" s="52">
        <v>42954</v>
      </c>
      <c r="D438" s="19">
        <v>0.4548611111111111</v>
      </c>
      <c r="E438" s="3">
        <v>50</v>
      </c>
      <c r="F438" s="216">
        <v>8.18</v>
      </c>
      <c r="G438" s="216">
        <v>64.3</v>
      </c>
      <c r="H438" s="3">
        <v>5.2</v>
      </c>
    </row>
    <row r="439" spans="3:8" ht="15.75" customHeight="1" x14ac:dyDescent="0.2">
      <c r="C439" s="52">
        <v>42954</v>
      </c>
      <c r="D439" s="19">
        <v>0.4548611111111111</v>
      </c>
      <c r="E439" s="3">
        <v>52</v>
      </c>
      <c r="F439" s="216">
        <v>8.16</v>
      </c>
      <c r="G439" s="216">
        <v>64.099999999999994</v>
      </c>
      <c r="H439" s="3">
        <v>5.0999999999999996</v>
      </c>
    </row>
    <row r="440" spans="3:8" ht="15.75" customHeight="1" x14ac:dyDescent="0.2">
      <c r="C440" s="52">
        <v>42954</v>
      </c>
      <c r="D440" s="19">
        <v>0.4548611111111111</v>
      </c>
      <c r="E440" s="3">
        <v>54</v>
      </c>
      <c r="F440" s="216">
        <v>8.1300000000000008</v>
      </c>
      <c r="G440" s="216">
        <v>63.8</v>
      </c>
      <c r="H440" s="3">
        <v>5.0999999999999996</v>
      </c>
    </row>
    <row r="441" spans="3:8" ht="15.75" customHeight="1" x14ac:dyDescent="0.2">
      <c r="C441" s="52">
        <v>42954</v>
      </c>
      <c r="D441" s="19">
        <v>0.4548611111111111</v>
      </c>
      <c r="E441" s="3">
        <v>56</v>
      </c>
      <c r="F441" s="216">
        <v>8.11</v>
      </c>
      <c r="G441" s="216">
        <v>63.7</v>
      </c>
      <c r="H441" s="3">
        <v>5.0999999999999996</v>
      </c>
    </row>
    <row r="442" spans="3:8" ht="15.75" customHeight="1" x14ac:dyDescent="0.2">
      <c r="C442" s="52">
        <v>42954</v>
      </c>
      <c r="D442" s="19">
        <v>0.4548611111111111</v>
      </c>
      <c r="E442" s="3">
        <v>58</v>
      </c>
      <c r="F442" s="216">
        <v>8.11</v>
      </c>
      <c r="G442" s="216">
        <v>63.5</v>
      </c>
      <c r="H442" s="3">
        <v>5</v>
      </c>
    </row>
    <row r="443" spans="3:8" ht="15.75" customHeight="1" x14ac:dyDescent="0.2">
      <c r="C443" s="52">
        <v>42954</v>
      </c>
      <c r="D443" s="19">
        <v>0.4548611111111111</v>
      </c>
      <c r="E443" s="3">
        <v>60</v>
      </c>
      <c r="F443" s="216">
        <v>8.07</v>
      </c>
      <c r="G443" s="216">
        <v>63.2</v>
      </c>
      <c r="H443" s="3">
        <v>5</v>
      </c>
    </row>
    <row r="444" spans="3:8" ht="15.75" customHeight="1" x14ac:dyDescent="0.2">
      <c r="C444" s="52">
        <v>42954</v>
      </c>
      <c r="D444" s="19">
        <v>0.4548611111111111</v>
      </c>
      <c r="E444" s="3">
        <v>62</v>
      </c>
      <c r="F444" s="216">
        <v>8.0399999999999991</v>
      </c>
      <c r="G444" s="216">
        <v>63.9</v>
      </c>
      <c r="H444" s="3">
        <v>5</v>
      </c>
    </row>
    <row r="445" spans="3:8" ht="15.75" customHeight="1" x14ac:dyDescent="0.2">
      <c r="C445" s="52">
        <v>42954</v>
      </c>
      <c r="D445" s="19">
        <v>0.4548611111111111</v>
      </c>
      <c r="E445" s="3">
        <v>64</v>
      </c>
      <c r="F445" s="216">
        <v>8.01</v>
      </c>
      <c r="G445" s="216">
        <v>62.7</v>
      </c>
      <c r="H445" s="3">
        <v>5</v>
      </c>
    </row>
    <row r="446" spans="3:8" ht="15.75" customHeight="1" x14ac:dyDescent="0.2">
      <c r="C446" s="52">
        <v>42954</v>
      </c>
      <c r="D446" s="19">
        <v>0.4548611111111111</v>
      </c>
      <c r="E446" s="3">
        <v>66</v>
      </c>
      <c r="F446" s="216">
        <v>7.96</v>
      </c>
      <c r="G446" s="216">
        <v>62.3</v>
      </c>
      <c r="H446" s="3">
        <v>5</v>
      </c>
    </row>
    <row r="447" spans="3:8" ht="15.75" customHeight="1" x14ac:dyDescent="0.2">
      <c r="C447" s="52">
        <v>42954</v>
      </c>
      <c r="D447" s="19">
        <v>0.4548611111111111</v>
      </c>
      <c r="E447" s="3">
        <v>68</v>
      </c>
      <c r="F447" s="216">
        <v>7.94</v>
      </c>
      <c r="G447" s="216">
        <v>62.1</v>
      </c>
      <c r="H447" s="3">
        <v>5</v>
      </c>
    </row>
    <row r="448" spans="3:8" ht="15.75" customHeight="1" x14ac:dyDescent="0.2">
      <c r="C448" s="52">
        <v>42954</v>
      </c>
      <c r="D448" s="19">
        <v>0.4548611111111111</v>
      </c>
      <c r="E448" s="3">
        <v>70</v>
      </c>
      <c r="F448" s="216">
        <v>7.91</v>
      </c>
      <c r="G448" s="216">
        <v>61.8</v>
      </c>
      <c r="H448" s="3">
        <v>4.9000000000000004</v>
      </c>
    </row>
    <row r="449" spans="3:11" ht="15.75" customHeight="1" x14ac:dyDescent="0.2">
      <c r="C449" s="52">
        <v>42954</v>
      </c>
      <c r="D449" s="19">
        <v>0.4548611111111111</v>
      </c>
      <c r="E449" s="3">
        <v>72</v>
      </c>
      <c r="F449" s="216">
        <v>7.88</v>
      </c>
      <c r="G449" s="216">
        <v>61.5</v>
      </c>
      <c r="H449" s="3">
        <v>4.9000000000000004</v>
      </c>
    </row>
    <row r="450" spans="3:11" ht="15.75" customHeight="1" x14ac:dyDescent="0.2">
      <c r="C450" s="52">
        <v>42954</v>
      </c>
      <c r="D450" s="19">
        <v>0.4548611111111111</v>
      </c>
      <c r="E450" s="3">
        <v>74</v>
      </c>
      <c r="F450" s="216">
        <v>7.86</v>
      </c>
      <c r="G450" s="216">
        <v>61.4</v>
      </c>
      <c r="H450" s="3">
        <v>4.9000000000000004</v>
      </c>
    </row>
    <row r="451" spans="3:11" ht="15.75" customHeight="1" x14ac:dyDescent="0.2">
      <c r="C451" s="52">
        <v>42954</v>
      </c>
      <c r="D451" s="19">
        <v>0.4548611111111111</v>
      </c>
      <c r="E451" s="3">
        <v>76</v>
      </c>
      <c r="F451" s="216">
        <v>7.82</v>
      </c>
      <c r="G451" s="216">
        <v>61</v>
      </c>
      <c r="H451" s="3">
        <v>4.9000000000000004</v>
      </c>
    </row>
    <row r="452" spans="3:11" ht="15.75" customHeight="1" x14ac:dyDescent="0.2">
      <c r="C452" s="52">
        <v>42954</v>
      </c>
      <c r="D452" s="19">
        <v>0.4548611111111111</v>
      </c>
      <c r="E452" s="3">
        <v>78</v>
      </c>
      <c r="F452" s="216">
        <v>7.79</v>
      </c>
      <c r="G452" s="216">
        <v>60.7</v>
      </c>
      <c r="H452" s="3">
        <v>4.8</v>
      </c>
    </row>
    <row r="453" spans="3:11" ht="15.75" customHeight="1" x14ac:dyDescent="0.2">
      <c r="C453" s="52">
        <v>42954</v>
      </c>
      <c r="D453" s="19">
        <v>0.4548611111111111</v>
      </c>
      <c r="E453" s="3">
        <v>80</v>
      </c>
      <c r="F453" s="216">
        <v>7.75</v>
      </c>
      <c r="G453" s="216">
        <v>60.4</v>
      </c>
      <c r="H453" s="3">
        <v>4.8</v>
      </c>
    </row>
    <row r="454" spans="3:11" ht="15.75" customHeight="1" x14ac:dyDescent="0.2">
      <c r="C454" s="52">
        <v>42954</v>
      </c>
      <c r="D454" s="19">
        <v>0.4548611111111111</v>
      </c>
      <c r="E454" s="3">
        <v>82</v>
      </c>
      <c r="F454" s="216">
        <v>7.69</v>
      </c>
      <c r="G454" s="216">
        <v>59.9</v>
      </c>
      <c r="H454" s="3">
        <v>4.8</v>
      </c>
    </row>
    <row r="455" spans="3:11" ht="15.75" customHeight="1" x14ac:dyDescent="0.2">
      <c r="C455" s="52">
        <v>42954</v>
      </c>
      <c r="D455" s="19">
        <v>0.4548611111111111</v>
      </c>
      <c r="E455" s="3">
        <v>84</v>
      </c>
      <c r="F455" s="216">
        <v>7.66</v>
      </c>
      <c r="G455" s="216">
        <v>59.5</v>
      </c>
      <c r="H455" s="3">
        <v>4.7</v>
      </c>
    </row>
    <row r="456" spans="3:11" ht="15.75" customHeight="1" x14ac:dyDescent="0.2">
      <c r="C456" s="52">
        <v>42954</v>
      </c>
      <c r="D456" s="19">
        <v>0.4548611111111111</v>
      </c>
      <c r="E456" s="3">
        <v>86</v>
      </c>
      <c r="F456" s="216">
        <v>7.57</v>
      </c>
      <c r="G456" s="216">
        <v>58.8</v>
      </c>
      <c r="H456" s="3">
        <v>4.7</v>
      </c>
    </row>
    <row r="457" spans="3:11" ht="15.75" customHeight="1" x14ac:dyDescent="0.2">
      <c r="C457" s="52">
        <v>42954</v>
      </c>
      <c r="D457" s="19">
        <v>0.4548611111111111</v>
      </c>
      <c r="E457" s="3">
        <v>88</v>
      </c>
      <c r="F457" s="216">
        <v>7.42</v>
      </c>
      <c r="G457" s="216">
        <v>57.5</v>
      </c>
      <c r="H457" s="3">
        <v>4.7</v>
      </c>
    </row>
    <row r="458" spans="3:11" ht="15.75" customHeight="1" x14ac:dyDescent="0.2">
      <c r="C458" s="52"/>
      <c r="D458" s="19"/>
      <c r="E458" s="3"/>
      <c r="F458" s="216"/>
      <c r="G458" s="216"/>
      <c r="H458" s="3"/>
    </row>
    <row r="459" spans="3:11" ht="15.75" customHeight="1" x14ac:dyDescent="0.2">
      <c r="C459" s="52"/>
      <c r="D459" s="19"/>
      <c r="E459" s="3"/>
      <c r="F459" s="216"/>
      <c r="G459" s="216"/>
      <c r="H459" s="3"/>
    </row>
    <row r="460" spans="3:11" ht="15.75" customHeight="1" x14ac:dyDescent="0.2">
      <c r="C460" s="52">
        <v>42928</v>
      </c>
      <c r="D460" s="19">
        <v>0.39583333333333331</v>
      </c>
      <c r="E460" s="3"/>
      <c r="F460" s="216"/>
      <c r="G460" s="216"/>
      <c r="H460" s="3"/>
      <c r="J460">
        <v>11.5</v>
      </c>
      <c r="K460">
        <v>12</v>
      </c>
    </row>
    <row r="461" spans="3:11" ht="15.75" customHeight="1" x14ac:dyDescent="0.2">
      <c r="C461" s="52">
        <v>42928</v>
      </c>
      <c r="D461" s="19">
        <v>0.40416666666666662</v>
      </c>
      <c r="E461" s="3">
        <v>0.1</v>
      </c>
      <c r="F461" s="216">
        <v>7.19</v>
      </c>
      <c r="G461" s="216">
        <v>84.8</v>
      </c>
      <c r="H461" s="3">
        <v>23.6</v>
      </c>
    </row>
    <row r="462" spans="3:11" ht="15.75" customHeight="1" x14ac:dyDescent="0.2">
      <c r="C462" s="52">
        <v>42928</v>
      </c>
      <c r="D462" s="19">
        <v>0.40416666666666662</v>
      </c>
      <c r="E462" s="3">
        <v>1</v>
      </c>
      <c r="F462" s="216">
        <v>7.27</v>
      </c>
      <c r="G462" s="216">
        <v>85</v>
      </c>
      <c r="H462" s="3">
        <v>23.2</v>
      </c>
    </row>
    <row r="463" spans="3:11" ht="15.75" customHeight="1" x14ac:dyDescent="0.2">
      <c r="C463" s="52">
        <v>42928</v>
      </c>
      <c r="D463" s="19">
        <v>0.40416666666666662</v>
      </c>
      <c r="E463" s="3">
        <v>2</v>
      </c>
      <c r="F463" s="216">
        <v>7.32</v>
      </c>
      <c r="G463" s="216">
        <v>85</v>
      </c>
      <c r="H463" s="3">
        <v>22.9</v>
      </c>
    </row>
    <row r="464" spans="3:11" ht="15.75" customHeight="1" x14ac:dyDescent="0.2">
      <c r="C464" s="52">
        <v>42928</v>
      </c>
      <c r="D464" s="19">
        <v>0.40416666666666662</v>
      </c>
      <c r="E464" s="3">
        <v>3</v>
      </c>
      <c r="F464" s="216">
        <v>7.32</v>
      </c>
      <c r="G464" s="216">
        <v>84.8</v>
      </c>
      <c r="H464" s="3">
        <v>22.7</v>
      </c>
    </row>
    <row r="465" spans="3:8" ht="15.75" customHeight="1" x14ac:dyDescent="0.2">
      <c r="C465" s="52">
        <v>42928</v>
      </c>
      <c r="D465" s="19">
        <v>0.40416666666666662</v>
      </c>
      <c r="E465" s="3">
        <v>4</v>
      </c>
      <c r="F465" s="216">
        <v>7.38</v>
      </c>
      <c r="G465" s="216">
        <v>85.1</v>
      </c>
      <c r="H465" s="3">
        <v>22.4</v>
      </c>
    </row>
    <row r="466" spans="3:8" ht="15.75" customHeight="1" x14ac:dyDescent="0.2">
      <c r="C466" s="52">
        <v>42928</v>
      </c>
      <c r="D466" s="19">
        <v>0.40416666666666662</v>
      </c>
      <c r="E466" s="3">
        <v>5</v>
      </c>
      <c r="F466" s="216">
        <v>7.42</v>
      </c>
      <c r="G466" s="216">
        <v>85.1</v>
      </c>
      <c r="H466" s="3">
        <v>22.2</v>
      </c>
    </row>
    <row r="467" spans="3:8" ht="15.75" customHeight="1" x14ac:dyDescent="0.2">
      <c r="C467" s="52">
        <v>42928</v>
      </c>
      <c r="D467" s="19">
        <v>0.40416666666666662</v>
      </c>
      <c r="E467" s="3">
        <v>6</v>
      </c>
      <c r="F467" s="216">
        <v>8.61</v>
      </c>
      <c r="G467" s="216">
        <v>91.5</v>
      </c>
      <c r="H467" s="3">
        <v>18.5</v>
      </c>
    </row>
    <row r="468" spans="3:8" ht="15.75" customHeight="1" x14ac:dyDescent="0.2">
      <c r="C468" s="52">
        <v>42928</v>
      </c>
      <c r="D468" s="19">
        <v>0.40416666666666662</v>
      </c>
      <c r="E468" s="3">
        <v>8</v>
      </c>
      <c r="F468" s="216">
        <v>8.64</v>
      </c>
      <c r="G468" s="216">
        <v>91.5</v>
      </c>
      <c r="H468" s="3">
        <v>16.5</v>
      </c>
    </row>
    <row r="469" spans="3:8" ht="15.75" customHeight="1" x14ac:dyDescent="0.2">
      <c r="C469" s="52">
        <v>42928</v>
      </c>
      <c r="D469" s="19">
        <v>0.40416666666666662</v>
      </c>
      <c r="E469" s="3">
        <v>10</v>
      </c>
      <c r="F469" s="216">
        <v>9.1999999999999993</v>
      </c>
      <c r="G469" s="216">
        <v>88.8</v>
      </c>
      <c r="H469" s="3">
        <v>13.8</v>
      </c>
    </row>
    <row r="470" spans="3:8" ht="15.75" customHeight="1" x14ac:dyDescent="0.2">
      <c r="C470" s="52">
        <v>42928</v>
      </c>
      <c r="D470" s="19">
        <v>0.40416666666666662</v>
      </c>
      <c r="E470" s="3">
        <v>12</v>
      </c>
      <c r="F470" s="216">
        <v>9.31</v>
      </c>
      <c r="G470" s="216">
        <v>87</v>
      </c>
      <c r="H470" s="3">
        <v>12.3</v>
      </c>
    </row>
    <row r="471" spans="3:8" ht="15.75" customHeight="1" x14ac:dyDescent="0.2">
      <c r="C471" s="52">
        <v>42928</v>
      </c>
      <c r="D471" s="19">
        <v>0.40416666666666662</v>
      </c>
      <c r="E471" s="3">
        <v>14</v>
      </c>
      <c r="F471" s="216">
        <v>9.42</v>
      </c>
      <c r="G471" s="216">
        <v>84.8</v>
      </c>
      <c r="H471" s="3">
        <v>10.7</v>
      </c>
    </row>
    <row r="472" spans="3:8" ht="15.75" customHeight="1" x14ac:dyDescent="0.2">
      <c r="C472" s="52">
        <v>42928</v>
      </c>
      <c r="D472" s="19">
        <v>0.40416666666666662</v>
      </c>
      <c r="E472" s="3">
        <v>16</v>
      </c>
      <c r="F472" s="216">
        <v>9.3800000000000008</v>
      </c>
      <c r="G472" s="216">
        <v>79.2</v>
      </c>
      <c r="H472" s="3">
        <v>8</v>
      </c>
    </row>
    <row r="473" spans="3:8" ht="15.75" customHeight="1" x14ac:dyDescent="0.2">
      <c r="C473" s="52">
        <v>42928</v>
      </c>
      <c r="D473" s="19">
        <v>0.40416666666666662</v>
      </c>
      <c r="E473" s="3">
        <v>18</v>
      </c>
      <c r="F473" s="216">
        <v>9.32</v>
      </c>
      <c r="G473" s="216">
        <v>77.099999999999994</v>
      </c>
      <c r="H473" s="3">
        <v>7.3</v>
      </c>
    </row>
    <row r="474" spans="3:8" ht="15.75" customHeight="1" x14ac:dyDescent="0.2">
      <c r="C474" s="52">
        <v>42928</v>
      </c>
      <c r="D474" s="19">
        <v>0.40416666666666662</v>
      </c>
      <c r="E474" s="3">
        <v>20</v>
      </c>
      <c r="F474" s="216">
        <v>9.11</v>
      </c>
      <c r="G474" s="216">
        <v>74.7</v>
      </c>
      <c r="H474" s="3">
        <v>6.8</v>
      </c>
    </row>
    <row r="475" spans="3:8" ht="15.75" customHeight="1" x14ac:dyDescent="0.2">
      <c r="C475" s="52">
        <v>42928</v>
      </c>
      <c r="D475" s="19">
        <v>0.40416666666666662</v>
      </c>
      <c r="E475" s="3">
        <v>22</v>
      </c>
      <c r="F475" s="216">
        <v>8.68</v>
      </c>
      <c r="G475" s="216">
        <v>73</v>
      </c>
      <c r="H475" s="3">
        <v>6.5</v>
      </c>
    </row>
    <row r="476" spans="3:8" ht="15.75" customHeight="1" x14ac:dyDescent="0.2">
      <c r="C476" s="52">
        <v>42928</v>
      </c>
      <c r="D476" s="19">
        <v>0.40416666666666662</v>
      </c>
      <c r="E476" s="3">
        <v>24</v>
      </c>
      <c r="F476" s="216">
        <v>8.9</v>
      </c>
      <c r="G476" s="216">
        <v>71.900000000000006</v>
      </c>
      <c r="H476" s="3">
        <v>6.2</v>
      </c>
    </row>
    <row r="477" spans="3:8" ht="15.75" customHeight="1" x14ac:dyDescent="0.2">
      <c r="C477" s="52">
        <v>42928</v>
      </c>
      <c r="D477" s="19">
        <v>0.40416666666666662</v>
      </c>
      <c r="E477" s="3">
        <v>26</v>
      </c>
      <c r="F477" s="216">
        <v>8.82</v>
      </c>
      <c r="G477" s="216">
        <v>70.599999999999994</v>
      </c>
      <c r="H477" s="3">
        <v>6</v>
      </c>
    </row>
    <row r="478" spans="3:8" ht="15.75" customHeight="1" x14ac:dyDescent="0.2">
      <c r="C478" s="52">
        <v>42928</v>
      </c>
      <c r="D478" s="19">
        <v>0.40416666666666662</v>
      </c>
      <c r="E478" s="3">
        <v>28</v>
      </c>
      <c r="F478" s="216">
        <v>8.75</v>
      </c>
      <c r="G478" s="216">
        <v>70.099999999999994</v>
      </c>
      <c r="H478" s="3">
        <v>5.9</v>
      </c>
    </row>
    <row r="479" spans="3:8" ht="15.75" customHeight="1" x14ac:dyDescent="0.2">
      <c r="C479" s="52">
        <v>42928</v>
      </c>
      <c r="D479" s="19">
        <v>0.40416666666666662</v>
      </c>
      <c r="E479" s="3">
        <v>30</v>
      </c>
      <c r="F479" s="216">
        <v>8.7200000000000006</v>
      </c>
      <c r="G479" s="216">
        <v>69.5</v>
      </c>
      <c r="H479" s="3">
        <v>5.7</v>
      </c>
    </row>
    <row r="480" spans="3:8" ht="15.75" customHeight="1" x14ac:dyDescent="0.2">
      <c r="C480" s="52">
        <v>42928</v>
      </c>
      <c r="D480" s="19">
        <v>0.40416666666666662</v>
      </c>
      <c r="E480" s="3">
        <v>32</v>
      </c>
      <c r="F480" s="216">
        <v>8.64</v>
      </c>
      <c r="G480" s="216">
        <v>68.7</v>
      </c>
      <c r="H480" s="3">
        <v>5.6</v>
      </c>
    </row>
    <row r="481" spans="3:8" ht="15.75" customHeight="1" x14ac:dyDescent="0.2">
      <c r="C481" s="52">
        <v>42928</v>
      </c>
      <c r="D481" s="19">
        <v>0.40416666666666662</v>
      </c>
      <c r="E481" s="3">
        <v>34</v>
      </c>
      <c r="F481" s="216">
        <v>8.6199999999999992</v>
      </c>
      <c r="G481" s="216">
        <v>68.400000000000006</v>
      </c>
      <c r="H481" s="3">
        <v>5.5</v>
      </c>
    </row>
    <row r="482" spans="3:8" ht="15.75" customHeight="1" x14ac:dyDescent="0.2">
      <c r="C482" s="52">
        <v>42928</v>
      </c>
      <c r="D482" s="19">
        <v>0.40416666666666662</v>
      </c>
      <c r="E482" s="3">
        <v>36</v>
      </c>
      <c r="F482" s="216">
        <v>8.58</v>
      </c>
      <c r="G482" s="216">
        <v>68</v>
      </c>
      <c r="H482" s="3">
        <v>5.5</v>
      </c>
    </row>
    <row r="483" spans="3:8" ht="15.75" customHeight="1" x14ac:dyDescent="0.2">
      <c r="C483" s="52">
        <v>42928</v>
      </c>
      <c r="D483" s="19">
        <v>0.40416666666666662</v>
      </c>
      <c r="E483" s="3">
        <v>38</v>
      </c>
      <c r="F483" s="216">
        <v>8.57</v>
      </c>
      <c r="G483" s="216">
        <v>67.8</v>
      </c>
      <c r="H483" s="3">
        <v>5.4</v>
      </c>
    </row>
    <row r="484" spans="3:8" ht="15.75" customHeight="1" x14ac:dyDescent="0.2">
      <c r="C484" s="52">
        <v>42928</v>
      </c>
      <c r="D484" s="19">
        <v>0.40416666666666662</v>
      </c>
      <c r="E484" s="3">
        <v>40</v>
      </c>
      <c r="F484" s="216">
        <v>8.5</v>
      </c>
      <c r="G484" s="216">
        <v>67.2</v>
      </c>
      <c r="H484" s="3">
        <v>5.4</v>
      </c>
    </row>
    <row r="485" spans="3:8" ht="15.75" customHeight="1" x14ac:dyDescent="0.2">
      <c r="C485" s="52">
        <v>42928</v>
      </c>
      <c r="D485" s="19">
        <v>0.40416666666666662</v>
      </c>
      <c r="E485" s="3">
        <v>42</v>
      </c>
      <c r="F485" s="216">
        <v>8.4499999999999993</v>
      </c>
      <c r="G485" s="216">
        <v>66.599999999999994</v>
      </c>
      <c r="H485" s="3">
        <v>5.3</v>
      </c>
    </row>
    <row r="486" spans="3:8" ht="15.75" customHeight="1" x14ac:dyDescent="0.2">
      <c r="C486" s="52">
        <v>42928</v>
      </c>
      <c r="D486" s="19">
        <v>0.40416666666666662</v>
      </c>
      <c r="E486" s="3">
        <v>44</v>
      </c>
      <c r="F486" s="216">
        <v>8.39</v>
      </c>
      <c r="G486" s="216">
        <v>66.400000000000006</v>
      </c>
      <c r="H486" s="3">
        <v>5.2</v>
      </c>
    </row>
    <row r="487" spans="3:8" ht="15.75" customHeight="1" x14ac:dyDescent="0.2">
      <c r="C487" s="52">
        <v>42928</v>
      </c>
      <c r="D487" s="19">
        <v>0.40416666666666662</v>
      </c>
      <c r="E487" s="3">
        <v>46</v>
      </c>
      <c r="F487" s="216">
        <v>8.34</v>
      </c>
      <c r="G487" s="216">
        <v>65.400000000000006</v>
      </c>
      <c r="H487" s="3">
        <v>5.0999999999999996</v>
      </c>
    </row>
    <row r="488" spans="3:8" ht="15.75" customHeight="1" x14ac:dyDescent="0.2">
      <c r="C488" s="52">
        <v>42928</v>
      </c>
      <c r="D488" s="19">
        <v>0.40416666666666662</v>
      </c>
      <c r="E488" s="3">
        <v>48</v>
      </c>
      <c r="F488" s="216">
        <v>8.2899999999999991</v>
      </c>
      <c r="G488" s="216">
        <v>65</v>
      </c>
      <c r="H488" s="3">
        <v>5.0999999999999996</v>
      </c>
    </row>
    <row r="489" spans="3:8" ht="15.75" customHeight="1" x14ac:dyDescent="0.2">
      <c r="C489" s="52">
        <v>42928</v>
      </c>
      <c r="D489" s="19">
        <v>0.40416666666666662</v>
      </c>
      <c r="E489" s="3">
        <v>50</v>
      </c>
      <c r="F489" s="216">
        <v>8.26</v>
      </c>
      <c r="G489" s="216">
        <v>64.8</v>
      </c>
      <c r="H489" s="3">
        <v>5.0999999999999996</v>
      </c>
    </row>
    <row r="490" spans="3:8" ht="15.75" customHeight="1" x14ac:dyDescent="0.2">
      <c r="C490" s="52">
        <v>42928</v>
      </c>
      <c r="D490" s="19">
        <v>0.40416666666666662</v>
      </c>
      <c r="E490" s="3">
        <v>52</v>
      </c>
      <c r="F490" s="216">
        <v>8.23</v>
      </c>
      <c r="G490" s="216">
        <v>64.599999999999994</v>
      </c>
      <c r="H490" s="3">
        <v>5.0999999999999996</v>
      </c>
    </row>
    <row r="491" spans="3:8" ht="15.75" customHeight="1" x14ac:dyDescent="0.2">
      <c r="C491" s="52">
        <v>42928</v>
      </c>
      <c r="D491" s="19">
        <v>0.40416666666666662</v>
      </c>
      <c r="E491" s="3">
        <v>54</v>
      </c>
      <c r="F491" s="216">
        <v>8.2200000000000006</v>
      </c>
      <c r="G491" s="216">
        <v>64.3</v>
      </c>
      <c r="H491" s="3">
        <v>5</v>
      </c>
    </row>
    <row r="492" spans="3:8" ht="15.75" customHeight="1" x14ac:dyDescent="0.2">
      <c r="C492" s="52">
        <v>42928</v>
      </c>
      <c r="D492" s="19">
        <v>0.40416666666666662</v>
      </c>
      <c r="E492" s="3">
        <v>56</v>
      </c>
      <c r="F492" s="216">
        <v>8.19</v>
      </c>
      <c r="G492" s="216">
        <v>64.099999999999994</v>
      </c>
      <c r="H492" s="3">
        <v>5</v>
      </c>
    </row>
    <row r="493" spans="3:8" ht="15.75" customHeight="1" x14ac:dyDescent="0.2">
      <c r="C493" s="52">
        <v>42928</v>
      </c>
      <c r="D493" s="19">
        <v>0.40416666666666662</v>
      </c>
      <c r="E493" s="3">
        <v>58</v>
      </c>
      <c r="F493" s="216">
        <v>8.15</v>
      </c>
      <c r="G493" s="216">
        <v>63.8</v>
      </c>
      <c r="H493" s="3">
        <v>5</v>
      </c>
    </row>
    <row r="494" spans="3:8" ht="15.75" customHeight="1" x14ac:dyDescent="0.2">
      <c r="C494" s="52">
        <v>42928</v>
      </c>
      <c r="D494" s="19">
        <v>0.40416666666666662</v>
      </c>
      <c r="E494" s="3">
        <v>60</v>
      </c>
      <c r="F494" s="216">
        <v>8.1199999999999992</v>
      </c>
      <c r="G494" s="216">
        <v>63.6</v>
      </c>
      <c r="H494" s="3">
        <v>5</v>
      </c>
    </row>
    <row r="495" spans="3:8" ht="15.75" customHeight="1" x14ac:dyDescent="0.2">
      <c r="C495" s="52">
        <v>42928</v>
      </c>
      <c r="D495" s="19">
        <v>0.40416666666666662</v>
      </c>
      <c r="E495" s="3">
        <v>62</v>
      </c>
      <c r="F495" s="216">
        <v>8.09</v>
      </c>
      <c r="G495" s="216">
        <v>63.4</v>
      </c>
      <c r="H495" s="3">
        <v>5</v>
      </c>
    </row>
    <row r="496" spans="3:8" ht="15.75" customHeight="1" x14ac:dyDescent="0.2">
      <c r="C496" s="52">
        <v>42928</v>
      </c>
      <c r="D496" s="19">
        <v>0.40416666666666662</v>
      </c>
      <c r="E496" s="3">
        <v>64</v>
      </c>
      <c r="F496" s="216">
        <v>8.06</v>
      </c>
      <c r="G496" s="216">
        <v>63.1</v>
      </c>
      <c r="H496" s="3">
        <v>5</v>
      </c>
    </row>
    <row r="497" spans="3:11" ht="15.75" customHeight="1" x14ac:dyDescent="0.2">
      <c r="C497" s="52">
        <v>42928</v>
      </c>
      <c r="D497" s="19">
        <v>0.40416666666666662</v>
      </c>
      <c r="E497" s="3">
        <v>66</v>
      </c>
      <c r="F497" s="216">
        <v>8.0500000000000007</v>
      </c>
      <c r="G497" s="216">
        <v>62.9</v>
      </c>
      <c r="H497" s="3">
        <v>4.9000000000000004</v>
      </c>
    </row>
    <row r="498" spans="3:11" ht="15.75" customHeight="1" x14ac:dyDescent="0.2">
      <c r="C498" s="52">
        <v>42928</v>
      </c>
      <c r="D498" s="19">
        <v>0.40416666666666662</v>
      </c>
      <c r="E498" s="3">
        <v>68</v>
      </c>
      <c r="F498" s="216">
        <v>8.01</v>
      </c>
      <c r="G498" s="216">
        <v>62.6</v>
      </c>
      <c r="H498" s="3">
        <v>4.9000000000000004</v>
      </c>
    </row>
    <row r="499" spans="3:11" ht="15.75" customHeight="1" x14ac:dyDescent="0.2">
      <c r="C499" s="52">
        <v>42928</v>
      </c>
      <c r="D499" s="19">
        <v>0.40416666666666662</v>
      </c>
      <c r="E499" s="3">
        <v>70</v>
      </c>
      <c r="F499" s="216">
        <v>7.97</v>
      </c>
      <c r="G499" s="216">
        <v>62.2</v>
      </c>
      <c r="H499" s="3">
        <v>4.9000000000000004</v>
      </c>
    </row>
    <row r="500" spans="3:11" ht="15.75" customHeight="1" x14ac:dyDescent="0.2">
      <c r="C500" s="52">
        <v>42928</v>
      </c>
      <c r="D500" s="19">
        <v>0.40416666666666662</v>
      </c>
      <c r="E500" s="3">
        <v>72</v>
      </c>
      <c r="F500" s="216">
        <v>7.93</v>
      </c>
      <c r="G500" s="216">
        <v>61.9</v>
      </c>
      <c r="H500" s="3">
        <v>4.9000000000000004</v>
      </c>
    </row>
    <row r="501" spans="3:11" ht="15.75" customHeight="1" x14ac:dyDescent="0.2">
      <c r="C501" s="52">
        <v>42928</v>
      </c>
      <c r="D501" s="19">
        <v>0.40416666666666662</v>
      </c>
      <c r="E501" s="3">
        <v>74</v>
      </c>
      <c r="F501" s="216">
        <v>7.9</v>
      </c>
      <c r="G501" s="216">
        <v>61.6</v>
      </c>
      <c r="H501" s="3">
        <v>4.9000000000000004</v>
      </c>
    </row>
    <row r="502" spans="3:11" ht="15.75" customHeight="1" x14ac:dyDescent="0.2">
      <c r="C502" s="52">
        <v>42928</v>
      </c>
      <c r="D502" s="19">
        <v>0.40416666666666662</v>
      </c>
      <c r="E502" s="3">
        <v>76</v>
      </c>
      <c r="F502" s="216">
        <v>7.86</v>
      </c>
      <c r="G502" s="216">
        <v>61.2</v>
      </c>
      <c r="H502" s="3">
        <v>4.8</v>
      </c>
    </row>
    <row r="503" spans="3:11" ht="15.75" customHeight="1" x14ac:dyDescent="0.2">
      <c r="C503" s="52">
        <v>42928</v>
      </c>
      <c r="D503" s="19">
        <v>0.40416666666666662</v>
      </c>
      <c r="E503" s="3">
        <v>78</v>
      </c>
      <c r="F503" s="216">
        <v>7.81</v>
      </c>
      <c r="G503" s="216">
        <v>60.8</v>
      </c>
      <c r="H503" s="3">
        <v>4.8</v>
      </c>
    </row>
    <row r="504" spans="3:11" ht="15.75" customHeight="1" x14ac:dyDescent="0.2">
      <c r="C504" s="52">
        <v>42928</v>
      </c>
      <c r="D504" s="19">
        <v>0.40416666666666662</v>
      </c>
      <c r="E504" s="3">
        <v>80</v>
      </c>
      <c r="F504" s="216">
        <v>7.73</v>
      </c>
      <c r="G504" s="216">
        <v>60.2</v>
      </c>
      <c r="H504" s="3">
        <v>4.8</v>
      </c>
    </row>
    <row r="505" spans="3:11" ht="15.75" customHeight="1" x14ac:dyDescent="0.2">
      <c r="C505" s="52">
        <v>42928</v>
      </c>
      <c r="D505" s="19">
        <v>0.40416666666666662</v>
      </c>
      <c r="E505" s="3">
        <v>82</v>
      </c>
      <c r="F505" s="216">
        <v>7.57</v>
      </c>
      <c r="G505" s="216">
        <v>58.8</v>
      </c>
      <c r="H505" s="3">
        <v>4.7</v>
      </c>
    </row>
    <row r="506" spans="3:11" ht="15.75" customHeight="1" x14ac:dyDescent="0.2">
      <c r="C506" s="52"/>
      <c r="D506" s="19"/>
      <c r="E506" s="3"/>
      <c r="F506" s="216"/>
      <c r="G506" s="216"/>
      <c r="H506" s="3"/>
    </row>
    <row r="507" spans="3:11" ht="15.75" customHeight="1" x14ac:dyDescent="0.2">
      <c r="C507" s="52"/>
      <c r="D507" s="19"/>
      <c r="E507" s="3"/>
      <c r="F507" s="216"/>
      <c r="G507" s="216"/>
      <c r="H507" s="3"/>
    </row>
    <row r="508" spans="3:11" ht="15.75" customHeight="1" x14ac:dyDescent="0.2">
      <c r="C508" s="52">
        <v>42898</v>
      </c>
      <c r="D508" s="19">
        <v>0.42708333333333331</v>
      </c>
      <c r="E508" s="3"/>
      <c r="F508" s="216"/>
      <c r="G508" s="216"/>
      <c r="H508" s="3"/>
      <c r="J508">
        <v>8</v>
      </c>
      <c r="K508">
        <v>9.5</v>
      </c>
    </row>
    <row r="509" spans="3:11" ht="15.75" customHeight="1" x14ac:dyDescent="0.2">
      <c r="C509" s="52">
        <v>42898</v>
      </c>
      <c r="D509" s="19">
        <v>0.39583333333333331</v>
      </c>
      <c r="E509" s="3">
        <v>0.1</v>
      </c>
      <c r="F509" s="190">
        <v>8.7899999999999991</v>
      </c>
      <c r="G509" s="216">
        <v>86.9</v>
      </c>
      <c r="H509" s="3">
        <v>14.9</v>
      </c>
    </row>
    <row r="510" spans="3:11" ht="15.75" customHeight="1" x14ac:dyDescent="0.2">
      <c r="C510" s="52">
        <v>42898</v>
      </c>
      <c r="D510" s="19">
        <v>0.39583333333333331</v>
      </c>
      <c r="E510" s="3">
        <v>1</v>
      </c>
      <c r="F510" s="190">
        <v>8.8000000000000007</v>
      </c>
      <c r="G510" s="216">
        <v>86.9</v>
      </c>
      <c r="H510" s="3">
        <v>14.8</v>
      </c>
    </row>
    <row r="511" spans="3:11" ht="15.75" customHeight="1" x14ac:dyDescent="0.2">
      <c r="C511" s="52">
        <v>42898</v>
      </c>
      <c r="D511" s="19">
        <v>0.39583333333333331</v>
      </c>
      <c r="E511" s="3">
        <v>2</v>
      </c>
      <c r="F511" s="190">
        <v>8.7899999999999991</v>
      </c>
      <c r="G511" s="216">
        <v>86.5</v>
      </c>
      <c r="H511" s="3">
        <v>14.7</v>
      </c>
    </row>
    <row r="512" spans="3:11" ht="15.75" customHeight="1" x14ac:dyDescent="0.2">
      <c r="C512" s="52">
        <v>42898</v>
      </c>
      <c r="D512" s="19">
        <v>0.39583333333333331</v>
      </c>
      <c r="E512" s="3">
        <v>3</v>
      </c>
      <c r="F512" s="190">
        <v>8.7799999999999994</v>
      </c>
      <c r="G512" s="216">
        <v>86.1</v>
      </c>
      <c r="H512" s="3">
        <v>14.5</v>
      </c>
    </row>
    <row r="513" spans="3:8" ht="15.75" customHeight="1" x14ac:dyDescent="0.2">
      <c r="C513" s="52">
        <v>42898</v>
      </c>
      <c r="D513" s="19">
        <v>0.39583333333333331</v>
      </c>
      <c r="E513" s="3">
        <v>4</v>
      </c>
      <c r="F513" s="190">
        <v>8.7899999999999991</v>
      </c>
      <c r="G513" s="216">
        <v>86</v>
      </c>
      <c r="H513" s="3">
        <v>14.4</v>
      </c>
    </row>
    <row r="514" spans="3:8" ht="15.75" customHeight="1" x14ac:dyDescent="0.2">
      <c r="C514" s="52">
        <v>42898</v>
      </c>
      <c r="D514" s="19">
        <v>0.39583333333333331</v>
      </c>
      <c r="E514" s="3">
        <v>5</v>
      </c>
      <c r="F514" s="190">
        <v>8.7899999999999991</v>
      </c>
      <c r="G514" s="216">
        <v>85.8</v>
      </c>
      <c r="H514" s="3">
        <v>14.3</v>
      </c>
    </row>
    <row r="515" spans="3:8" ht="15.75" customHeight="1" x14ac:dyDescent="0.2">
      <c r="C515" s="52">
        <v>42898</v>
      </c>
      <c r="D515" s="19">
        <v>0.39583333333333331</v>
      </c>
      <c r="E515" s="3">
        <v>6</v>
      </c>
      <c r="F515" s="216">
        <v>8.81</v>
      </c>
      <c r="G515" s="216">
        <v>85.7</v>
      </c>
      <c r="H515" s="3">
        <v>14.1</v>
      </c>
    </row>
    <row r="516" spans="3:8" ht="15.75" customHeight="1" x14ac:dyDescent="0.2">
      <c r="C516" s="52">
        <v>42898</v>
      </c>
      <c r="D516" s="19">
        <v>0.39583333333333331</v>
      </c>
      <c r="E516" s="3">
        <v>7</v>
      </c>
      <c r="F516" s="216">
        <v>8.8699999999999992</v>
      </c>
      <c r="G516" s="216">
        <v>85</v>
      </c>
      <c r="H516" s="3">
        <v>13.7</v>
      </c>
    </row>
    <row r="517" spans="3:8" ht="15.75" customHeight="1" x14ac:dyDescent="0.2">
      <c r="C517" s="52">
        <v>42898</v>
      </c>
      <c r="D517" s="19">
        <v>0.39583333333333331</v>
      </c>
      <c r="E517" s="3">
        <v>8</v>
      </c>
      <c r="F517" s="216">
        <v>9.06</v>
      </c>
      <c r="G517" s="216">
        <v>85.8</v>
      </c>
      <c r="H517" s="3">
        <v>12.9</v>
      </c>
    </row>
    <row r="518" spans="3:8" ht="15.75" customHeight="1" x14ac:dyDescent="0.2">
      <c r="C518" s="52">
        <v>42898</v>
      </c>
      <c r="D518" s="19">
        <v>0.39583333333333331</v>
      </c>
      <c r="E518" s="3">
        <v>9</v>
      </c>
      <c r="F518" s="216">
        <v>9.16</v>
      </c>
      <c r="G518" s="216">
        <v>85.7</v>
      </c>
      <c r="H518" s="3">
        <v>12.4</v>
      </c>
    </row>
    <row r="519" spans="3:8" ht="15.75" customHeight="1" x14ac:dyDescent="0.2">
      <c r="C519" s="52">
        <v>42898</v>
      </c>
      <c r="D519" s="19">
        <v>0.39583333333333331</v>
      </c>
      <c r="E519" s="3">
        <v>10</v>
      </c>
      <c r="F519" s="216">
        <v>9.64</v>
      </c>
      <c r="G519" s="216">
        <v>85.9</v>
      </c>
      <c r="H519" s="3">
        <v>10.199999999999999</v>
      </c>
    </row>
    <row r="520" spans="3:8" ht="15.75" customHeight="1" x14ac:dyDescent="0.2">
      <c r="C520" s="52">
        <v>42898</v>
      </c>
      <c r="D520" s="19">
        <v>0.39583333333333331</v>
      </c>
      <c r="E520" s="3">
        <v>12</v>
      </c>
      <c r="F520" s="216">
        <v>9.75</v>
      </c>
      <c r="G520" s="216">
        <v>85</v>
      </c>
      <c r="H520" s="3">
        <v>9.1999999999999993</v>
      </c>
    </row>
    <row r="521" spans="3:8" ht="15.75" customHeight="1" x14ac:dyDescent="0.2">
      <c r="C521" s="52">
        <v>42898</v>
      </c>
      <c r="D521" s="19">
        <v>0.39583333333333331</v>
      </c>
      <c r="E521" s="3">
        <v>14</v>
      </c>
      <c r="F521" s="216">
        <v>9.73</v>
      </c>
      <c r="G521" s="216">
        <v>81.900000000000006</v>
      </c>
      <c r="H521" s="3">
        <v>7.9</v>
      </c>
    </row>
    <row r="522" spans="3:8" ht="15.75" customHeight="1" x14ac:dyDescent="0.2">
      <c r="C522" s="52">
        <v>42898</v>
      </c>
      <c r="D522" s="19">
        <v>0.39583333333333331</v>
      </c>
      <c r="E522" s="3">
        <v>16</v>
      </c>
      <c r="F522" s="216">
        <v>9.6999999999999993</v>
      </c>
      <c r="G522" s="216">
        <v>80.099999999999994</v>
      </c>
      <c r="H522" s="3">
        <v>7.1</v>
      </c>
    </row>
    <row r="523" spans="3:8" ht="15.75" customHeight="1" x14ac:dyDescent="0.2">
      <c r="C523" s="52">
        <v>42898</v>
      </c>
      <c r="D523" s="19">
        <v>0.39583333333333331</v>
      </c>
      <c r="E523" s="3">
        <v>18</v>
      </c>
      <c r="F523" s="216">
        <v>9.56</v>
      </c>
      <c r="G523" s="216">
        <v>77.900000000000006</v>
      </c>
      <c r="H523" s="3">
        <v>6.6</v>
      </c>
    </row>
    <row r="524" spans="3:8" ht="15.75" customHeight="1" x14ac:dyDescent="0.2">
      <c r="C524" s="52">
        <v>42898</v>
      </c>
      <c r="D524" s="19">
        <v>0.39583333333333331</v>
      </c>
      <c r="E524" s="3">
        <v>20</v>
      </c>
      <c r="F524" s="216">
        <v>9.49</v>
      </c>
      <c r="G524" s="216">
        <v>76.5</v>
      </c>
      <c r="H524" s="3">
        <v>6.2</v>
      </c>
    </row>
    <row r="525" spans="3:8" ht="15.75" customHeight="1" x14ac:dyDescent="0.2">
      <c r="C525" s="52">
        <v>42898</v>
      </c>
      <c r="D525" s="19">
        <v>0.39583333333333331</v>
      </c>
      <c r="E525" s="3">
        <v>22</v>
      </c>
      <c r="F525" s="216">
        <v>9.43</v>
      </c>
      <c r="G525" s="216">
        <v>75.7</v>
      </c>
      <c r="H525" s="3">
        <v>6</v>
      </c>
    </row>
    <row r="526" spans="3:8" ht="15.75" customHeight="1" x14ac:dyDescent="0.2">
      <c r="C526" s="52">
        <v>42898</v>
      </c>
      <c r="D526" s="19">
        <v>0.39583333333333331</v>
      </c>
      <c r="E526" s="3">
        <v>24</v>
      </c>
      <c r="F526" s="216">
        <v>9.36</v>
      </c>
      <c r="G526" s="216">
        <v>74.7</v>
      </c>
      <c r="H526" s="3">
        <v>5.8</v>
      </c>
    </row>
    <row r="527" spans="3:8" ht="15.75" customHeight="1" x14ac:dyDescent="0.2">
      <c r="C527" s="52">
        <v>42898</v>
      </c>
      <c r="D527" s="19">
        <v>0.39583333333333331</v>
      </c>
      <c r="E527" s="3">
        <v>26</v>
      </c>
      <c r="F527" s="216">
        <v>9.2799999999999994</v>
      </c>
      <c r="G527" s="216">
        <v>73.8</v>
      </c>
      <c r="H527" s="3">
        <v>5.7</v>
      </c>
    </row>
    <row r="528" spans="3:8" ht="15.75" customHeight="1" x14ac:dyDescent="0.2">
      <c r="C528" s="52">
        <v>42898</v>
      </c>
      <c r="D528" s="19">
        <v>0.39583333333333331</v>
      </c>
      <c r="E528" s="3">
        <v>28</v>
      </c>
      <c r="F528" s="216">
        <v>9.23</v>
      </c>
      <c r="G528" s="216">
        <v>73.2</v>
      </c>
      <c r="H528" s="3">
        <v>5.6</v>
      </c>
    </row>
    <row r="529" spans="3:8" ht="15.75" customHeight="1" x14ac:dyDescent="0.2">
      <c r="C529" s="52">
        <v>42898</v>
      </c>
      <c r="D529" s="19">
        <v>0.39583333333333331</v>
      </c>
      <c r="E529" s="3">
        <v>30</v>
      </c>
      <c r="F529" s="216">
        <v>9.1199999999999992</v>
      </c>
      <c r="G529" s="216">
        <v>72</v>
      </c>
      <c r="H529" s="3">
        <v>5.3</v>
      </c>
    </row>
    <row r="530" spans="3:8" ht="15.75" customHeight="1" x14ac:dyDescent="0.2">
      <c r="C530" s="52">
        <v>42898</v>
      </c>
      <c r="D530" s="19">
        <v>0.39583333333333331</v>
      </c>
      <c r="E530" s="3">
        <v>32</v>
      </c>
      <c r="F530" s="216">
        <v>9.0399999999999991</v>
      </c>
      <c r="G530" s="216">
        <v>70.900000000000006</v>
      </c>
      <c r="H530" s="3">
        <v>5.0999999999999996</v>
      </c>
    </row>
    <row r="531" spans="3:8" ht="15.75" customHeight="1" x14ac:dyDescent="0.2">
      <c r="C531" s="52">
        <v>42898</v>
      </c>
      <c r="D531" s="19">
        <v>0.39583333333333331</v>
      </c>
      <c r="E531" s="3">
        <v>34</v>
      </c>
      <c r="F531" s="216">
        <v>8.9700000000000006</v>
      </c>
      <c r="G531" s="216">
        <v>70.2</v>
      </c>
      <c r="H531" s="3">
        <v>5</v>
      </c>
    </row>
    <row r="532" spans="3:8" ht="15.75" customHeight="1" x14ac:dyDescent="0.2">
      <c r="C532" s="52">
        <v>42898</v>
      </c>
      <c r="D532" s="19">
        <v>0.39583333333333331</v>
      </c>
      <c r="E532" s="3">
        <v>36</v>
      </c>
      <c r="F532" s="216">
        <v>8.91</v>
      </c>
      <c r="G532" s="216">
        <v>69.7</v>
      </c>
      <c r="H532" s="3">
        <v>5</v>
      </c>
    </row>
    <row r="533" spans="3:8" ht="15.75" customHeight="1" x14ac:dyDescent="0.2">
      <c r="C533" s="52">
        <v>42898</v>
      </c>
      <c r="D533" s="19">
        <v>0.39583333333333331</v>
      </c>
      <c r="E533" s="3">
        <v>38</v>
      </c>
      <c r="F533" s="216">
        <v>8.86</v>
      </c>
      <c r="G533" s="216">
        <v>69.3</v>
      </c>
      <c r="H533" s="3">
        <v>5</v>
      </c>
    </row>
    <row r="534" spans="3:8" ht="15.75" customHeight="1" x14ac:dyDescent="0.2">
      <c r="C534" s="52">
        <v>42898</v>
      </c>
      <c r="D534" s="19">
        <v>0.39583333333333331</v>
      </c>
      <c r="E534" s="3">
        <v>40</v>
      </c>
      <c r="F534" s="216">
        <v>8.83</v>
      </c>
      <c r="G534" s="216">
        <v>69</v>
      </c>
      <c r="H534" s="3">
        <v>4.9000000000000004</v>
      </c>
    </row>
    <row r="535" spans="3:8" ht="15.75" customHeight="1" x14ac:dyDescent="0.2">
      <c r="C535" s="52">
        <v>42898</v>
      </c>
      <c r="D535" s="19">
        <v>0.39583333333333331</v>
      </c>
      <c r="E535" s="3">
        <v>42</v>
      </c>
      <c r="F535" s="216">
        <v>8.7899999999999991</v>
      </c>
      <c r="G535" s="216">
        <v>68.599999999999994</v>
      </c>
      <c r="H535" s="3">
        <v>4.9000000000000004</v>
      </c>
    </row>
    <row r="536" spans="3:8" ht="15.75" customHeight="1" x14ac:dyDescent="0.2">
      <c r="C536" s="52">
        <v>42898</v>
      </c>
      <c r="D536" s="19">
        <v>0.39583333333333331</v>
      </c>
      <c r="E536" s="3">
        <v>44</v>
      </c>
      <c r="F536" s="216">
        <v>8.75</v>
      </c>
      <c r="G536" s="216">
        <v>68.3</v>
      </c>
      <c r="H536" s="3">
        <v>4.9000000000000004</v>
      </c>
    </row>
    <row r="537" spans="3:8" ht="15.75" customHeight="1" x14ac:dyDescent="0.2">
      <c r="C537" s="52">
        <v>42898</v>
      </c>
      <c r="D537" s="19">
        <v>0.39583333333333331</v>
      </c>
      <c r="E537" s="3">
        <v>46</v>
      </c>
      <c r="F537" s="216">
        <v>8.7200000000000006</v>
      </c>
      <c r="G537" s="216">
        <v>68.099999999999994</v>
      </c>
      <c r="H537" s="3">
        <v>4.9000000000000004</v>
      </c>
    </row>
    <row r="538" spans="3:8" ht="15.75" customHeight="1" x14ac:dyDescent="0.2">
      <c r="C538" s="52">
        <v>42898</v>
      </c>
      <c r="D538" s="19">
        <v>0.39583333333333331</v>
      </c>
      <c r="E538" s="3">
        <v>48</v>
      </c>
      <c r="F538" s="216">
        <v>8.68</v>
      </c>
      <c r="G538" s="216">
        <v>67.8</v>
      </c>
      <c r="H538" s="3">
        <v>4.9000000000000004</v>
      </c>
    </row>
    <row r="539" spans="3:8" ht="15.75" customHeight="1" x14ac:dyDescent="0.2">
      <c r="C539" s="52">
        <v>42898</v>
      </c>
      <c r="D539" s="19">
        <v>0.39583333333333331</v>
      </c>
      <c r="E539" s="3">
        <v>50</v>
      </c>
      <c r="F539" s="216">
        <v>8.67</v>
      </c>
      <c r="G539" s="216">
        <v>67.5</v>
      </c>
      <c r="H539" s="3">
        <v>4.8</v>
      </c>
    </row>
    <row r="540" spans="3:8" ht="15.75" customHeight="1" x14ac:dyDescent="0.2">
      <c r="C540" s="52">
        <v>42898</v>
      </c>
      <c r="D540" s="19">
        <v>0.39583333333333331</v>
      </c>
      <c r="E540" s="3">
        <v>52</v>
      </c>
      <c r="F540" s="216">
        <v>8.64</v>
      </c>
      <c r="G540" s="216">
        <v>67.3</v>
      </c>
      <c r="H540" s="3">
        <v>4.8</v>
      </c>
    </row>
    <row r="541" spans="3:8" ht="15.75" customHeight="1" x14ac:dyDescent="0.2">
      <c r="C541" s="52">
        <v>42898</v>
      </c>
      <c r="D541" s="19">
        <v>0.39583333333333331</v>
      </c>
      <c r="E541" s="3">
        <v>54</v>
      </c>
      <c r="F541" s="216">
        <v>8.6300000000000008</v>
      </c>
      <c r="G541" s="216">
        <v>67.2</v>
      </c>
      <c r="H541" s="3">
        <v>4.8</v>
      </c>
    </row>
    <row r="542" spans="3:8" ht="15.75" customHeight="1" x14ac:dyDescent="0.2">
      <c r="C542" s="52">
        <v>42898</v>
      </c>
      <c r="D542" s="19">
        <v>0.39583333333333331</v>
      </c>
      <c r="E542" s="3">
        <v>56</v>
      </c>
      <c r="F542" s="216">
        <v>8.59</v>
      </c>
      <c r="G542" s="216">
        <v>66.900000000000006</v>
      </c>
      <c r="H542" s="3">
        <v>4.8</v>
      </c>
    </row>
    <row r="543" spans="3:8" ht="15.75" customHeight="1" x14ac:dyDescent="0.2">
      <c r="C543" s="52">
        <v>42898</v>
      </c>
      <c r="D543" s="19">
        <v>0.39583333333333331</v>
      </c>
      <c r="E543" s="3">
        <v>58</v>
      </c>
      <c r="F543" s="216">
        <v>8.5500000000000007</v>
      </c>
      <c r="G543" s="216">
        <v>66.599999999999994</v>
      </c>
      <c r="H543" s="3">
        <v>4.8</v>
      </c>
    </row>
    <row r="544" spans="3:8" ht="15.75" customHeight="1" x14ac:dyDescent="0.2">
      <c r="C544" s="52">
        <v>42898</v>
      </c>
      <c r="D544" s="19">
        <v>0.39583333333333331</v>
      </c>
      <c r="E544" s="3">
        <v>60</v>
      </c>
      <c r="F544" s="216">
        <v>8.52</v>
      </c>
      <c r="G544" s="216">
        <v>66.2</v>
      </c>
      <c r="H544" s="3">
        <v>4.7</v>
      </c>
    </row>
    <row r="545" spans="3:8" ht="15.75" customHeight="1" x14ac:dyDescent="0.2">
      <c r="C545" s="52">
        <v>42898</v>
      </c>
      <c r="D545" s="19">
        <v>0.39583333333333331</v>
      </c>
      <c r="E545" s="3">
        <v>62</v>
      </c>
      <c r="F545" s="216">
        <v>8.49</v>
      </c>
      <c r="G545" s="216">
        <v>66</v>
      </c>
      <c r="H545" s="3">
        <v>4.7</v>
      </c>
    </row>
    <row r="546" spans="3:8" ht="15.75" customHeight="1" x14ac:dyDescent="0.2">
      <c r="C546" s="52">
        <v>42898</v>
      </c>
      <c r="D546" s="19">
        <v>0.39583333333333331</v>
      </c>
      <c r="E546" s="3">
        <v>64</v>
      </c>
      <c r="F546" s="216">
        <v>8.4600000000000009</v>
      </c>
      <c r="G546" s="216">
        <v>65.7</v>
      </c>
      <c r="H546" s="3">
        <v>4.7</v>
      </c>
    </row>
    <row r="547" spans="3:8" ht="15.75" customHeight="1" x14ac:dyDescent="0.2">
      <c r="C547" s="52">
        <v>42898</v>
      </c>
      <c r="D547" s="19">
        <v>0.39583333333333331</v>
      </c>
      <c r="E547" s="3">
        <v>66</v>
      </c>
      <c r="F547" s="216">
        <v>8.43</v>
      </c>
      <c r="G547" s="216">
        <v>65.5</v>
      </c>
      <c r="H547" s="3">
        <v>4.7</v>
      </c>
    </row>
    <row r="548" spans="3:8" ht="15.75" customHeight="1" x14ac:dyDescent="0.2">
      <c r="C548" s="52">
        <v>42898</v>
      </c>
      <c r="D548" s="19">
        <v>0.39583333333333331</v>
      </c>
      <c r="E548" s="3">
        <v>68</v>
      </c>
      <c r="F548" s="216">
        <v>8.41</v>
      </c>
      <c r="G548" s="216">
        <v>65.2</v>
      </c>
      <c r="H548" s="3">
        <v>4.7</v>
      </c>
    </row>
    <row r="549" spans="3:8" ht="15.75" customHeight="1" x14ac:dyDescent="0.2">
      <c r="C549" s="52">
        <v>42898</v>
      </c>
      <c r="D549" s="19">
        <v>0.39583333333333331</v>
      </c>
      <c r="E549" s="3">
        <v>70</v>
      </c>
      <c r="F549" s="216">
        <v>8.3800000000000008</v>
      </c>
      <c r="G549" s="216">
        <v>64.900000000000006</v>
      </c>
      <c r="H549" s="3">
        <v>4.5999999999999996</v>
      </c>
    </row>
    <row r="550" spans="3:8" ht="15.75" customHeight="1" x14ac:dyDescent="0.2">
      <c r="C550" s="52">
        <v>42898</v>
      </c>
      <c r="D550" s="19">
        <v>0.39583333333333331</v>
      </c>
      <c r="E550" s="3">
        <v>72</v>
      </c>
      <c r="F550" s="216">
        <v>8.34</v>
      </c>
      <c r="G550" s="216">
        <v>64.599999999999994</v>
      </c>
      <c r="H550" s="3">
        <v>4.5999999999999996</v>
      </c>
    </row>
    <row r="551" spans="3:8" ht="15.75" customHeight="1" x14ac:dyDescent="0.2">
      <c r="C551" s="52">
        <v>42898</v>
      </c>
      <c r="D551" s="19">
        <v>0.39583333333333331</v>
      </c>
      <c r="E551" s="3">
        <v>74</v>
      </c>
      <c r="F551" s="216">
        <v>8.2799999999999994</v>
      </c>
      <c r="G551" s="216">
        <v>64.099999999999994</v>
      </c>
      <c r="H551" s="3">
        <v>4.5999999999999996</v>
      </c>
    </row>
    <row r="552" spans="3:8" ht="15.75" customHeight="1" x14ac:dyDescent="0.2">
      <c r="C552" s="52">
        <v>42898</v>
      </c>
      <c r="D552" s="19">
        <v>0.39583333333333331</v>
      </c>
      <c r="E552" s="3">
        <v>76</v>
      </c>
      <c r="F552" s="216">
        <v>8.24</v>
      </c>
      <c r="G552" s="216">
        <v>63.8</v>
      </c>
      <c r="H552" s="3">
        <v>4.5999999999999996</v>
      </c>
    </row>
    <row r="553" spans="3:8" ht="15.75" customHeight="1" x14ac:dyDescent="0.2">
      <c r="C553" s="52">
        <v>42898</v>
      </c>
      <c r="D553" s="19">
        <v>0.39583333333333331</v>
      </c>
      <c r="E553" s="3">
        <v>78</v>
      </c>
      <c r="F553" s="216">
        <v>8.19</v>
      </c>
      <c r="G553" s="216">
        <v>63.4</v>
      </c>
      <c r="H553" s="3">
        <v>4.5999999999999996</v>
      </c>
    </row>
    <row r="554" spans="3:8" ht="15.75" customHeight="1" x14ac:dyDescent="0.2">
      <c r="C554" s="52">
        <v>42898</v>
      </c>
      <c r="D554" s="19">
        <v>0.39583333333333331</v>
      </c>
      <c r="E554" s="3">
        <v>80</v>
      </c>
      <c r="F554" s="216">
        <v>8.15</v>
      </c>
      <c r="G554" s="216">
        <v>63.1</v>
      </c>
      <c r="H554" s="3">
        <v>4.5999999999999996</v>
      </c>
    </row>
    <row r="555" spans="3:8" ht="15.75" customHeight="1" x14ac:dyDescent="0.2">
      <c r="C555" s="52">
        <v>42898</v>
      </c>
      <c r="D555" s="19">
        <v>0.39583333333333331</v>
      </c>
      <c r="E555" s="3">
        <v>82</v>
      </c>
      <c r="F555" s="216">
        <v>8.1</v>
      </c>
      <c r="G555" s="216">
        <v>62.7</v>
      </c>
      <c r="H555" s="3">
        <v>4.5999999999999996</v>
      </c>
    </row>
    <row r="556" spans="3:8" ht="15.75" customHeight="1" x14ac:dyDescent="0.2">
      <c r="C556" s="52">
        <v>42898</v>
      </c>
      <c r="D556" s="19">
        <v>0.39583333333333331</v>
      </c>
      <c r="E556" s="3">
        <v>84</v>
      </c>
      <c r="F556" s="216">
        <v>8.0299999999999994</v>
      </c>
      <c r="G556" s="216">
        <v>62.2</v>
      </c>
      <c r="H556" s="3">
        <v>4.5999999999999996</v>
      </c>
    </row>
    <row r="557" spans="3:8" ht="15.75" customHeight="1" x14ac:dyDescent="0.2">
      <c r="C557" s="52">
        <v>42898</v>
      </c>
      <c r="D557" s="19">
        <v>0.39583333333333331</v>
      </c>
      <c r="E557" s="3">
        <v>86</v>
      </c>
      <c r="F557" s="216">
        <v>7.93</v>
      </c>
      <c r="G557" s="216">
        <v>61.4</v>
      </c>
      <c r="H557" s="3">
        <v>4.5999999999999996</v>
      </c>
    </row>
    <row r="558" spans="3:8" ht="15.75" customHeight="1" x14ac:dyDescent="0.2">
      <c r="C558" s="52">
        <v>42898</v>
      </c>
      <c r="D558" s="19">
        <v>0.39583333333333331</v>
      </c>
      <c r="E558" s="3">
        <v>88</v>
      </c>
      <c r="F558" s="216">
        <v>7.87</v>
      </c>
      <c r="G558" s="216">
        <v>60.6</v>
      </c>
      <c r="H558" s="3">
        <v>4.5</v>
      </c>
    </row>
    <row r="559" spans="3:8" ht="15.75" customHeight="1" x14ac:dyDescent="0.2">
      <c r="C559" s="52">
        <v>42898</v>
      </c>
      <c r="D559" s="19">
        <v>0.39583333333333331</v>
      </c>
      <c r="E559" s="3">
        <v>90</v>
      </c>
      <c r="F559" s="216">
        <v>7.75</v>
      </c>
      <c r="G559" s="216">
        <v>59.8</v>
      </c>
      <c r="H559" s="3">
        <v>4.5</v>
      </c>
    </row>
    <row r="560" spans="3:8" ht="15.75" customHeight="1" x14ac:dyDescent="0.2">
      <c r="C560" s="52">
        <v>42898</v>
      </c>
      <c r="D560" s="19">
        <v>0.39583333333333331</v>
      </c>
      <c r="E560" s="3">
        <v>92</v>
      </c>
      <c r="F560" s="216">
        <v>7.56</v>
      </c>
      <c r="G560" s="216">
        <v>58.4</v>
      </c>
      <c r="H560" s="3">
        <v>4.5</v>
      </c>
    </row>
    <row r="561" spans="3:11" ht="15.75" customHeight="1" x14ac:dyDescent="0.2">
      <c r="C561" s="52">
        <v>42898</v>
      </c>
      <c r="D561" s="19">
        <v>0.39583333333333331</v>
      </c>
      <c r="E561" s="3">
        <v>94</v>
      </c>
      <c r="F561" s="216">
        <v>7.01</v>
      </c>
      <c r="G561" s="216">
        <v>54.2</v>
      </c>
      <c r="H561" s="3">
        <v>4.5</v>
      </c>
    </row>
    <row r="562" spans="3:11" ht="15.75" customHeight="1" x14ac:dyDescent="0.2">
      <c r="C562" s="52"/>
      <c r="D562" s="19"/>
      <c r="E562" s="3"/>
      <c r="F562" s="216"/>
      <c r="G562" s="216"/>
      <c r="H562" s="3"/>
    </row>
    <row r="563" spans="3:11" ht="15.75" customHeight="1" x14ac:dyDescent="0.2">
      <c r="C563" s="52">
        <v>42870</v>
      </c>
      <c r="D563" s="19">
        <v>0.43055555555555558</v>
      </c>
      <c r="E563" s="3"/>
      <c r="F563" s="216"/>
      <c r="G563" s="216"/>
      <c r="H563" s="3"/>
      <c r="J563">
        <v>10</v>
      </c>
      <c r="K563">
        <v>12</v>
      </c>
    </row>
    <row r="564" spans="3:11" ht="15.75" customHeight="1" x14ac:dyDescent="0.2">
      <c r="C564" s="52">
        <v>42870</v>
      </c>
      <c r="D564" s="19">
        <v>0.4375</v>
      </c>
      <c r="E564" s="3">
        <v>0.1</v>
      </c>
      <c r="F564" s="216">
        <v>9.5299999999999994</v>
      </c>
      <c r="G564" s="216">
        <v>84.1</v>
      </c>
      <c r="H564" s="3">
        <v>9.8000000000000007</v>
      </c>
    </row>
    <row r="565" spans="3:11" ht="15.75" customHeight="1" x14ac:dyDescent="0.2">
      <c r="C565" s="52">
        <v>42870</v>
      </c>
      <c r="D565" s="19">
        <v>0.4375</v>
      </c>
      <c r="E565" s="3">
        <v>1</v>
      </c>
      <c r="F565" s="216">
        <v>9.6</v>
      </c>
      <c r="G565" s="216">
        <v>83.4</v>
      </c>
      <c r="H565" s="3">
        <v>9.1999999999999993</v>
      </c>
    </row>
    <row r="566" spans="3:11" ht="15.75" customHeight="1" x14ac:dyDescent="0.2">
      <c r="C566" s="52">
        <v>42870</v>
      </c>
      <c r="D566" s="19">
        <v>0.4375</v>
      </c>
      <c r="E566" s="3">
        <v>2</v>
      </c>
      <c r="F566" s="216">
        <v>9.43</v>
      </c>
      <c r="G566" s="216">
        <v>82.7</v>
      </c>
      <c r="H566" s="3">
        <v>9.1999999999999993</v>
      </c>
    </row>
    <row r="567" spans="3:11" ht="15.75" customHeight="1" x14ac:dyDescent="0.2">
      <c r="C567" s="52">
        <v>42870</v>
      </c>
      <c r="D567" s="19">
        <v>0.4375</v>
      </c>
      <c r="E567" s="3">
        <v>3</v>
      </c>
      <c r="F567" s="216">
        <v>9.59</v>
      </c>
      <c r="G567" s="216">
        <v>83.1</v>
      </c>
      <c r="H567" s="3">
        <v>9.1</v>
      </c>
    </row>
    <row r="568" spans="3:11" ht="15.75" customHeight="1" x14ac:dyDescent="0.2">
      <c r="C568" s="52">
        <v>42870</v>
      </c>
      <c r="D568" s="19">
        <v>0.4375</v>
      </c>
      <c r="E568" s="3">
        <v>4</v>
      </c>
      <c r="F568" s="216">
        <v>9.57</v>
      </c>
      <c r="G568" s="216">
        <v>83</v>
      </c>
      <c r="H568" s="3">
        <v>9.1</v>
      </c>
    </row>
    <row r="569" spans="3:11" ht="15.75" customHeight="1" x14ac:dyDescent="0.2">
      <c r="C569" s="52">
        <v>42870</v>
      </c>
      <c r="D569" s="19">
        <v>0.4375</v>
      </c>
      <c r="E569" s="3">
        <v>5</v>
      </c>
      <c r="F569" s="216">
        <v>9.5500000000000007</v>
      </c>
      <c r="G569" s="216">
        <v>82.8</v>
      </c>
      <c r="H569" s="3">
        <v>9.1</v>
      </c>
    </row>
    <row r="570" spans="3:11" ht="15.75" customHeight="1" x14ac:dyDescent="0.2">
      <c r="C570" s="52">
        <v>42870</v>
      </c>
      <c r="D570" s="19">
        <v>0.4375</v>
      </c>
      <c r="E570" s="3">
        <v>6</v>
      </c>
      <c r="F570" s="216">
        <v>9.5500000000000007</v>
      </c>
      <c r="G570" s="216">
        <v>82.6</v>
      </c>
      <c r="H570" s="3">
        <v>9</v>
      </c>
    </row>
    <row r="571" spans="3:11" ht="15.75" customHeight="1" x14ac:dyDescent="0.2">
      <c r="C571" s="52">
        <v>42870</v>
      </c>
      <c r="D571" s="19">
        <v>0.4375</v>
      </c>
      <c r="E571" s="3">
        <v>7</v>
      </c>
      <c r="F571" s="216">
        <v>9.64</v>
      </c>
      <c r="G571" s="216">
        <v>80.5</v>
      </c>
      <c r="H571" s="3">
        <v>7.5</v>
      </c>
    </row>
    <row r="572" spans="3:11" ht="15.75" customHeight="1" x14ac:dyDescent="0.2">
      <c r="C572" s="52">
        <v>42870</v>
      </c>
      <c r="D572" s="19">
        <v>0.4375</v>
      </c>
      <c r="E572" s="3">
        <v>8</v>
      </c>
      <c r="F572" s="216">
        <v>9.67</v>
      </c>
      <c r="G572" s="216">
        <v>80.3</v>
      </c>
      <c r="H572" s="3">
        <v>7.4</v>
      </c>
    </row>
    <row r="573" spans="3:11" ht="15.75" customHeight="1" x14ac:dyDescent="0.2">
      <c r="C573" s="52">
        <v>42870</v>
      </c>
      <c r="D573" s="19">
        <v>0.4375</v>
      </c>
      <c r="E573" s="3">
        <v>9</v>
      </c>
      <c r="F573" s="216">
        <v>9.66</v>
      </c>
      <c r="G573" s="216">
        <v>79.099999999999994</v>
      </c>
      <c r="H573" s="3">
        <v>6.8</v>
      </c>
    </row>
    <row r="574" spans="3:11" ht="15.75" customHeight="1" x14ac:dyDescent="0.2">
      <c r="C574" s="52">
        <v>42870</v>
      </c>
      <c r="D574" s="19">
        <v>0.4375</v>
      </c>
      <c r="E574" s="3">
        <v>10</v>
      </c>
      <c r="F574" s="216">
        <v>9.65</v>
      </c>
      <c r="G574" s="216">
        <v>78.599999999999994</v>
      </c>
      <c r="H574" s="3">
        <v>6.7</v>
      </c>
    </row>
    <row r="575" spans="3:11" ht="15.75" customHeight="1" x14ac:dyDescent="0.2">
      <c r="C575" s="52">
        <v>42870</v>
      </c>
      <c r="D575" s="19">
        <v>0.4375</v>
      </c>
      <c r="E575" s="3">
        <v>15</v>
      </c>
      <c r="F575" s="216">
        <v>9.51</v>
      </c>
      <c r="G575" s="216">
        <v>75.8</v>
      </c>
      <c r="H575" s="3">
        <v>5.9</v>
      </c>
    </row>
    <row r="576" spans="3:11" ht="15.75" customHeight="1" x14ac:dyDescent="0.2">
      <c r="C576" s="52">
        <v>42870</v>
      </c>
      <c r="D576" s="19">
        <v>0.4375</v>
      </c>
      <c r="E576" s="3">
        <v>20</v>
      </c>
      <c r="F576" s="216">
        <v>9.3699999999999992</v>
      </c>
      <c r="G576" s="216">
        <v>74.3</v>
      </c>
      <c r="H576" s="3">
        <v>5.6</v>
      </c>
    </row>
    <row r="577" spans="3:8" ht="15.75" customHeight="1" x14ac:dyDescent="0.2">
      <c r="C577" s="52">
        <v>42870</v>
      </c>
      <c r="D577" s="19">
        <v>0.4375</v>
      </c>
      <c r="E577" s="3">
        <v>25</v>
      </c>
      <c r="F577" s="216">
        <v>9.24</v>
      </c>
      <c r="G577" s="216">
        <v>73</v>
      </c>
      <c r="H577" s="3">
        <v>5.4</v>
      </c>
    </row>
    <row r="578" spans="3:8" ht="15.75" customHeight="1" x14ac:dyDescent="0.2">
      <c r="C578" s="52">
        <v>42870</v>
      </c>
      <c r="D578" s="19">
        <v>0.4375</v>
      </c>
      <c r="E578" s="3">
        <v>30</v>
      </c>
      <c r="F578" s="216">
        <v>9.15</v>
      </c>
      <c r="G578" s="216">
        <v>72.2</v>
      </c>
      <c r="H578" s="3">
        <v>5.3</v>
      </c>
    </row>
    <row r="579" spans="3:8" ht="15.75" customHeight="1" x14ac:dyDescent="0.2">
      <c r="C579" s="52">
        <v>42870</v>
      </c>
      <c r="D579" s="19">
        <v>0.4375</v>
      </c>
      <c r="E579" s="3">
        <v>35</v>
      </c>
      <c r="F579" s="216">
        <v>9.07</v>
      </c>
      <c r="G579" s="216">
        <v>71.400000000000006</v>
      </c>
      <c r="H579" s="3">
        <v>5.2</v>
      </c>
    </row>
    <row r="580" spans="3:8" ht="15.75" customHeight="1" x14ac:dyDescent="0.2">
      <c r="C580" s="52">
        <v>42870</v>
      </c>
      <c r="D580" s="19">
        <v>0.4375</v>
      </c>
      <c r="E580" s="3">
        <v>40</v>
      </c>
      <c r="F580" s="216">
        <v>8.9700000000000006</v>
      </c>
      <c r="G580" s="216">
        <v>70.400000000000006</v>
      </c>
      <c r="H580" s="3">
        <v>5.0999999999999996</v>
      </c>
    </row>
    <row r="581" spans="3:8" ht="15.75" customHeight="1" x14ac:dyDescent="0.2">
      <c r="C581" s="52">
        <v>42870</v>
      </c>
      <c r="D581" s="19">
        <v>0.4375</v>
      </c>
      <c r="E581" s="3">
        <v>45</v>
      </c>
      <c r="F581" s="216">
        <v>8.84</v>
      </c>
      <c r="G581" s="216">
        <v>69.2</v>
      </c>
      <c r="H581" s="3">
        <v>5</v>
      </c>
    </row>
    <row r="582" spans="3:8" ht="15.75" customHeight="1" x14ac:dyDescent="0.2">
      <c r="C582" s="52">
        <v>42870</v>
      </c>
      <c r="D582" s="19">
        <v>0.4375</v>
      </c>
      <c r="E582" s="3">
        <v>50</v>
      </c>
      <c r="F582" s="216">
        <v>8.7200000000000006</v>
      </c>
      <c r="G582" s="216">
        <v>68.099999999999994</v>
      </c>
      <c r="H582" s="3">
        <v>4.9000000000000004</v>
      </c>
    </row>
    <row r="583" spans="3:8" ht="15.75" customHeight="1" x14ac:dyDescent="0.2">
      <c r="C583" s="52">
        <v>42870</v>
      </c>
      <c r="D583" s="19">
        <v>0.4375</v>
      </c>
      <c r="E583" s="3">
        <v>55</v>
      </c>
      <c r="F583" s="216">
        <v>8.58</v>
      </c>
      <c r="G583" s="216">
        <v>66.8</v>
      </c>
      <c r="H583" s="3">
        <v>4.5999999999999996</v>
      </c>
    </row>
    <row r="584" spans="3:8" ht="15.75" customHeight="1" x14ac:dyDescent="0.2">
      <c r="C584" s="52">
        <v>42870</v>
      </c>
      <c r="D584" s="19">
        <v>0.4375</v>
      </c>
      <c r="E584" s="3">
        <v>60</v>
      </c>
      <c r="F584" s="216">
        <v>8.4700000000000006</v>
      </c>
      <c r="G584" s="216">
        <v>65.900000000000006</v>
      </c>
      <c r="H584" s="3">
        <v>4.8</v>
      </c>
    </row>
    <row r="585" spans="3:8" ht="15.75" customHeight="1" x14ac:dyDescent="0.2">
      <c r="C585" s="52">
        <v>42870</v>
      </c>
      <c r="D585" s="19">
        <v>0.4375</v>
      </c>
      <c r="E585" s="3">
        <v>65</v>
      </c>
      <c r="F585" s="216">
        <v>8.36</v>
      </c>
      <c r="G585" s="216">
        <v>65.099999999999994</v>
      </c>
      <c r="H585" s="3">
        <v>4.8</v>
      </c>
    </row>
    <row r="586" spans="3:8" ht="15.75" customHeight="1" x14ac:dyDescent="0.2">
      <c r="C586" s="52">
        <v>42870</v>
      </c>
      <c r="D586" s="19">
        <v>0.4375</v>
      </c>
      <c r="E586" s="3">
        <v>70</v>
      </c>
      <c r="F586" s="216">
        <v>8.26</v>
      </c>
      <c r="G586" s="216">
        <v>64.3</v>
      </c>
      <c r="H586" s="3">
        <v>4.7</v>
      </c>
    </row>
    <row r="587" spans="3:8" ht="15.75" customHeight="1" x14ac:dyDescent="0.2">
      <c r="C587" s="52">
        <v>42870</v>
      </c>
      <c r="D587" s="19">
        <v>0.4375</v>
      </c>
      <c r="E587" s="3">
        <v>75</v>
      </c>
      <c r="F587" s="216">
        <v>8.19</v>
      </c>
      <c r="G587" s="216">
        <v>63.6</v>
      </c>
      <c r="H587" s="3">
        <v>4.7</v>
      </c>
    </row>
    <row r="588" spans="3:8" ht="15.75" customHeight="1" x14ac:dyDescent="0.2">
      <c r="C588" s="52">
        <v>42870</v>
      </c>
      <c r="D588" s="19">
        <v>0.4375</v>
      </c>
      <c r="E588" s="3">
        <v>80</v>
      </c>
      <c r="F588" s="216">
        <v>8.1300000000000008</v>
      </c>
      <c r="G588" s="216">
        <v>63.2</v>
      </c>
      <c r="H588" s="3">
        <v>4.7</v>
      </c>
    </row>
    <row r="589" spans="3:8" ht="15.75" customHeight="1" x14ac:dyDescent="0.2">
      <c r="C589" s="52">
        <v>42870</v>
      </c>
      <c r="D589" s="19">
        <v>0.4375</v>
      </c>
      <c r="E589" s="3">
        <v>85</v>
      </c>
      <c r="F589" s="216">
        <v>8.0500000000000007</v>
      </c>
      <c r="G589" s="216">
        <v>62.5</v>
      </c>
      <c r="H589" s="3">
        <v>4.7</v>
      </c>
    </row>
    <row r="590" spans="3:8" ht="15.75" customHeight="1" x14ac:dyDescent="0.2">
      <c r="C590" s="52">
        <v>42870</v>
      </c>
      <c r="D590" s="19">
        <v>0.4375</v>
      </c>
      <c r="E590" s="3">
        <v>90</v>
      </c>
      <c r="F590" s="216">
        <v>7.9</v>
      </c>
      <c r="G590" s="216">
        <v>61.4</v>
      </c>
      <c r="H590" s="3">
        <v>4.7</v>
      </c>
    </row>
    <row r="591" spans="3:8" ht="15.75" customHeight="1" x14ac:dyDescent="0.2">
      <c r="C591" s="52"/>
      <c r="D591" s="19"/>
      <c r="E591" s="3"/>
      <c r="F591" s="216"/>
      <c r="G591" s="216"/>
      <c r="H591" s="3"/>
    </row>
    <row r="592" spans="3:8" ht="15.75" customHeight="1" x14ac:dyDescent="0.2">
      <c r="C592" s="52"/>
      <c r="D592" s="19"/>
      <c r="E592" s="3"/>
      <c r="F592" s="216"/>
      <c r="G592" s="216"/>
      <c r="H592" s="3"/>
    </row>
    <row r="593" spans="3:11" ht="15.75" customHeight="1" x14ac:dyDescent="0.2">
      <c r="C593" s="52">
        <v>42604</v>
      </c>
      <c r="D593" s="19">
        <v>0.4201388888888889</v>
      </c>
      <c r="E593" s="3"/>
      <c r="F593" s="216"/>
      <c r="G593" s="216"/>
      <c r="H593" s="3"/>
      <c r="J593">
        <v>12</v>
      </c>
      <c r="K593">
        <v>15</v>
      </c>
    </row>
    <row r="594" spans="3:11" ht="15.75" customHeight="1" x14ac:dyDescent="0.2">
      <c r="C594" s="52">
        <v>42604</v>
      </c>
      <c r="D594" s="19">
        <v>0.43055555555555558</v>
      </c>
      <c r="E594" s="3">
        <v>0.1</v>
      </c>
      <c r="F594" s="190">
        <v>7.65</v>
      </c>
      <c r="G594" s="216">
        <v>86.1</v>
      </c>
      <c r="H594" s="3">
        <v>21.2</v>
      </c>
    </row>
    <row r="595" spans="3:11" ht="15.75" customHeight="1" x14ac:dyDescent="0.2">
      <c r="C595" s="52">
        <v>42604</v>
      </c>
      <c r="D595" s="19">
        <v>0.43055555555555558</v>
      </c>
      <c r="E595" s="3">
        <v>1</v>
      </c>
      <c r="F595" s="190">
        <v>7.64</v>
      </c>
      <c r="G595" s="216">
        <v>86</v>
      </c>
      <c r="H595" s="3">
        <v>21.2</v>
      </c>
    </row>
    <row r="596" spans="3:11" ht="15.75" customHeight="1" x14ac:dyDescent="0.2">
      <c r="C596" s="52">
        <v>42604</v>
      </c>
      <c r="D596" s="19">
        <v>0.43055555555555558</v>
      </c>
      <c r="E596" s="3">
        <v>2</v>
      </c>
      <c r="F596" s="190">
        <v>7.62</v>
      </c>
      <c r="G596" s="216">
        <v>85.8</v>
      </c>
      <c r="H596" s="3">
        <v>21.2</v>
      </c>
    </row>
    <row r="597" spans="3:11" ht="15.75" customHeight="1" x14ac:dyDescent="0.2">
      <c r="C597" s="52">
        <v>42604</v>
      </c>
      <c r="D597" s="19">
        <v>0.43055555555555558</v>
      </c>
      <c r="E597" s="3">
        <v>3</v>
      </c>
      <c r="F597" s="190">
        <v>7.61</v>
      </c>
      <c r="G597" s="216">
        <v>85.6</v>
      </c>
      <c r="H597" s="3">
        <v>21.2</v>
      </c>
    </row>
    <row r="598" spans="3:11" ht="15.75" customHeight="1" x14ac:dyDescent="0.2">
      <c r="C598" s="52">
        <v>42604</v>
      </c>
      <c r="D598" s="19">
        <v>0.43055555555555558</v>
      </c>
      <c r="E598" s="3">
        <v>4</v>
      </c>
      <c r="F598" s="216">
        <v>7.59</v>
      </c>
      <c r="G598" s="216">
        <v>85.5</v>
      </c>
      <c r="H598" s="3">
        <v>21.2</v>
      </c>
    </row>
    <row r="599" spans="3:11" ht="15.75" customHeight="1" x14ac:dyDescent="0.2">
      <c r="C599" s="52">
        <v>42604</v>
      </c>
      <c r="D599" s="19">
        <v>0.43055555555555558</v>
      </c>
      <c r="E599" s="3">
        <v>5</v>
      </c>
      <c r="F599" s="216">
        <v>7.58</v>
      </c>
      <c r="G599" s="216">
        <v>85.4</v>
      </c>
      <c r="H599" s="3">
        <v>21.2</v>
      </c>
    </row>
    <row r="600" spans="3:11" ht="15.75" customHeight="1" x14ac:dyDescent="0.2">
      <c r="C600" s="52">
        <v>42604</v>
      </c>
      <c r="D600" s="19">
        <v>0.43055555555555558</v>
      </c>
      <c r="E600" s="3">
        <v>6</v>
      </c>
      <c r="F600" s="216">
        <v>7.58</v>
      </c>
      <c r="G600" s="216">
        <v>85.2</v>
      </c>
      <c r="H600" s="3">
        <v>21.1</v>
      </c>
    </row>
    <row r="601" spans="3:11" ht="15.75" customHeight="1" x14ac:dyDescent="0.2">
      <c r="C601" s="52">
        <v>42604</v>
      </c>
      <c r="D601" s="19">
        <v>0.43055555555555558</v>
      </c>
      <c r="E601" s="3">
        <v>7</v>
      </c>
      <c r="F601" s="216">
        <v>7.57</v>
      </c>
      <c r="G601" s="216">
        <v>85</v>
      </c>
      <c r="H601" s="3">
        <v>21.1</v>
      </c>
    </row>
    <row r="602" spans="3:11" ht="15.75" customHeight="1" x14ac:dyDescent="0.2">
      <c r="C602" s="52">
        <v>42604</v>
      </c>
      <c r="D602" s="19">
        <v>0.43055555555555558</v>
      </c>
      <c r="E602" s="3">
        <v>8</v>
      </c>
      <c r="F602" s="216">
        <v>7.56</v>
      </c>
      <c r="G602" s="216">
        <v>84.9</v>
      </c>
      <c r="H602" s="3">
        <v>21.1</v>
      </c>
    </row>
    <row r="603" spans="3:11" ht="15.75" customHeight="1" x14ac:dyDescent="0.2">
      <c r="C603" s="52">
        <v>42604</v>
      </c>
      <c r="D603" s="19">
        <v>0.43055555555555558</v>
      </c>
      <c r="E603" s="3">
        <v>9</v>
      </c>
      <c r="F603" s="216">
        <v>7.54</v>
      </c>
      <c r="G603" s="216">
        <v>84.8</v>
      </c>
      <c r="H603" s="3">
        <v>21.1</v>
      </c>
    </row>
    <row r="604" spans="3:11" ht="15.75" customHeight="1" x14ac:dyDescent="0.2">
      <c r="C604" s="52">
        <v>42604</v>
      </c>
      <c r="D604" s="19">
        <v>0.43055555555555558</v>
      </c>
      <c r="E604" s="3">
        <v>10</v>
      </c>
      <c r="F604" s="216">
        <v>8.84</v>
      </c>
      <c r="G604" s="216">
        <v>91.2</v>
      </c>
      <c r="H604" s="3">
        <v>16.899999999999999</v>
      </c>
    </row>
    <row r="605" spans="3:11" ht="15.75" customHeight="1" x14ac:dyDescent="0.2">
      <c r="C605" s="52">
        <v>42604</v>
      </c>
      <c r="D605" s="19">
        <v>0.43055555555555558</v>
      </c>
      <c r="E605" s="3">
        <v>11</v>
      </c>
      <c r="F605" s="216">
        <v>9.1</v>
      </c>
      <c r="G605" s="216">
        <v>88.7</v>
      </c>
      <c r="H605" s="3">
        <v>14.2</v>
      </c>
    </row>
    <row r="606" spans="3:11" ht="15.75" customHeight="1" x14ac:dyDescent="0.2">
      <c r="C606" s="52">
        <v>42604</v>
      </c>
      <c r="D606" s="19">
        <v>0.43055555555555558</v>
      </c>
      <c r="E606" s="3">
        <v>12</v>
      </c>
      <c r="F606" s="216">
        <v>8.9700000000000006</v>
      </c>
      <c r="G606" s="216">
        <v>84</v>
      </c>
      <c r="H606" s="3">
        <v>12.5</v>
      </c>
    </row>
    <row r="607" spans="3:11" ht="15.75" customHeight="1" x14ac:dyDescent="0.2">
      <c r="C607" s="52">
        <v>42604</v>
      </c>
      <c r="D607" s="19">
        <v>0.43055555555555558</v>
      </c>
      <c r="E607" s="3">
        <v>13</v>
      </c>
      <c r="F607" s="216">
        <v>8.9499999999999993</v>
      </c>
      <c r="G607" s="216">
        <v>82.3</v>
      </c>
      <c r="H607" s="3">
        <v>11.6</v>
      </c>
    </row>
    <row r="608" spans="3:11" ht="15.75" customHeight="1" x14ac:dyDescent="0.2">
      <c r="C608" s="52">
        <v>42604</v>
      </c>
      <c r="D608" s="19">
        <v>0.43055555555555558</v>
      </c>
      <c r="E608" s="3">
        <v>14</v>
      </c>
      <c r="F608" s="216">
        <v>8.9</v>
      </c>
      <c r="G608" s="216">
        <v>80.3</v>
      </c>
      <c r="H608" s="3">
        <v>10.9</v>
      </c>
    </row>
    <row r="609" spans="3:8" ht="15.75" customHeight="1" x14ac:dyDescent="0.2">
      <c r="C609" s="52">
        <v>42604</v>
      </c>
      <c r="D609" s="19">
        <v>0.43055555555555558</v>
      </c>
      <c r="E609" s="3">
        <v>15</v>
      </c>
      <c r="F609" s="216">
        <v>8.8800000000000008</v>
      </c>
      <c r="G609" s="216">
        <v>79.099999999999994</v>
      </c>
      <c r="H609" s="3">
        <v>10.3</v>
      </c>
    </row>
    <row r="610" spans="3:8" ht="15.75" customHeight="1" x14ac:dyDescent="0.2">
      <c r="C610" s="52">
        <v>42604</v>
      </c>
      <c r="D610" s="19">
        <v>0.43055555555555558</v>
      </c>
      <c r="E610" s="3">
        <v>16</v>
      </c>
      <c r="F610" s="216">
        <v>8.89</v>
      </c>
      <c r="G610" s="216">
        <v>78</v>
      </c>
      <c r="H610" s="3">
        <v>9.6</v>
      </c>
    </row>
    <row r="611" spans="3:8" ht="15.75" customHeight="1" x14ac:dyDescent="0.2">
      <c r="C611" s="52">
        <v>42604</v>
      </c>
      <c r="D611" s="19">
        <v>0.43055555555555558</v>
      </c>
      <c r="E611" s="3">
        <v>17</v>
      </c>
      <c r="F611" s="216">
        <v>8.86</v>
      </c>
      <c r="G611" s="216">
        <v>76.3</v>
      </c>
      <c r="H611" s="3">
        <v>8.8000000000000007</v>
      </c>
    </row>
    <row r="612" spans="3:8" ht="15.75" customHeight="1" x14ac:dyDescent="0.2">
      <c r="C612" s="52">
        <v>42604</v>
      </c>
      <c r="D612" s="19">
        <v>0.43055555555555558</v>
      </c>
      <c r="E612" s="3">
        <v>18</v>
      </c>
      <c r="F612" s="216">
        <v>8.83</v>
      </c>
      <c r="G612" s="216">
        <v>75.2</v>
      </c>
      <c r="H612" s="3">
        <v>8.4</v>
      </c>
    </row>
    <row r="613" spans="3:8" ht="15.75" customHeight="1" x14ac:dyDescent="0.2">
      <c r="C613" s="52">
        <v>42604</v>
      </c>
      <c r="D613" s="19">
        <v>0.43055555555555558</v>
      </c>
      <c r="E613" s="3">
        <v>19</v>
      </c>
      <c r="F613" s="216">
        <v>8.76</v>
      </c>
      <c r="G613" s="216">
        <v>73.7</v>
      </c>
      <c r="H613" s="3">
        <v>7.9</v>
      </c>
    </row>
    <row r="614" spans="3:8" ht="15.75" customHeight="1" x14ac:dyDescent="0.2">
      <c r="C614" s="52">
        <v>42604</v>
      </c>
      <c r="D614" s="19">
        <v>0.43055555555555558</v>
      </c>
      <c r="E614" s="3">
        <v>20</v>
      </c>
      <c r="F614" s="216">
        <v>8.68</v>
      </c>
      <c r="G614" s="216">
        <v>72.400000000000006</v>
      </c>
      <c r="H614" s="3">
        <v>7.6</v>
      </c>
    </row>
    <row r="615" spans="3:8" ht="15.75" customHeight="1" x14ac:dyDescent="0.2">
      <c r="C615" s="52">
        <v>42604</v>
      </c>
      <c r="D615" s="19">
        <v>0.43055555555555558</v>
      </c>
      <c r="E615" s="3">
        <v>21</v>
      </c>
      <c r="F615" s="216">
        <v>8.61</v>
      </c>
      <c r="G615" s="216">
        <v>71.400000000000006</v>
      </c>
      <c r="H615" s="3">
        <v>7.3</v>
      </c>
    </row>
    <row r="616" spans="3:8" ht="15.75" customHeight="1" x14ac:dyDescent="0.2">
      <c r="C616" s="52">
        <v>42604</v>
      </c>
      <c r="D616" s="19">
        <v>0.43055555555555558</v>
      </c>
      <c r="E616" s="3">
        <v>22</v>
      </c>
      <c r="F616" s="216">
        <v>8.5399999999999991</v>
      </c>
      <c r="G616" s="216">
        <v>70.7</v>
      </c>
      <c r="H616" s="3">
        <v>7.2</v>
      </c>
    </row>
    <row r="617" spans="3:8" ht="15.75" customHeight="1" x14ac:dyDescent="0.2">
      <c r="C617" s="52">
        <v>42604</v>
      </c>
      <c r="D617" s="19">
        <v>0.43055555555555558</v>
      </c>
      <c r="E617" s="3">
        <v>23</v>
      </c>
      <c r="F617" s="216">
        <v>8.5</v>
      </c>
      <c r="G617" s="216">
        <v>70.2</v>
      </c>
      <c r="H617" s="3">
        <v>7.1</v>
      </c>
    </row>
    <row r="618" spans="3:8" ht="15.75" customHeight="1" x14ac:dyDescent="0.2">
      <c r="C618" s="52">
        <v>42604</v>
      </c>
      <c r="D618" s="19">
        <v>0.43055555555555558</v>
      </c>
      <c r="E618" s="3">
        <v>24</v>
      </c>
      <c r="F618" s="216">
        <v>8.4700000000000006</v>
      </c>
      <c r="G618" s="216">
        <v>69.7</v>
      </c>
      <c r="H618" s="3">
        <v>7</v>
      </c>
    </row>
    <row r="619" spans="3:8" ht="15.75" customHeight="1" x14ac:dyDescent="0.2">
      <c r="C619" s="52">
        <v>42604</v>
      </c>
      <c r="D619" s="19">
        <v>0.43055555555555558</v>
      </c>
      <c r="E619" s="3">
        <v>25</v>
      </c>
      <c r="F619" s="216">
        <v>8.44</v>
      </c>
      <c r="G619" s="216">
        <v>69.5</v>
      </c>
      <c r="H619" s="3">
        <v>7</v>
      </c>
    </row>
    <row r="620" spans="3:8" ht="15.75" customHeight="1" x14ac:dyDescent="0.2">
      <c r="C620" s="52">
        <v>42604</v>
      </c>
      <c r="D620" s="19">
        <v>0.43055555555555558</v>
      </c>
      <c r="E620" s="3">
        <v>26</v>
      </c>
      <c r="F620" s="216">
        <v>8.4</v>
      </c>
      <c r="G620" s="216">
        <v>68.900000000000006</v>
      </c>
      <c r="H620" s="3">
        <v>6.8</v>
      </c>
    </row>
    <row r="621" spans="3:8" ht="15.75" customHeight="1" x14ac:dyDescent="0.2">
      <c r="C621" s="52">
        <v>42604</v>
      </c>
      <c r="D621" s="19">
        <v>0.43055555555555558</v>
      </c>
      <c r="E621" s="3">
        <v>27</v>
      </c>
      <c r="F621" s="216">
        <v>8.34</v>
      </c>
      <c r="G621" s="216">
        <v>68.2</v>
      </c>
      <c r="H621" s="3">
        <v>6.7</v>
      </c>
    </row>
    <row r="622" spans="3:8" ht="15.75" customHeight="1" x14ac:dyDescent="0.2">
      <c r="C622" s="52">
        <v>42604</v>
      </c>
      <c r="D622" s="19">
        <v>0.43055555555555558</v>
      </c>
      <c r="E622" s="3">
        <v>28</v>
      </c>
      <c r="F622" s="216">
        <v>8.34</v>
      </c>
      <c r="G622" s="216">
        <v>68</v>
      </c>
      <c r="H622" s="3">
        <v>6.6</v>
      </c>
    </row>
    <row r="623" spans="3:8" ht="15.75" customHeight="1" x14ac:dyDescent="0.2">
      <c r="C623" s="52">
        <v>42604</v>
      </c>
      <c r="D623" s="19">
        <v>0.43055555555555558</v>
      </c>
      <c r="E623" s="3">
        <v>29</v>
      </c>
      <c r="F623" s="216">
        <v>8.33</v>
      </c>
      <c r="G623" s="216">
        <v>67.7</v>
      </c>
      <c r="H623" s="3">
        <v>6.5</v>
      </c>
    </row>
    <row r="624" spans="3:8" ht="15.75" customHeight="1" x14ac:dyDescent="0.2">
      <c r="C624" s="52">
        <v>42604</v>
      </c>
      <c r="D624" s="19">
        <v>0.43055555555555558</v>
      </c>
      <c r="E624" s="3">
        <v>30</v>
      </c>
      <c r="F624" s="216">
        <v>8.33</v>
      </c>
      <c r="G624" s="216">
        <v>67.8</v>
      </c>
      <c r="H624" s="3">
        <v>6.5</v>
      </c>
    </row>
    <row r="625" spans="3:8" ht="15.75" customHeight="1" x14ac:dyDescent="0.2">
      <c r="C625" s="52">
        <v>42604</v>
      </c>
      <c r="D625" s="19">
        <v>0.43055555555555558</v>
      </c>
      <c r="E625" s="3">
        <v>32</v>
      </c>
      <c r="F625" s="216">
        <v>8.32</v>
      </c>
      <c r="G625" s="216">
        <v>67.5</v>
      </c>
      <c r="H625" s="3">
        <v>6.4</v>
      </c>
    </row>
    <row r="626" spans="3:8" ht="15.75" customHeight="1" x14ac:dyDescent="0.2">
      <c r="C626" s="52">
        <v>42604</v>
      </c>
      <c r="D626" s="19">
        <v>0.43055555555555558</v>
      </c>
      <c r="E626" s="3">
        <v>34</v>
      </c>
      <c r="F626" s="216">
        <v>8.3000000000000007</v>
      </c>
      <c r="G626" s="216">
        <v>67.2</v>
      </c>
      <c r="H626" s="3">
        <v>6.3</v>
      </c>
    </row>
    <row r="627" spans="3:8" ht="15.75" customHeight="1" x14ac:dyDescent="0.2">
      <c r="C627" s="52">
        <v>42604</v>
      </c>
      <c r="D627" s="19">
        <v>0.43055555555555558</v>
      </c>
      <c r="E627" s="3">
        <v>36</v>
      </c>
      <c r="F627" s="216">
        <v>8.2899999999999991</v>
      </c>
      <c r="G627" s="216">
        <v>67</v>
      </c>
      <c r="H627" s="3">
        <v>6.2</v>
      </c>
    </row>
    <row r="628" spans="3:8" ht="15.75" customHeight="1" x14ac:dyDescent="0.2">
      <c r="C628" s="52">
        <v>42604</v>
      </c>
      <c r="D628" s="19">
        <v>0.43055555555555558</v>
      </c>
      <c r="E628" s="3">
        <v>38</v>
      </c>
      <c r="F628" s="216">
        <v>8.32</v>
      </c>
      <c r="G628" s="216">
        <v>67</v>
      </c>
      <c r="H628" s="3">
        <v>6.1</v>
      </c>
    </row>
    <row r="629" spans="3:8" ht="15.75" customHeight="1" x14ac:dyDescent="0.2">
      <c r="C629" s="52">
        <v>42604</v>
      </c>
      <c r="D629" s="19">
        <v>0.43055555555555558</v>
      </c>
      <c r="E629" s="3">
        <v>40</v>
      </c>
      <c r="F629" s="216">
        <v>8.3000000000000007</v>
      </c>
      <c r="G629" s="216">
        <v>66.599999999999994</v>
      </c>
      <c r="H629" s="3">
        <v>6</v>
      </c>
    </row>
    <row r="630" spans="3:8" ht="15.75" customHeight="1" x14ac:dyDescent="0.2">
      <c r="C630" s="52">
        <v>42604</v>
      </c>
      <c r="D630" s="19">
        <v>0.43055555555555558</v>
      </c>
      <c r="E630" s="3">
        <v>42</v>
      </c>
      <c r="F630" s="216">
        <v>8.75</v>
      </c>
      <c r="G630" s="216">
        <v>66.099999999999994</v>
      </c>
      <c r="H630" s="3">
        <v>5.9</v>
      </c>
    </row>
    <row r="631" spans="3:8" ht="15.75" customHeight="1" x14ac:dyDescent="0.2">
      <c r="C631" s="52">
        <v>42604</v>
      </c>
      <c r="D631" s="19">
        <v>0.43055555555555558</v>
      </c>
      <c r="E631" s="3">
        <v>44</v>
      </c>
      <c r="F631" s="216">
        <v>8.2200000000000006</v>
      </c>
      <c r="G631" s="216">
        <v>65.7</v>
      </c>
      <c r="H631" s="3">
        <v>5.8</v>
      </c>
    </row>
    <row r="632" spans="3:8" ht="15.75" customHeight="1" x14ac:dyDescent="0.2">
      <c r="C632" s="52">
        <v>42604</v>
      </c>
      <c r="D632" s="19">
        <v>0.43055555555555558</v>
      </c>
      <c r="E632" s="3">
        <v>46</v>
      </c>
      <c r="F632" s="216">
        <v>8.18</v>
      </c>
      <c r="G632" s="216">
        <v>65.400000000000006</v>
      </c>
      <c r="H632" s="3">
        <v>5.8</v>
      </c>
    </row>
    <row r="633" spans="3:8" ht="15.75" customHeight="1" x14ac:dyDescent="0.2">
      <c r="C633" s="52">
        <v>42604</v>
      </c>
      <c r="D633" s="19">
        <v>0.43055555555555558</v>
      </c>
      <c r="E633" s="3">
        <v>48</v>
      </c>
      <c r="F633" s="216">
        <v>8.17</v>
      </c>
      <c r="G633" s="216">
        <v>65.3</v>
      </c>
      <c r="H633" s="3">
        <v>5.8</v>
      </c>
    </row>
    <row r="634" spans="3:8" ht="15.75" customHeight="1" x14ac:dyDescent="0.2">
      <c r="C634" s="52">
        <v>42604</v>
      </c>
      <c r="D634" s="19">
        <v>0.43055555555555558</v>
      </c>
      <c r="E634" s="3">
        <v>50</v>
      </c>
      <c r="F634" s="216">
        <v>8.17</v>
      </c>
      <c r="G634" s="216">
        <v>65.3</v>
      </c>
      <c r="H634" s="3">
        <v>5.8</v>
      </c>
    </row>
    <row r="635" spans="3:8" ht="15.75" customHeight="1" x14ac:dyDescent="0.2">
      <c r="C635" s="52">
        <v>42604</v>
      </c>
      <c r="D635" s="19">
        <v>0.43055555555555558</v>
      </c>
      <c r="E635" s="3">
        <v>52</v>
      </c>
      <c r="F635" s="216">
        <v>8.19</v>
      </c>
      <c r="G635" s="216">
        <v>65.3</v>
      </c>
      <c r="H635" s="3">
        <v>5.7</v>
      </c>
    </row>
    <row r="636" spans="3:8" ht="15.75" customHeight="1" x14ac:dyDescent="0.2">
      <c r="C636" s="52">
        <v>42604</v>
      </c>
      <c r="D636" s="19">
        <v>0.43055555555555558</v>
      </c>
      <c r="E636" s="3">
        <v>54</v>
      </c>
      <c r="F636" s="216">
        <v>8.07</v>
      </c>
      <c r="G636" s="216">
        <v>64.3</v>
      </c>
      <c r="H636" s="3">
        <v>5.7</v>
      </c>
    </row>
    <row r="637" spans="3:8" ht="15.75" customHeight="1" x14ac:dyDescent="0.2">
      <c r="C637" s="52">
        <v>42604</v>
      </c>
      <c r="D637" s="19">
        <v>0.43055555555555558</v>
      </c>
      <c r="E637" s="3">
        <v>56</v>
      </c>
      <c r="F637" s="216">
        <v>8.07</v>
      </c>
      <c r="G637" s="216">
        <v>64.2</v>
      </c>
      <c r="H637" s="3">
        <v>5.6</v>
      </c>
    </row>
    <row r="638" spans="3:8" ht="15.75" customHeight="1" x14ac:dyDescent="0.2">
      <c r="C638" s="52">
        <v>42604</v>
      </c>
      <c r="D638" s="19">
        <v>0.43055555555555558</v>
      </c>
      <c r="E638" s="3">
        <v>58</v>
      </c>
      <c r="F638" s="216">
        <v>8.07</v>
      </c>
      <c r="G638" s="216">
        <v>64.2</v>
      </c>
      <c r="H638" s="3">
        <v>5.6</v>
      </c>
    </row>
    <row r="639" spans="3:8" ht="15.75" customHeight="1" x14ac:dyDescent="0.2">
      <c r="C639" s="52">
        <v>42604</v>
      </c>
      <c r="D639" s="19">
        <v>0.43055555555555558</v>
      </c>
      <c r="E639" s="3">
        <v>60</v>
      </c>
      <c r="F639" s="216">
        <v>8.07</v>
      </c>
      <c r="G639" s="216">
        <v>64</v>
      </c>
      <c r="H639" s="3">
        <v>5.5</v>
      </c>
    </row>
    <row r="640" spans="3:8" ht="15.75" customHeight="1" x14ac:dyDescent="0.2">
      <c r="C640" s="52">
        <v>42604</v>
      </c>
      <c r="D640" s="19">
        <v>0.43055555555555558</v>
      </c>
      <c r="E640" s="3">
        <v>62</v>
      </c>
      <c r="F640" s="216">
        <v>8.06</v>
      </c>
      <c r="G640" s="216">
        <v>63.9</v>
      </c>
      <c r="H640" s="3">
        <v>5.5</v>
      </c>
    </row>
    <row r="641" spans="3:8" ht="15.75" customHeight="1" x14ac:dyDescent="0.2">
      <c r="C641" s="52">
        <v>42604</v>
      </c>
      <c r="D641" s="19">
        <v>0.43055555555555558</v>
      </c>
      <c r="E641" s="3">
        <v>64</v>
      </c>
      <c r="F641" s="216">
        <v>8.0299999999999994</v>
      </c>
      <c r="G641" s="216">
        <v>63.7</v>
      </c>
      <c r="H641" s="3">
        <v>5.5</v>
      </c>
    </row>
    <row r="642" spans="3:8" ht="15.75" customHeight="1" x14ac:dyDescent="0.2">
      <c r="C642" s="52">
        <v>42604</v>
      </c>
      <c r="D642" s="19">
        <v>0.43055555555555558</v>
      </c>
      <c r="E642" s="3">
        <v>66</v>
      </c>
      <c r="F642" s="216">
        <v>8.01</v>
      </c>
      <c r="G642" s="216">
        <v>63.5</v>
      </c>
      <c r="H642" s="3">
        <v>5.5</v>
      </c>
    </row>
    <row r="643" spans="3:8" ht="15.75" customHeight="1" x14ac:dyDescent="0.2">
      <c r="C643" s="52">
        <v>42604</v>
      </c>
      <c r="D643" s="19">
        <v>0.43055555555555558</v>
      </c>
      <c r="E643" s="3">
        <v>68</v>
      </c>
      <c r="F643" s="216">
        <v>8.01</v>
      </c>
      <c r="G643" s="216">
        <v>63.4</v>
      </c>
      <c r="H643" s="3">
        <v>5.4</v>
      </c>
    </row>
    <row r="644" spans="3:8" ht="15.75" customHeight="1" x14ac:dyDescent="0.2">
      <c r="C644" s="52">
        <v>42604</v>
      </c>
      <c r="D644" s="19">
        <v>0.43055555555555558</v>
      </c>
      <c r="E644" s="3">
        <v>70</v>
      </c>
      <c r="F644" s="216">
        <v>7.97</v>
      </c>
      <c r="G644" s="216">
        <v>63</v>
      </c>
      <c r="H644" s="3">
        <v>5.4</v>
      </c>
    </row>
    <row r="645" spans="3:8" ht="15.75" customHeight="1" x14ac:dyDescent="0.2">
      <c r="C645" s="52">
        <v>42604</v>
      </c>
      <c r="D645" s="19">
        <v>0.43055555555555558</v>
      </c>
      <c r="E645" s="3">
        <v>72</v>
      </c>
      <c r="F645" s="216">
        <v>7.93</v>
      </c>
      <c r="G645" s="216">
        <v>62.5</v>
      </c>
      <c r="H645" s="3">
        <v>5.3</v>
      </c>
    </row>
    <row r="646" spans="3:8" ht="15.75" customHeight="1" x14ac:dyDescent="0.2">
      <c r="C646" s="52">
        <v>42604</v>
      </c>
      <c r="D646" s="19">
        <v>0.43055555555555558</v>
      </c>
      <c r="E646" s="3">
        <v>74</v>
      </c>
      <c r="F646" s="216">
        <v>7.89</v>
      </c>
      <c r="G646" s="216">
        <v>62.2</v>
      </c>
      <c r="H646" s="3">
        <v>5.3</v>
      </c>
    </row>
    <row r="647" spans="3:8" ht="15.75" customHeight="1" x14ac:dyDescent="0.2">
      <c r="C647" s="52">
        <v>42604</v>
      </c>
      <c r="D647" s="19">
        <v>0.43055555555555558</v>
      </c>
      <c r="E647" s="3">
        <v>76</v>
      </c>
      <c r="F647" s="216">
        <v>7.92</v>
      </c>
      <c r="G647" s="216">
        <v>62.4</v>
      </c>
      <c r="H647" s="3">
        <v>5.2</v>
      </c>
    </row>
    <row r="648" spans="3:8" ht="15.75" customHeight="1" x14ac:dyDescent="0.2">
      <c r="C648" s="52">
        <v>42604</v>
      </c>
      <c r="D648" s="19">
        <v>0.43055555555555558</v>
      </c>
      <c r="E648" s="3">
        <v>78</v>
      </c>
      <c r="F648" s="216">
        <v>7.93</v>
      </c>
      <c r="G648" s="216">
        <v>62.4</v>
      </c>
      <c r="H648" s="3">
        <v>5.2</v>
      </c>
    </row>
    <row r="649" spans="3:8" ht="15.75" customHeight="1" x14ac:dyDescent="0.2">
      <c r="C649" s="52">
        <v>42604</v>
      </c>
      <c r="D649" s="19">
        <v>0.43055555555555558</v>
      </c>
      <c r="E649" s="3">
        <v>80</v>
      </c>
      <c r="F649" s="216">
        <v>7.91</v>
      </c>
      <c r="G649" s="216">
        <v>62.2</v>
      </c>
      <c r="H649" s="3">
        <v>5.2</v>
      </c>
    </row>
    <row r="650" spans="3:8" ht="15.75" customHeight="1" x14ac:dyDescent="0.2">
      <c r="C650" s="52">
        <v>42604</v>
      </c>
      <c r="D650" s="19">
        <v>0.43055555555555558</v>
      </c>
      <c r="E650" s="3">
        <v>82</v>
      </c>
      <c r="F650" s="216">
        <v>7.87</v>
      </c>
      <c r="G650" s="216">
        <v>61.9</v>
      </c>
      <c r="H650" s="3">
        <v>5.2</v>
      </c>
    </row>
    <row r="651" spans="3:8" ht="15.75" customHeight="1" x14ac:dyDescent="0.2">
      <c r="C651" s="52">
        <v>42604</v>
      </c>
      <c r="D651" s="19">
        <v>0.43055555555555558</v>
      </c>
      <c r="E651" s="3">
        <v>84</v>
      </c>
      <c r="F651" s="216">
        <v>7.81</v>
      </c>
      <c r="G651" s="216">
        <v>61.2</v>
      </c>
      <c r="H651" s="3">
        <v>5.0999999999999996</v>
      </c>
    </row>
    <row r="652" spans="3:8" ht="15.75" customHeight="1" x14ac:dyDescent="0.2">
      <c r="C652" s="52">
        <v>42604</v>
      </c>
      <c r="D652" s="19">
        <v>0.43055555555555558</v>
      </c>
      <c r="E652" s="3">
        <v>86</v>
      </c>
      <c r="F652" s="216">
        <v>7.74</v>
      </c>
      <c r="G652" s="216">
        <v>60.6</v>
      </c>
      <c r="H652" s="3">
        <v>5</v>
      </c>
    </row>
    <row r="653" spans="3:8" ht="15.75" customHeight="1" x14ac:dyDescent="0.2">
      <c r="C653" s="52">
        <v>42604</v>
      </c>
      <c r="D653" s="19">
        <v>0.43055555555555558</v>
      </c>
      <c r="E653" s="3">
        <v>88</v>
      </c>
      <c r="F653" s="216">
        <v>7.67</v>
      </c>
      <c r="G653" s="216">
        <v>60</v>
      </c>
      <c r="H653" s="3">
        <v>5</v>
      </c>
    </row>
    <row r="654" spans="3:8" ht="15.75" customHeight="1" x14ac:dyDescent="0.2">
      <c r="C654" s="52">
        <v>42604</v>
      </c>
      <c r="D654" s="19">
        <v>0.43055555555555558</v>
      </c>
      <c r="E654" s="3">
        <v>90</v>
      </c>
      <c r="F654" s="216">
        <v>7.22</v>
      </c>
      <c r="G654" s="216">
        <v>56.3</v>
      </c>
      <c r="H654" s="3">
        <v>4.9000000000000004</v>
      </c>
    </row>
    <row r="655" spans="3:8" ht="15.75" customHeight="1" x14ac:dyDescent="0.2">
      <c r="C655" s="52">
        <v>42604</v>
      </c>
      <c r="D655" s="19">
        <v>0.43055555555555558</v>
      </c>
      <c r="E655" s="3">
        <v>92</v>
      </c>
      <c r="F655" s="216">
        <v>7.1</v>
      </c>
      <c r="G655" s="216">
        <v>55.4</v>
      </c>
      <c r="H655" s="3">
        <v>4.9000000000000004</v>
      </c>
    </row>
    <row r="656" spans="3:8" ht="15.75" customHeight="1" x14ac:dyDescent="0.2">
      <c r="C656" s="52">
        <v>42604</v>
      </c>
      <c r="D656" s="19">
        <v>0.43055555555555558</v>
      </c>
      <c r="E656" s="3">
        <v>94</v>
      </c>
      <c r="F656" s="216">
        <v>5.42</v>
      </c>
      <c r="G656" s="216">
        <v>42.2</v>
      </c>
      <c r="H656" s="3">
        <v>4.9000000000000004</v>
      </c>
    </row>
    <row r="657" spans="3:11" ht="15.75" customHeight="1" x14ac:dyDescent="0.2">
      <c r="C657" s="52"/>
      <c r="D657" s="19"/>
      <c r="E657" s="3"/>
      <c r="F657" s="216"/>
      <c r="G657" s="216"/>
      <c r="H657" s="3"/>
    </row>
    <row r="658" spans="3:11" ht="15.75" customHeight="1" x14ac:dyDescent="0.2">
      <c r="C658" s="52"/>
      <c r="D658" s="19"/>
      <c r="E658" s="3"/>
      <c r="F658" s="216"/>
      <c r="G658" s="216"/>
      <c r="H658" s="3"/>
    </row>
    <row r="659" spans="3:11" ht="15.75" customHeight="1" x14ac:dyDescent="0.2">
      <c r="C659" s="52">
        <v>42569</v>
      </c>
      <c r="D659" s="19">
        <v>0.45833333333333331</v>
      </c>
      <c r="E659" s="3"/>
      <c r="F659" s="216"/>
      <c r="G659" s="216"/>
      <c r="H659" s="3"/>
      <c r="J659">
        <v>13</v>
      </c>
      <c r="K659">
        <v>15</v>
      </c>
    </row>
    <row r="660" spans="3:11" ht="15.75" customHeight="1" x14ac:dyDescent="0.2">
      <c r="C660" s="52">
        <v>42569</v>
      </c>
      <c r="D660" s="19">
        <v>0.45833333333333331</v>
      </c>
      <c r="E660" s="3">
        <v>0.1</v>
      </c>
      <c r="F660" s="216">
        <v>7.92</v>
      </c>
      <c r="G660" s="216">
        <v>87.4</v>
      </c>
      <c r="H660" s="3">
        <v>20.100000000000001</v>
      </c>
    </row>
    <row r="661" spans="3:11" ht="15.75" customHeight="1" x14ac:dyDescent="0.2">
      <c r="C661" s="52">
        <v>42569</v>
      </c>
      <c r="D661" s="19">
        <v>0.45833333333333331</v>
      </c>
      <c r="E661" s="3">
        <v>1</v>
      </c>
      <c r="F661" s="216">
        <v>7.95</v>
      </c>
      <c r="G661" s="216">
        <v>87.2</v>
      </c>
      <c r="H661" s="3">
        <v>19.8</v>
      </c>
    </row>
    <row r="662" spans="3:11" ht="15.75" customHeight="1" x14ac:dyDescent="0.2">
      <c r="C662" s="52">
        <v>42569</v>
      </c>
      <c r="D662" s="19">
        <v>0.45833333333333331</v>
      </c>
      <c r="E662" s="3">
        <v>2</v>
      </c>
      <c r="F662" s="216">
        <v>7.97</v>
      </c>
      <c r="G662" s="216">
        <v>86.9</v>
      </c>
      <c r="H662" s="3">
        <v>19.600000000000001</v>
      </c>
    </row>
    <row r="663" spans="3:11" ht="15.75" customHeight="1" x14ac:dyDescent="0.2">
      <c r="C663" s="52">
        <v>42569</v>
      </c>
      <c r="D663" s="19">
        <v>0.45833333333333331</v>
      </c>
      <c r="E663" s="3">
        <v>3</v>
      </c>
      <c r="F663" s="216">
        <v>7.97</v>
      </c>
      <c r="G663" s="216">
        <v>86.5</v>
      </c>
      <c r="H663" s="3">
        <v>19.399999999999999</v>
      </c>
    </row>
    <row r="664" spans="3:11" ht="15.75" customHeight="1" x14ac:dyDescent="0.2">
      <c r="C664" s="52">
        <v>42569</v>
      </c>
      <c r="D664" s="19">
        <v>0.45833333333333331</v>
      </c>
      <c r="E664" s="3">
        <v>4</v>
      </c>
      <c r="F664" s="216">
        <v>7.97</v>
      </c>
      <c r="G664" s="216">
        <v>86.4</v>
      </c>
      <c r="H664" s="3">
        <v>19.3</v>
      </c>
    </row>
    <row r="665" spans="3:11" ht="15.75" customHeight="1" x14ac:dyDescent="0.2">
      <c r="C665" s="52">
        <v>42569</v>
      </c>
      <c r="D665" s="19">
        <v>0.45833333333333331</v>
      </c>
      <c r="E665" s="3">
        <v>5</v>
      </c>
      <c r="F665" s="216">
        <v>7.98</v>
      </c>
      <c r="G665" s="216">
        <v>86.4</v>
      </c>
      <c r="H665" s="3">
        <v>19.2</v>
      </c>
    </row>
    <row r="666" spans="3:11" ht="15.75" customHeight="1" x14ac:dyDescent="0.2">
      <c r="C666" s="52">
        <v>42569</v>
      </c>
      <c r="D666" s="19">
        <v>0.45833333333333331</v>
      </c>
      <c r="E666" s="3">
        <v>6</v>
      </c>
      <c r="F666" s="216">
        <v>8.01</v>
      </c>
      <c r="G666" s="216">
        <v>86.2</v>
      </c>
      <c r="H666" s="3">
        <v>19</v>
      </c>
    </row>
    <row r="667" spans="3:11" ht="15.75" customHeight="1" x14ac:dyDescent="0.2">
      <c r="C667" s="52">
        <v>42569</v>
      </c>
      <c r="D667" s="19">
        <v>0.45833333333333331</v>
      </c>
      <c r="E667" s="3">
        <v>7</v>
      </c>
      <c r="F667" s="216">
        <v>8.01</v>
      </c>
      <c r="G667" s="216">
        <v>86</v>
      </c>
      <c r="H667" s="3">
        <v>18.8</v>
      </c>
    </row>
    <row r="668" spans="3:11" ht="15.75" customHeight="1" x14ac:dyDescent="0.2">
      <c r="C668" s="52">
        <v>42569</v>
      </c>
      <c r="D668" s="19">
        <v>0.45833333333333331</v>
      </c>
      <c r="E668" s="3">
        <v>8</v>
      </c>
      <c r="F668" s="216">
        <v>8.27</v>
      </c>
      <c r="G668" s="216">
        <v>87</v>
      </c>
      <c r="H668" s="3">
        <v>17.8</v>
      </c>
    </row>
    <row r="669" spans="3:11" ht="15.75" customHeight="1" x14ac:dyDescent="0.2">
      <c r="C669" s="52">
        <v>42569</v>
      </c>
      <c r="D669" s="19">
        <v>0.45833333333333331</v>
      </c>
      <c r="E669" s="3">
        <v>9</v>
      </c>
      <c r="F669" s="216">
        <v>8.41</v>
      </c>
      <c r="G669" s="216">
        <v>87.6</v>
      </c>
      <c r="H669" s="3">
        <v>17.3</v>
      </c>
    </row>
    <row r="670" spans="3:11" ht="15.75" customHeight="1" x14ac:dyDescent="0.2">
      <c r="C670" s="52">
        <v>42569</v>
      </c>
      <c r="D670" s="19">
        <v>0.45833333333333331</v>
      </c>
      <c r="E670" s="3">
        <v>10</v>
      </c>
      <c r="F670" s="216">
        <v>8.52</v>
      </c>
      <c r="G670" s="216">
        <v>87.6</v>
      </c>
      <c r="H670" s="3">
        <v>16.7</v>
      </c>
    </row>
    <row r="671" spans="3:11" ht="15.75" customHeight="1" x14ac:dyDescent="0.2">
      <c r="C671" s="52">
        <v>42569</v>
      </c>
      <c r="D671" s="19">
        <v>0.45833333333333331</v>
      </c>
      <c r="E671" s="3">
        <v>11</v>
      </c>
      <c r="F671" s="216">
        <v>8.69</v>
      </c>
      <c r="G671" s="216">
        <v>86.8</v>
      </c>
      <c r="H671" s="3">
        <v>15.3</v>
      </c>
    </row>
    <row r="672" spans="3:11" ht="15.75" customHeight="1" x14ac:dyDescent="0.2">
      <c r="C672" s="52">
        <v>42569</v>
      </c>
      <c r="D672" s="19">
        <v>0.45833333333333331</v>
      </c>
      <c r="E672" s="3">
        <v>12</v>
      </c>
      <c r="F672" s="216">
        <v>8.76</v>
      </c>
      <c r="G672" s="216">
        <v>85.2</v>
      </c>
      <c r="H672" s="3">
        <v>14.1</v>
      </c>
    </row>
    <row r="673" spans="3:8" ht="15.75" customHeight="1" x14ac:dyDescent="0.2">
      <c r="C673" s="52">
        <v>42569</v>
      </c>
      <c r="D673" s="19">
        <v>0.45833333333333331</v>
      </c>
      <c r="E673" s="3">
        <v>13</v>
      </c>
      <c r="F673" s="216">
        <v>8.8699999999999992</v>
      </c>
      <c r="G673" s="216">
        <v>84</v>
      </c>
      <c r="H673" s="3">
        <v>13</v>
      </c>
    </row>
    <row r="674" spans="3:8" ht="15.75" customHeight="1" x14ac:dyDescent="0.2">
      <c r="C674" s="52">
        <v>42569</v>
      </c>
      <c r="D674" s="19">
        <v>0.45833333333333331</v>
      </c>
      <c r="E674" s="3">
        <v>14</v>
      </c>
      <c r="F674" s="216">
        <v>8.98</v>
      </c>
      <c r="G674" s="216">
        <v>82.6</v>
      </c>
      <c r="H674" s="3">
        <v>11.7</v>
      </c>
    </row>
    <row r="675" spans="3:8" ht="15.75" customHeight="1" x14ac:dyDescent="0.2">
      <c r="C675" s="52">
        <v>42569</v>
      </c>
      <c r="D675" s="19">
        <v>0.45833333333333331</v>
      </c>
      <c r="E675" s="3">
        <v>15</v>
      </c>
      <c r="F675" s="216">
        <v>9.0299999999999994</v>
      </c>
      <c r="G675" s="216">
        <v>79.099999999999994</v>
      </c>
      <c r="H675" s="3">
        <v>9.5</v>
      </c>
    </row>
    <row r="676" spans="3:8" ht="15.75" customHeight="1" x14ac:dyDescent="0.2">
      <c r="C676" s="52">
        <v>42569</v>
      </c>
      <c r="D676" s="19">
        <v>0.45833333333333331</v>
      </c>
      <c r="E676" s="3">
        <v>16</v>
      </c>
      <c r="F676" s="216">
        <v>9</v>
      </c>
      <c r="G676" s="216">
        <v>78.2</v>
      </c>
      <c r="H676" s="3">
        <v>9.1999999999999993</v>
      </c>
    </row>
    <row r="677" spans="3:8" ht="15.75" customHeight="1" x14ac:dyDescent="0.2">
      <c r="C677" s="52">
        <v>42569</v>
      </c>
      <c r="D677" s="19">
        <v>0.45833333333333331</v>
      </c>
      <c r="E677" s="3">
        <v>17</v>
      </c>
      <c r="F677" s="216">
        <v>9.0299999999999994</v>
      </c>
      <c r="G677" s="216">
        <v>77.3</v>
      </c>
      <c r="H677" s="3">
        <v>8.6</v>
      </c>
    </row>
    <row r="678" spans="3:8" ht="15.75" customHeight="1" x14ac:dyDescent="0.2">
      <c r="C678" s="52">
        <v>42569</v>
      </c>
      <c r="D678" s="19">
        <v>0.45833333333333331</v>
      </c>
      <c r="E678" s="3">
        <v>18</v>
      </c>
      <c r="F678" s="216">
        <v>9.0399999999999991</v>
      </c>
      <c r="G678" s="216">
        <v>76.7</v>
      </c>
      <c r="H678" s="3">
        <v>8.1999999999999993</v>
      </c>
    </row>
    <row r="679" spans="3:8" ht="15.75" customHeight="1" x14ac:dyDescent="0.2">
      <c r="C679" s="52">
        <v>42569</v>
      </c>
      <c r="D679" s="19">
        <v>0.45833333333333331</v>
      </c>
      <c r="E679" s="3">
        <v>19</v>
      </c>
      <c r="F679" s="216">
        <v>8.99</v>
      </c>
      <c r="G679" s="216">
        <v>75.3</v>
      </c>
      <c r="H679" s="3">
        <v>7.7</v>
      </c>
    </row>
    <row r="680" spans="3:8" ht="15.75" customHeight="1" x14ac:dyDescent="0.2">
      <c r="C680" s="52">
        <v>42569</v>
      </c>
      <c r="D680" s="19">
        <v>0.45833333333333331</v>
      </c>
      <c r="E680" s="3">
        <v>20</v>
      </c>
      <c r="F680" s="216">
        <v>8.93</v>
      </c>
      <c r="G680" s="216">
        <v>74.8</v>
      </c>
      <c r="H680" s="3">
        <v>7.4</v>
      </c>
    </row>
    <row r="681" spans="3:8" ht="15.75" customHeight="1" x14ac:dyDescent="0.2">
      <c r="C681" s="52">
        <v>42569</v>
      </c>
      <c r="D681" s="19">
        <v>0.45833333333333331</v>
      </c>
      <c r="E681" s="3">
        <v>21</v>
      </c>
      <c r="F681" s="216">
        <v>8.89</v>
      </c>
      <c r="G681" s="216">
        <v>73.400000000000006</v>
      </c>
      <c r="H681" s="3">
        <v>7.1</v>
      </c>
    </row>
    <row r="682" spans="3:8" ht="15.75" customHeight="1" x14ac:dyDescent="0.2">
      <c r="C682" s="52">
        <v>42569</v>
      </c>
      <c r="D682" s="19">
        <v>0.45833333333333331</v>
      </c>
      <c r="E682" s="3">
        <v>22</v>
      </c>
      <c r="F682" s="216">
        <v>8.86</v>
      </c>
      <c r="G682" s="216">
        <v>73</v>
      </c>
      <c r="H682" s="3">
        <v>7</v>
      </c>
    </row>
    <row r="683" spans="3:8" ht="15.75" customHeight="1" x14ac:dyDescent="0.2">
      <c r="C683" s="52">
        <v>42569</v>
      </c>
      <c r="D683" s="19">
        <v>0.45833333333333331</v>
      </c>
      <c r="E683" s="3">
        <v>23</v>
      </c>
      <c r="F683" s="216">
        <v>8.83</v>
      </c>
      <c r="G683" s="216">
        <v>72.5</v>
      </c>
      <c r="H683" s="3">
        <v>6.9</v>
      </c>
    </row>
    <row r="684" spans="3:8" ht="15.75" customHeight="1" x14ac:dyDescent="0.2">
      <c r="C684" s="52">
        <v>42569</v>
      </c>
      <c r="D684" s="19">
        <v>0.45833333333333331</v>
      </c>
      <c r="E684" s="3">
        <v>24</v>
      </c>
      <c r="F684" s="216">
        <v>8.8000000000000007</v>
      </c>
      <c r="G684" s="216">
        <v>72</v>
      </c>
      <c r="H684" s="3">
        <v>6.8</v>
      </c>
    </row>
    <row r="685" spans="3:8" ht="15.75" customHeight="1" x14ac:dyDescent="0.2">
      <c r="C685" s="52">
        <v>42569</v>
      </c>
      <c r="D685" s="19">
        <v>0.45833333333333331</v>
      </c>
      <c r="E685" s="3">
        <v>25</v>
      </c>
      <c r="F685" s="216">
        <v>8.7799999999999994</v>
      </c>
      <c r="G685" s="216">
        <v>71.7</v>
      </c>
      <c r="H685" s="3">
        <v>6.7</v>
      </c>
    </row>
    <row r="686" spans="3:8" ht="15.75" customHeight="1" x14ac:dyDescent="0.2">
      <c r="C686" s="52">
        <v>42569</v>
      </c>
      <c r="D686" s="19">
        <v>0.45833333333333331</v>
      </c>
      <c r="E686" s="3">
        <v>26</v>
      </c>
      <c r="F686" s="216">
        <v>8.76</v>
      </c>
      <c r="G686" s="216">
        <v>71.3</v>
      </c>
      <c r="H686" s="3">
        <v>6.5</v>
      </c>
    </row>
    <row r="687" spans="3:8" ht="15.75" customHeight="1" x14ac:dyDescent="0.2">
      <c r="C687" s="52">
        <v>42569</v>
      </c>
      <c r="D687" s="19">
        <v>0.45833333333333331</v>
      </c>
      <c r="E687" s="3">
        <v>27</v>
      </c>
      <c r="F687" s="216">
        <v>8.74</v>
      </c>
      <c r="G687" s="216">
        <v>71.099999999999994</v>
      </c>
      <c r="H687" s="3">
        <v>6.5</v>
      </c>
    </row>
    <row r="688" spans="3:8" ht="15.75" customHeight="1" x14ac:dyDescent="0.2">
      <c r="C688" s="52">
        <v>42569</v>
      </c>
      <c r="D688" s="19">
        <v>0.45833333333333331</v>
      </c>
      <c r="E688" s="3">
        <v>28</v>
      </c>
      <c r="F688" s="216">
        <v>8.73</v>
      </c>
      <c r="G688" s="216">
        <v>70.8</v>
      </c>
      <c r="H688" s="3">
        <v>6.4</v>
      </c>
    </row>
    <row r="689" spans="3:8" ht="15.75" customHeight="1" x14ac:dyDescent="0.2">
      <c r="C689" s="52">
        <v>42569</v>
      </c>
      <c r="D689" s="19">
        <v>0.45833333333333331</v>
      </c>
      <c r="E689" s="3">
        <v>29</v>
      </c>
      <c r="F689" s="216">
        <v>8.7200000000000006</v>
      </c>
      <c r="G689" s="216">
        <v>70.599999999999994</v>
      </c>
      <c r="H689" s="3">
        <v>6.4</v>
      </c>
    </row>
    <row r="690" spans="3:8" ht="15.75" customHeight="1" x14ac:dyDescent="0.2">
      <c r="C690" s="52">
        <v>42569</v>
      </c>
      <c r="D690" s="19">
        <v>0.45833333333333331</v>
      </c>
      <c r="E690" s="3">
        <v>30</v>
      </c>
      <c r="F690" s="216">
        <v>8.6999999999999993</v>
      </c>
      <c r="G690" s="216">
        <v>70.400000000000006</v>
      </c>
      <c r="H690" s="3">
        <v>6.3</v>
      </c>
    </row>
    <row r="691" spans="3:8" ht="15.75" customHeight="1" x14ac:dyDescent="0.2">
      <c r="C691" s="52">
        <v>42569</v>
      </c>
      <c r="D691" s="19">
        <v>0.45833333333333331</v>
      </c>
      <c r="E691" s="3">
        <v>35</v>
      </c>
      <c r="F691" s="216">
        <v>8.6300000000000008</v>
      </c>
      <c r="G691" s="216">
        <v>69.5</v>
      </c>
      <c r="H691" s="3">
        <v>6.1</v>
      </c>
    </row>
    <row r="692" spans="3:8" ht="15.75" customHeight="1" x14ac:dyDescent="0.2">
      <c r="C692" s="52">
        <v>42569</v>
      </c>
      <c r="D692" s="19">
        <v>0.45833333333333331</v>
      </c>
      <c r="E692" s="3">
        <v>40</v>
      </c>
      <c r="F692" s="216">
        <v>8.5500000000000007</v>
      </c>
      <c r="G692" s="216">
        <v>68.5</v>
      </c>
      <c r="H692" s="3">
        <v>5.9</v>
      </c>
    </row>
    <row r="693" spans="3:8" ht="15.75" customHeight="1" x14ac:dyDescent="0.2">
      <c r="C693" s="52">
        <v>42569</v>
      </c>
      <c r="D693" s="19">
        <v>0.45833333333333331</v>
      </c>
      <c r="E693" s="3">
        <v>45</v>
      </c>
      <c r="F693" s="216">
        <v>8.4</v>
      </c>
      <c r="G693" s="216">
        <v>67.5</v>
      </c>
      <c r="H693" s="3">
        <v>5.7</v>
      </c>
    </row>
    <row r="694" spans="3:8" ht="15.75" customHeight="1" x14ac:dyDescent="0.2">
      <c r="C694" s="52">
        <v>42569</v>
      </c>
      <c r="D694" s="19">
        <v>0.45833333333333331</v>
      </c>
      <c r="E694" s="3">
        <v>50</v>
      </c>
      <c r="F694" s="216">
        <v>8.4</v>
      </c>
      <c r="G694" s="216">
        <v>66.599999999999994</v>
      </c>
      <c r="H694" s="3">
        <v>5.5</v>
      </c>
    </row>
    <row r="695" spans="3:8" ht="15.75" customHeight="1" x14ac:dyDescent="0.2">
      <c r="C695" s="52">
        <v>42569</v>
      </c>
      <c r="D695" s="19">
        <v>0.45833333333333331</v>
      </c>
      <c r="E695" s="3">
        <v>55</v>
      </c>
      <c r="F695" s="216">
        <v>8.36</v>
      </c>
      <c r="G695" s="216">
        <v>65.900000000000006</v>
      </c>
      <c r="H695" s="3">
        <v>5.3</v>
      </c>
    </row>
    <row r="696" spans="3:8" ht="15.75" customHeight="1" x14ac:dyDescent="0.2">
      <c r="C696" s="52">
        <v>42569</v>
      </c>
      <c r="D696" s="19">
        <v>0.45833333333333331</v>
      </c>
      <c r="E696" s="3">
        <v>60</v>
      </c>
      <c r="F696" s="216">
        <v>8.34</v>
      </c>
      <c r="G696" s="216">
        <v>65.5</v>
      </c>
      <c r="H696" s="3">
        <v>5.0999999999999996</v>
      </c>
    </row>
    <row r="697" spans="3:8" ht="15.75" customHeight="1" x14ac:dyDescent="0.2">
      <c r="C697" s="52">
        <v>42569</v>
      </c>
      <c r="D697" s="19">
        <v>0.45833333333333331</v>
      </c>
      <c r="E697" s="3">
        <v>65</v>
      </c>
      <c r="F697" s="216">
        <v>8.3000000000000007</v>
      </c>
      <c r="G697" s="216">
        <v>65.2</v>
      </c>
      <c r="H697" s="3">
        <v>5.0999999999999996</v>
      </c>
    </row>
    <row r="698" spans="3:8" ht="15.75" customHeight="1" x14ac:dyDescent="0.2">
      <c r="C698" s="52">
        <v>42569</v>
      </c>
      <c r="D698" s="19">
        <v>0.45833333333333331</v>
      </c>
      <c r="E698" s="3">
        <v>70</v>
      </c>
      <c r="F698" s="216">
        <v>8.27</v>
      </c>
      <c r="G698" s="216">
        <v>64.7</v>
      </c>
      <c r="H698" s="3">
        <v>5</v>
      </c>
    </row>
    <row r="699" spans="3:8" ht="15.75" customHeight="1" x14ac:dyDescent="0.2">
      <c r="C699" s="52">
        <v>42569</v>
      </c>
      <c r="D699" s="19">
        <v>0.45833333333333331</v>
      </c>
      <c r="E699" s="3">
        <v>75</v>
      </c>
      <c r="F699" s="216">
        <v>8.1999999999999993</v>
      </c>
      <c r="G699" s="216">
        <v>64.2</v>
      </c>
      <c r="H699" s="3">
        <v>5</v>
      </c>
    </row>
    <row r="700" spans="3:8" ht="15.75" customHeight="1" x14ac:dyDescent="0.2">
      <c r="C700" s="52">
        <v>42569</v>
      </c>
      <c r="D700" s="19">
        <v>0.45833333333333331</v>
      </c>
      <c r="E700" s="3">
        <v>80</v>
      </c>
      <c r="F700" s="216">
        <v>8.1300000000000008</v>
      </c>
      <c r="G700" s="216">
        <v>63.5</v>
      </c>
      <c r="H700" s="3">
        <v>4.9000000000000004</v>
      </c>
    </row>
    <row r="701" spans="3:8" ht="15.75" customHeight="1" x14ac:dyDescent="0.2">
      <c r="C701" s="52">
        <v>42569</v>
      </c>
      <c r="D701" s="19">
        <v>0.45833333333333331</v>
      </c>
      <c r="E701" s="3">
        <v>85</v>
      </c>
      <c r="F701" s="216">
        <v>7.91</v>
      </c>
      <c r="G701" s="216">
        <v>61.8</v>
      </c>
      <c r="H701" s="3">
        <v>4.9000000000000004</v>
      </c>
    </row>
    <row r="702" spans="3:8" ht="15.75" customHeight="1" x14ac:dyDescent="0.2">
      <c r="C702" s="52">
        <v>42569</v>
      </c>
      <c r="D702" s="19">
        <v>0.45833333333333331</v>
      </c>
      <c r="E702" s="3">
        <v>90</v>
      </c>
      <c r="F702" s="216">
        <v>7.75</v>
      </c>
      <c r="G702" s="216">
        <v>60.3</v>
      </c>
      <c r="H702" s="3">
        <v>4.8</v>
      </c>
    </row>
    <row r="703" spans="3:8" ht="15.75" customHeight="1" x14ac:dyDescent="0.2">
      <c r="C703" s="52">
        <v>42569</v>
      </c>
      <c r="D703" s="19">
        <v>0.45833333333333331</v>
      </c>
      <c r="E703" s="3">
        <v>95</v>
      </c>
      <c r="F703" s="216">
        <v>6.2</v>
      </c>
      <c r="G703" s="216">
        <v>48.1</v>
      </c>
      <c r="H703" s="3">
        <v>4.8</v>
      </c>
    </row>
    <row r="704" spans="3:8" ht="15.75" customHeight="1" x14ac:dyDescent="0.2">
      <c r="C704" s="52"/>
      <c r="D704" s="19"/>
      <c r="E704" s="3"/>
      <c r="F704" s="216"/>
      <c r="G704" s="216"/>
      <c r="H704" s="3"/>
    </row>
    <row r="705" spans="3:11" ht="15.75" customHeight="1" x14ac:dyDescent="0.2">
      <c r="C705" s="3"/>
      <c r="E705" s="3"/>
      <c r="H705" s="3"/>
    </row>
    <row r="706" spans="3:11" ht="15" customHeight="1" x14ac:dyDescent="0.2">
      <c r="C706" s="15">
        <v>42534</v>
      </c>
      <c r="D706" s="185">
        <v>0.53125</v>
      </c>
      <c r="E706" s="3"/>
      <c r="H706" s="3"/>
      <c r="J706" s="1">
        <v>10</v>
      </c>
      <c r="K706" s="1">
        <v>11.5</v>
      </c>
    </row>
    <row r="707" spans="3:11" ht="15.75" customHeight="1" x14ac:dyDescent="0.2">
      <c r="C707" s="15">
        <v>42534</v>
      </c>
      <c r="D707" s="185">
        <v>0.54305555555555551</v>
      </c>
      <c r="E707" s="3">
        <v>0.1</v>
      </c>
      <c r="F707" s="190">
        <v>8</v>
      </c>
      <c r="G707" s="190">
        <v>85.8</v>
      </c>
      <c r="H707" s="3">
        <v>18</v>
      </c>
    </row>
    <row r="708" spans="3:11" ht="15.75" customHeight="1" x14ac:dyDescent="0.2">
      <c r="C708" s="15">
        <v>42534</v>
      </c>
      <c r="D708" s="185">
        <v>0.54305555555555551</v>
      </c>
      <c r="E708" s="3">
        <v>1</v>
      </c>
      <c r="F708" s="190">
        <v>8.23</v>
      </c>
      <c r="G708" s="190">
        <v>85.2</v>
      </c>
      <c r="H708" s="3">
        <v>17.100000000000001</v>
      </c>
      <c r="J708" s="1"/>
      <c r="K708" s="1"/>
    </row>
    <row r="709" spans="3:11" ht="15.75" customHeight="1" x14ac:dyDescent="0.2">
      <c r="C709" s="15">
        <v>42534</v>
      </c>
      <c r="D709" s="185">
        <v>0.54305555555555551</v>
      </c>
      <c r="E709" s="3">
        <v>2</v>
      </c>
      <c r="F709" s="190">
        <v>8.2200000000000006</v>
      </c>
      <c r="G709" s="190">
        <v>84.7</v>
      </c>
      <c r="H709" s="3">
        <v>16.8</v>
      </c>
    </row>
    <row r="710" spans="3:11" ht="15.75" customHeight="1" x14ac:dyDescent="0.2">
      <c r="C710" s="15">
        <v>42534</v>
      </c>
      <c r="D710" s="185">
        <v>0.54305555555555551</v>
      </c>
      <c r="E710" s="3">
        <v>3</v>
      </c>
      <c r="F710" s="190">
        <v>8.25</v>
      </c>
      <c r="G710" s="190">
        <v>84.9</v>
      </c>
      <c r="H710" s="3">
        <v>16.7</v>
      </c>
    </row>
    <row r="711" spans="3:11" ht="15.75" customHeight="1" x14ac:dyDescent="0.2">
      <c r="C711" s="15">
        <v>42534</v>
      </c>
      <c r="D711" s="185">
        <v>0.54305555555555551</v>
      </c>
      <c r="E711" s="3">
        <v>4</v>
      </c>
      <c r="F711" s="190">
        <v>8.26</v>
      </c>
      <c r="G711" s="190">
        <v>84.8</v>
      </c>
      <c r="H711" s="3">
        <v>16.600000000000001</v>
      </c>
    </row>
    <row r="712" spans="3:11" ht="15.75" customHeight="1" x14ac:dyDescent="0.2">
      <c r="C712" s="15">
        <v>42534</v>
      </c>
      <c r="D712" s="185">
        <v>0.54305555555555551</v>
      </c>
      <c r="E712" s="3">
        <v>5</v>
      </c>
      <c r="F712" s="190">
        <v>8.26</v>
      </c>
      <c r="G712" s="190">
        <v>84.6</v>
      </c>
      <c r="H712" s="3">
        <v>16.5</v>
      </c>
      <c r="J712" s="1"/>
      <c r="K712" s="1"/>
    </row>
    <row r="713" spans="3:11" ht="15.75" customHeight="1" x14ac:dyDescent="0.2">
      <c r="C713" s="15">
        <v>42534</v>
      </c>
      <c r="D713" s="185">
        <v>0.54305555555555551</v>
      </c>
      <c r="E713" s="3">
        <v>6</v>
      </c>
      <c r="F713" s="190">
        <v>8.27</v>
      </c>
      <c r="G713" s="190">
        <v>84.5</v>
      </c>
      <c r="H713" s="3">
        <v>16.399999999999999</v>
      </c>
    </row>
    <row r="714" spans="3:11" ht="15.75" customHeight="1" x14ac:dyDescent="0.2">
      <c r="C714" s="15">
        <v>42534</v>
      </c>
      <c r="D714" s="185">
        <v>0.54305555555555551</v>
      </c>
      <c r="E714" s="3">
        <v>7</v>
      </c>
      <c r="F714" s="190">
        <v>8.64</v>
      </c>
      <c r="G714" s="190">
        <v>85</v>
      </c>
      <c r="H714" s="3">
        <v>14.7</v>
      </c>
    </row>
    <row r="715" spans="3:11" ht="15.75" customHeight="1" x14ac:dyDescent="0.2">
      <c r="C715" s="15">
        <v>42534</v>
      </c>
      <c r="D715" s="185">
        <v>0.54305555555555551</v>
      </c>
      <c r="E715" s="3">
        <v>8</v>
      </c>
      <c r="F715" s="190">
        <v>8.7899999999999991</v>
      </c>
      <c r="G715" s="190">
        <v>84.3</v>
      </c>
      <c r="H715" s="3">
        <v>13.4</v>
      </c>
    </row>
    <row r="716" spans="3:11" ht="15.75" customHeight="1" x14ac:dyDescent="0.2">
      <c r="C716" s="15">
        <v>42534</v>
      </c>
      <c r="D716" s="185">
        <v>0.54305555555555551</v>
      </c>
      <c r="E716" s="3">
        <v>9</v>
      </c>
      <c r="F716" s="190">
        <v>9.08</v>
      </c>
      <c r="G716" s="190">
        <v>86</v>
      </c>
      <c r="H716" s="3">
        <v>13</v>
      </c>
      <c r="J716" s="1"/>
      <c r="K716" s="1"/>
    </row>
    <row r="717" spans="3:11" ht="15.75" customHeight="1" x14ac:dyDescent="0.2">
      <c r="C717" s="15">
        <v>42534</v>
      </c>
      <c r="D717" s="185">
        <v>0.54305555555555551</v>
      </c>
      <c r="E717" s="3">
        <v>10</v>
      </c>
      <c r="F717" s="190">
        <v>9.09</v>
      </c>
      <c r="G717" s="190">
        <v>85.8</v>
      </c>
      <c r="H717" s="3">
        <v>12.8</v>
      </c>
    </row>
    <row r="718" spans="3:11" ht="15.75" customHeight="1" x14ac:dyDescent="0.2">
      <c r="C718" s="15">
        <v>42534</v>
      </c>
      <c r="D718" s="185">
        <v>0.54305555555555551</v>
      </c>
      <c r="E718" s="3">
        <v>11</v>
      </c>
      <c r="F718" s="190">
        <v>9.15</v>
      </c>
      <c r="G718" s="190">
        <v>85.3</v>
      </c>
      <c r="H718" s="3">
        <v>12.2</v>
      </c>
    </row>
    <row r="719" spans="3:11" ht="15.75" customHeight="1" x14ac:dyDescent="0.2">
      <c r="C719" s="15">
        <v>42534</v>
      </c>
      <c r="D719" s="185">
        <v>0.54305555555555551</v>
      </c>
      <c r="E719" s="3">
        <v>12</v>
      </c>
      <c r="F719" s="190">
        <v>9.15</v>
      </c>
      <c r="G719" s="190">
        <v>84.7</v>
      </c>
      <c r="H719" s="3">
        <v>11.9</v>
      </c>
    </row>
    <row r="720" spans="3:11" ht="15.75" customHeight="1" x14ac:dyDescent="0.2">
      <c r="C720" s="15">
        <v>42534</v>
      </c>
      <c r="D720" s="185">
        <v>0.54305555555555551</v>
      </c>
      <c r="E720" s="3">
        <v>13</v>
      </c>
      <c r="F720" s="190">
        <v>9.15</v>
      </c>
      <c r="G720" s="190">
        <v>83.9</v>
      </c>
      <c r="H720" s="3">
        <v>11.6</v>
      </c>
      <c r="J720" s="1"/>
      <c r="K720" s="1"/>
    </row>
    <row r="721" spans="3:11" ht="15.75" customHeight="1" x14ac:dyDescent="0.2">
      <c r="C721" s="15">
        <v>42534</v>
      </c>
      <c r="D721" s="185">
        <v>0.54305555555555551</v>
      </c>
      <c r="E721" s="3">
        <v>14</v>
      </c>
      <c r="F721" s="190">
        <v>9.16</v>
      </c>
      <c r="G721" s="190">
        <v>82.6</v>
      </c>
      <c r="H721" s="3">
        <v>10.7</v>
      </c>
    </row>
    <row r="722" spans="3:11" ht="15.75" customHeight="1" x14ac:dyDescent="0.2">
      <c r="C722" s="15">
        <v>42534</v>
      </c>
      <c r="D722" s="185">
        <v>0.54305555555555551</v>
      </c>
      <c r="E722" s="3">
        <v>15</v>
      </c>
      <c r="F722" s="190">
        <v>9.1999999999999993</v>
      </c>
      <c r="G722" s="190">
        <v>81.7</v>
      </c>
      <c r="H722" s="3">
        <v>10.1</v>
      </c>
    </row>
    <row r="723" spans="3:11" ht="15.75" customHeight="1" x14ac:dyDescent="0.2">
      <c r="C723" s="15">
        <v>42534</v>
      </c>
      <c r="D723" s="185">
        <v>0.54305555555555551</v>
      </c>
      <c r="E723" s="3">
        <v>16</v>
      </c>
      <c r="F723" s="190">
        <v>9.19</v>
      </c>
      <c r="G723" s="190">
        <v>80.900000000000006</v>
      </c>
      <c r="H723" s="3">
        <v>9.6999999999999993</v>
      </c>
    </row>
    <row r="724" spans="3:11" ht="15.75" customHeight="1" x14ac:dyDescent="0.2">
      <c r="C724" s="15">
        <v>42534</v>
      </c>
      <c r="D724" s="185">
        <v>0.54305555555555551</v>
      </c>
      <c r="E724" s="3">
        <v>17</v>
      </c>
      <c r="F724" s="190">
        <v>9.1999999999999993</v>
      </c>
      <c r="G724" s="190">
        <v>80.3</v>
      </c>
      <c r="H724" s="3">
        <v>9.5</v>
      </c>
      <c r="J724" s="1"/>
      <c r="K724" s="1"/>
    </row>
    <row r="725" spans="3:11" ht="15.75" customHeight="1" x14ac:dyDescent="0.2">
      <c r="C725" s="15">
        <v>42534</v>
      </c>
      <c r="D725" s="185">
        <v>0.54305555555555551</v>
      </c>
      <c r="E725" s="3">
        <v>18</v>
      </c>
      <c r="F725" s="190">
        <v>9.1999999999999993</v>
      </c>
      <c r="G725" s="190">
        <v>80</v>
      </c>
      <c r="H725" s="3">
        <v>9.3000000000000007</v>
      </c>
    </row>
    <row r="726" spans="3:11" ht="15.75" customHeight="1" x14ac:dyDescent="0.2">
      <c r="C726" s="15">
        <v>42534</v>
      </c>
      <c r="D726" s="185">
        <v>0.54305555555555551</v>
      </c>
      <c r="E726" s="3">
        <v>19</v>
      </c>
      <c r="F726" s="190">
        <v>9.17</v>
      </c>
      <c r="G726" s="190">
        <v>78.099999999999994</v>
      </c>
      <c r="H726" s="3">
        <v>8.4</v>
      </c>
      <c r="K726" s="1"/>
    </row>
    <row r="727" spans="3:11" ht="15.75" customHeight="1" x14ac:dyDescent="0.2">
      <c r="C727" s="15">
        <v>42534</v>
      </c>
      <c r="D727" s="185">
        <v>0.54305555555555551</v>
      </c>
      <c r="E727" s="3">
        <v>20</v>
      </c>
      <c r="F727" s="190">
        <v>9.17</v>
      </c>
      <c r="G727" s="190">
        <v>77</v>
      </c>
      <c r="H727" s="3">
        <v>7.8</v>
      </c>
    </row>
    <row r="728" spans="3:11" ht="15.75" customHeight="1" x14ac:dyDescent="0.2">
      <c r="C728" s="15">
        <v>42534</v>
      </c>
      <c r="D728" s="185">
        <v>0.54305555555555551</v>
      </c>
      <c r="E728" s="3">
        <v>25</v>
      </c>
      <c r="F728" s="190">
        <v>9</v>
      </c>
      <c r="G728" s="190">
        <v>73.7</v>
      </c>
      <c r="H728" s="3">
        <v>6.8</v>
      </c>
    </row>
    <row r="729" spans="3:11" ht="15.75" customHeight="1" x14ac:dyDescent="0.2">
      <c r="C729" s="15">
        <v>42534</v>
      </c>
      <c r="D729" s="185">
        <v>0.54305555555555551</v>
      </c>
      <c r="E729" s="3">
        <v>30</v>
      </c>
      <c r="F729" s="190">
        <v>8.86</v>
      </c>
      <c r="G729" s="190">
        <v>71.5</v>
      </c>
      <c r="H729" s="3">
        <v>6.2</v>
      </c>
      <c r="K729" s="1"/>
    </row>
    <row r="730" spans="3:11" ht="15.75" customHeight="1" x14ac:dyDescent="0.2">
      <c r="C730" s="15">
        <v>42534</v>
      </c>
      <c r="D730" s="185">
        <v>0.54305555555555551</v>
      </c>
      <c r="E730" s="3">
        <v>35</v>
      </c>
      <c r="F730" s="190">
        <v>8.75</v>
      </c>
      <c r="G730" s="190">
        <v>69.900000000000006</v>
      </c>
      <c r="H730" s="3">
        <v>5.8</v>
      </c>
    </row>
    <row r="731" spans="3:11" ht="15.75" customHeight="1" x14ac:dyDescent="0.2">
      <c r="C731" s="15">
        <v>42534</v>
      </c>
      <c r="D731" s="185">
        <v>0.54305555555555551</v>
      </c>
      <c r="E731" s="3">
        <v>40</v>
      </c>
      <c r="F731" s="190">
        <v>8.6300000000000008</v>
      </c>
      <c r="G731" s="190">
        <v>68.400000000000006</v>
      </c>
      <c r="H731" s="3">
        <v>5.5</v>
      </c>
    </row>
    <row r="732" spans="3:11" ht="15.75" customHeight="1" x14ac:dyDescent="0.2">
      <c r="C732" s="15">
        <v>42534</v>
      </c>
      <c r="D732" s="185">
        <v>0.54305555555555551</v>
      </c>
      <c r="E732" s="3">
        <v>45</v>
      </c>
      <c r="F732" s="190">
        <v>8.5500000000000007</v>
      </c>
      <c r="G732" s="190">
        <v>67.599999999999994</v>
      </c>
      <c r="H732" s="3">
        <v>5.4</v>
      </c>
      <c r="K732" s="1"/>
    </row>
    <row r="733" spans="3:11" ht="15.75" customHeight="1" x14ac:dyDescent="0.2">
      <c r="C733" s="15">
        <v>42534</v>
      </c>
      <c r="D733" s="185">
        <v>0.54305555555555551</v>
      </c>
      <c r="E733" s="3">
        <v>50</v>
      </c>
      <c r="F733" s="190">
        <v>8.4600000000000009</v>
      </c>
      <c r="G733" s="190">
        <v>66.8</v>
      </c>
      <c r="H733" s="3">
        <v>5.3</v>
      </c>
    </row>
    <row r="734" spans="3:11" ht="15.75" customHeight="1" x14ac:dyDescent="0.2">
      <c r="C734" s="15">
        <v>42534</v>
      </c>
      <c r="D734" s="185">
        <v>0.54305555555555551</v>
      </c>
      <c r="E734" s="3">
        <v>55</v>
      </c>
      <c r="F734" s="190">
        <v>8.4</v>
      </c>
      <c r="G734" s="190">
        <v>66.099999999999994</v>
      </c>
      <c r="H734" s="3">
        <v>5.2</v>
      </c>
    </row>
    <row r="735" spans="3:11" ht="15.75" customHeight="1" x14ac:dyDescent="0.2">
      <c r="C735" s="15">
        <v>42534</v>
      </c>
      <c r="D735" s="185">
        <v>0.54305555555555551</v>
      </c>
      <c r="E735" s="3">
        <v>60</v>
      </c>
      <c r="F735" s="190">
        <v>8.35</v>
      </c>
      <c r="G735" s="190">
        <v>65.5</v>
      </c>
      <c r="H735" s="3">
        <v>5.0999999999999996</v>
      </c>
      <c r="K735" s="1"/>
    </row>
    <row r="736" spans="3:11" ht="15.75" customHeight="1" x14ac:dyDescent="0.2">
      <c r="C736" s="15">
        <v>42534</v>
      </c>
      <c r="D736" s="185">
        <v>0.54305555555555551</v>
      </c>
      <c r="E736" s="3">
        <v>65</v>
      </c>
      <c r="F736" s="190">
        <v>8.26</v>
      </c>
      <c r="G736" s="190">
        <v>64.7</v>
      </c>
      <c r="H736" s="3">
        <v>5</v>
      </c>
    </row>
    <row r="737" spans="3:12" ht="15.75" customHeight="1" x14ac:dyDescent="0.2">
      <c r="C737" s="15">
        <v>42534</v>
      </c>
      <c r="D737" s="185">
        <v>0.54305555555555551</v>
      </c>
      <c r="E737" s="3">
        <v>70</v>
      </c>
      <c r="F737" s="190">
        <v>8.16</v>
      </c>
      <c r="G737" s="190">
        <v>63.8</v>
      </c>
      <c r="H737" s="3">
        <v>5</v>
      </c>
    </row>
    <row r="738" spans="3:12" ht="15.75" customHeight="1" x14ac:dyDescent="0.2">
      <c r="C738" s="15">
        <v>42534</v>
      </c>
      <c r="D738" s="185">
        <v>0.54305555555555551</v>
      </c>
      <c r="E738" s="3">
        <v>75</v>
      </c>
      <c r="F738" s="190">
        <v>8.1</v>
      </c>
      <c r="G738" s="190">
        <v>63.3</v>
      </c>
      <c r="H738" s="3">
        <v>4.9000000000000004</v>
      </c>
      <c r="K738" s="66"/>
    </row>
    <row r="739" spans="3:12" ht="15.75" customHeight="1" x14ac:dyDescent="0.2">
      <c r="C739" s="15">
        <v>42534</v>
      </c>
      <c r="D739" s="185">
        <v>0.54305555555555551</v>
      </c>
      <c r="E739" s="3">
        <v>80</v>
      </c>
      <c r="F739" s="190">
        <v>8.0299999999999994</v>
      </c>
      <c r="G739" s="190">
        <v>62.7</v>
      </c>
      <c r="H739" s="3">
        <v>4.9000000000000004</v>
      </c>
      <c r="K739" s="66"/>
    </row>
    <row r="740" spans="3:12" ht="15.75" customHeight="1" x14ac:dyDescent="0.2">
      <c r="C740" s="3"/>
      <c r="D740" s="19"/>
      <c r="E740" s="3"/>
      <c r="F740" s="3"/>
      <c r="G740" s="3"/>
      <c r="H740" s="3"/>
      <c r="I740" s="3"/>
      <c r="K740" s="66"/>
    </row>
    <row r="741" spans="3:12" ht="15.75" customHeight="1" x14ac:dyDescent="0.2">
      <c r="C741" s="3"/>
      <c r="D741" s="19"/>
      <c r="E741" s="3"/>
      <c r="F741" s="3"/>
      <c r="G741" s="3"/>
      <c r="H741" s="3"/>
      <c r="I741" s="3"/>
      <c r="K741" s="66"/>
      <c r="L741" s="66"/>
    </row>
    <row r="742" spans="3:12" ht="15.75" customHeight="1" x14ac:dyDescent="0.2">
      <c r="C742" s="3"/>
      <c r="D742" s="19"/>
      <c r="E742" s="3"/>
      <c r="F742" s="3"/>
      <c r="G742" s="3"/>
      <c r="H742" s="3"/>
      <c r="I742" s="3"/>
      <c r="K742" s="66"/>
      <c r="L742" s="66"/>
    </row>
    <row r="743" spans="3:12" ht="15.75" customHeight="1" x14ac:dyDescent="0.2">
      <c r="C743" s="15">
        <v>42290</v>
      </c>
      <c r="D743" s="19">
        <v>0.4236111111111111</v>
      </c>
      <c r="E743" s="3"/>
      <c r="F743" s="3"/>
      <c r="G743" s="3"/>
      <c r="H743" s="3"/>
      <c r="I743" s="3"/>
      <c r="J743">
        <v>9</v>
      </c>
      <c r="K743" s="66">
        <v>13</v>
      </c>
      <c r="L743" s="66"/>
    </row>
    <row r="744" spans="3:12" ht="15.75" customHeight="1" x14ac:dyDescent="0.2">
      <c r="C744" s="15">
        <v>42290</v>
      </c>
      <c r="D744" s="19">
        <v>0.42708333333333331</v>
      </c>
      <c r="E744" s="3">
        <v>0.1</v>
      </c>
      <c r="F744" s="190">
        <v>8.39</v>
      </c>
      <c r="G744" s="190">
        <v>82.3</v>
      </c>
      <c r="H744" s="3">
        <v>14.6</v>
      </c>
      <c r="I744" s="3"/>
      <c r="K744" s="66"/>
      <c r="L744" s="66"/>
    </row>
    <row r="745" spans="3:12" ht="15.75" customHeight="1" x14ac:dyDescent="0.2">
      <c r="C745" s="15">
        <v>42290</v>
      </c>
      <c r="D745" s="19">
        <v>0.42708333333333331</v>
      </c>
      <c r="E745" s="3">
        <v>1</v>
      </c>
      <c r="F745" s="3">
        <v>8.3000000000000007</v>
      </c>
      <c r="G745" s="190">
        <v>81.7</v>
      </c>
      <c r="H745" s="3">
        <v>14.7</v>
      </c>
      <c r="I745" s="3"/>
      <c r="K745" s="66"/>
      <c r="L745" s="66"/>
    </row>
    <row r="746" spans="3:12" ht="15.75" customHeight="1" x14ac:dyDescent="0.2">
      <c r="C746" s="15">
        <v>42290</v>
      </c>
      <c r="D746" s="19">
        <v>0.42708333333333331</v>
      </c>
      <c r="E746" s="3">
        <v>2</v>
      </c>
      <c r="F746" s="3">
        <v>8.26</v>
      </c>
      <c r="G746" s="190">
        <v>81.400000000000006</v>
      </c>
      <c r="H746" s="3">
        <v>14.7</v>
      </c>
      <c r="I746" s="3"/>
      <c r="K746" s="66"/>
      <c r="L746" s="66"/>
    </row>
    <row r="747" spans="3:12" ht="15.75" customHeight="1" x14ac:dyDescent="0.2">
      <c r="C747" s="15">
        <v>42290</v>
      </c>
      <c r="D747" s="19">
        <v>0.42708333333333331</v>
      </c>
      <c r="E747" s="3">
        <v>3</v>
      </c>
      <c r="F747" s="3">
        <v>8.23</v>
      </c>
      <c r="G747" s="190">
        <v>81</v>
      </c>
      <c r="H747" s="3">
        <v>14.7</v>
      </c>
      <c r="I747" s="3"/>
      <c r="K747" s="66"/>
      <c r="L747" s="66"/>
    </row>
    <row r="748" spans="3:12" ht="15.75" customHeight="1" x14ac:dyDescent="0.2">
      <c r="C748" s="15">
        <v>42290</v>
      </c>
      <c r="D748" s="19">
        <v>0.42708333333333331</v>
      </c>
      <c r="E748" s="3">
        <v>4</v>
      </c>
      <c r="F748" s="3">
        <v>8.18</v>
      </c>
      <c r="G748" s="190">
        <v>80.8</v>
      </c>
      <c r="H748" s="3">
        <v>14.8</v>
      </c>
      <c r="I748" s="3"/>
      <c r="K748" s="66"/>
      <c r="L748" s="66"/>
    </row>
    <row r="749" spans="3:12" ht="15.75" customHeight="1" x14ac:dyDescent="0.2">
      <c r="C749" s="15">
        <v>42290</v>
      </c>
      <c r="D749" s="19">
        <v>0.42708333333333331</v>
      </c>
      <c r="E749" s="3">
        <v>5</v>
      </c>
      <c r="F749" s="3">
        <v>8.16</v>
      </c>
      <c r="G749" s="190">
        <v>80.5</v>
      </c>
      <c r="H749" s="3">
        <v>14.8</v>
      </c>
      <c r="I749" s="3"/>
      <c r="K749" s="66"/>
      <c r="L749" s="66"/>
    </row>
    <row r="750" spans="3:12" ht="15.75" customHeight="1" x14ac:dyDescent="0.2">
      <c r="C750" s="15">
        <v>42290</v>
      </c>
      <c r="D750" s="19">
        <v>0.42708333333333331</v>
      </c>
      <c r="E750" s="3">
        <v>6</v>
      </c>
      <c r="F750" s="3">
        <v>8.1300000000000008</v>
      </c>
      <c r="G750" s="190">
        <v>80.2</v>
      </c>
      <c r="H750" s="3">
        <v>14.8</v>
      </c>
      <c r="I750" s="3"/>
      <c r="K750" s="66"/>
      <c r="L750" s="66"/>
    </row>
    <row r="751" spans="3:12" ht="15.75" customHeight="1" x14ac:dyDescent="0.2">
      <c r="C751" s="15">
        <v>42290</v>
      </c>
      <c r="D751" s="19">
        <v>0.42708333333333331</v>
      </c>
      <c r="E751" s="3">
        <v>7</v>
      </c>
      <c r="F751" s="3">
        <v>8.11</v>
      </c>
      <c r="G751" s="190">
        <v>80</v>
      </c>
      <c r="H751" s="3">
        <v>14.8</v>
      </c>
      <c r="I751" s="3"/>
      <c r="K751" s="66"/>
      <c r="L751" s="66"/>
    </row>
    <row r="752" spans="3:12" ht="15.75" customHeight="1" x14ac:dyDescent="0.2">
      <c r="C752" s="15">
        <v>42290</v>
      </c>
      <c r="D752" s="19">
        <v>0.42708333333333331</v>
      </c>
      <c r="E752" s="3">
        <v>8</v>
      </c>
      <c r="F752" s="3">
        <v>8.09</v>
      </c>
      <c r="G752" s="190">
        <v>79.8</v>
      </c>
      <c r="H752" s="3">
        <v>14.8</v>
      </c>
      <c r="I752" s="3"/>
      <c r="K752" s="66"/>
      <c r="L752" s="66"/>
    </row>
    <row r="753" spans="3:12" ht="15.75" customHeight="1" x14ac:dyDescent="0.2">
      <c r="C753" s="15">
        <v>42290</v>
      </c>
      <c r="D753" s="19">
        <v>0.42708333333333331</v>
      </c>
      <c r="E753" s="3">
        <v>9</v>
      </c>
      <c r="F753" s="3">
        <v>8.07</v>
      </c>
      <c r="G753" s="190">
        <v>79.599999999999994</v>
      </c>
      <c r="H753" s="3">
        <v>14.8</v>
      </c>
      <c r="I753" s="3"/>
      <c r="K753" s="66"/>
      <c r="L753" s="66"/>
    </row>
    <row r="754" spans="3:12" ht="15.75" customHeight="1" x14ac:dyDescent="0.2">
      <c r="C754" s="15">
        <v>42290</v>
      </c>
      <c r="D754" s="19">
        <v>0.42708333333333331</v>
      </c>
      <c r="E754" s="3">
        <v>10</v>
      </c>
      <c r="F754" s="3">
        <v>8.0500000000000007</v>
      </c>
      <c r="G754" s="190">
        <v>79.5</v>
      </c>
      <c r="H754" s="3">
        <v>14.8</v>
      </c>
      <c r="I754" s="3"/>
      <c r="K754" s="66"/>
      <c r="L754" s="66"/>
    </row>
    <row r="755" spans="3:12" ht="15.75" customHeight="1" x14ac:dyDescent="0.2">
      <c r="C755" s="15">
        <v>42290</v>
      </c>
      <c r="D755" s="19">
        <v>0.42708333333333331</v>
      </c>
      <c r="E755" s="3">
        <v>11</v>
      </c>
      <c r="F755" s="3">
        <v>8.0399999999999991</v>
      </c>
      <c r="G755" s="190">
        <v>79.3</v>
      </c>
      <c r="H755" s="3">
        <v>14.8</v>
      </c>
      <c r="I755" s="3"/>
      <c r="K755" s="66"/>
      <c r="L755" s="66"/>
    </row>
    <row r="756" spans="3:12" ht="15.75" customHeight="1" x14ac:dyDescent="0.2">
      <c r="C756" s="15">
        <v>42290</v>
      </c>
      <c r="D756" s="19">
        <v>0.42708333333333331</v>
      </c>
      <c r="E756" s="3">
        <v>12</v>
      </c>
      <c r="F756" s="3">
        <v>8.02</v>
      </c>
      <c r="G756" s="190">
        <v>79.2</v>
      </c>
      <c r="H756" s="3">
        <v>14.8</v>
      </c>
      <c r="I756" s="3"/>
      <c r="K756" s="66"/>
      <c r="L756" s="66"/>
    </row>
    <row r="757" spans="3:12" ht="15.75" customHeight="1" x14ac:dyDescent="0.2">
      <c r="C757" s="15">
        <v>42290</v>
      </c>
      <c r="D757" s="19">
        <v>0.42708333333333331</v>
      </c>
      <c r="E757" s="3">
        <v>13</v>
      </c>
      <c r="F757" s="3">
        <v>8.01</v>
      </c>
      <c r="G757" s="190">
        <v>79</v>
      </c>
      <c r="H757" s="3">
        <v>14.8</v>
      </c>
      <c r="I757" s="3"/>
      <c r="K757" s="66"/>
      <c r="L757" s="66"/>
    </row>
    <row r="758" spans="3:12" ht="15.75" customHeight="1" x14ac:dyDescent="0.2">
      <c r="C758" s="15">
        <v>42290</v>
      </c>
      <c r="D758" s="19">
        <v>0.42708333333333331</v>
      </c>
      <c r="E758" s="3">
        <v>14</v>
      </c>
      <c r="F758" s="3">
        <v>8</v>
      </c>
      <c r="G758" s="190">
        <v>78.900000000000006</v>
      </c>
      <c r="H758" s="3">
        <v>14.8</v>
      </c>
      <c r="I758" s="3"/>
      <c r="K758" s="66"/>
      <c r="L758" s="66"/>
    </row>
    <row r="759" spans="3:12" ht="15.75" customHeight="1" x14ac:dyDescent="0.2">
      <c r="C759" s="15">
        <v>42290</v>
      </c>
      <c r="D759" s="19">
        <v>0.42708333333333331</v>
      </c>
      <c r="E759" s="3">
        <v>15</v>
      </c>
      <c r="F759" s="3">
        <v>8.02</v>
      </c>
      <c r="G759" s="190">
        <v>78.400000000000006</v>
      </c>
      <c r="H759" s="3">
        <v>14.4</v>
      </c>
      <c r="I759" s="3"/>
      <c r="K759" s="66"/>
      <c r="L759" s="66"/>
    </row>
    <row r="760" spans="3:12" ht="15.75" customHeight="1" x14ac:dyDescent="0.2">
      <c r="C760" s="15">
        <v>42290</v>
      </c>
      <c r="D760" s="19">
        <v>0.42708333333333331</v>
      </c>
      <c r="E760" s="3">
        <v>16</v>
      </c>
      <c r="F760" s="3">
        <v>8.43</v>
      </c>
      <c r="G760" s="190">
        <v>77.5</v>
      </c>
      <c r="H760" s="3">
        <v>11.4</v>
      </c>
      <c r="I760" s="3"/>
      <c r="K760" s="66"/>
      <c r="L760" s="66"/>
    </row>
    <row r="761" spans="3:12" ht="15.75" customHeight="1" x14ac:dyDescent="0.2">
      <c r="C761" s="15">
        <v>42290</v>
      </c>
      <c r="D761" s="19">
        <v>0.42708333333333331</v>
      </c>
      <c r="E761" s="3">
        <v>17</v>
      </c>
      <c r="F761" s="3">
        <v>8.74</v>
      </c>
      <c r="G761" s="190">
        <v>77.3</v>
      </c>
      <c r="H761" s="3">
        <v>9.9</v>
      </c>
      <c r="I761" s="3"/>
      <c r="K761" s="66"/>
      <c r="L761" s="66"/>
    </row>
    <row r="762" spans="3:12" ht="15.75" customHeight="1" x14ac:dyDescent="0.2">
      <c r="C762" s="15">
        <v>42290</v>
      </c>
      <c r="D762" s="19">
        <v>0.42708333333333331</v>
      </c>
      <c r="E762" s="3">
        <v>18</v>
      </c>
      <c r="F762" s="3">
        <v>8.93</v>
      </c>
      <c r="G762" s="190">
        <v>77.400000000000006</v>
      </c>
      <c r="H762" s="3">
        <v>9.1999999999999993</v>
      </c>
      <c r="I762" s="3"/>
      <c r="K762" s="66"/>
      <c r="L762" s="66"/>
    </row>
    <row r="763" spans="3:12" ht="15.75" customHeight="1" x14ac:dyDescent="0.2">
      <c r="C763" s="15">
        <v>42290</v>
      </c>
      <c r="D763" s="19">
        <v>0.42708333333333331</v>
      </c>
      <c r="E763" s="3">
        <v>19</v>
      </c>
      <c r="F763" s="3">
        <v>8.8699999999999992</v>
      </c>
      <c r="G763" s="190">
        <v>75.3</v>
      </c>
      <c r="H763" s="3">
        <v>8.5</v>
      </c>
      <c r="I763" s="3"/>
      <c r="K763" s="66"/>
      <c r="L763" s="66"/>
    </row>
    <row r="764" spans="3:12" ht="15.75" customHeight="1" x14ac:dyDescent="0.2">
      <c r="C764" s="15">
        <v>42290</v>
      </c>
      <c r="D764" s="19">
        <v>0.42708333333333331</v>
      </c>
      <c r="E764" s="3">
        <v>20</v>
      </c>
      <c r="F764" s="3">
        <v>8.73</v>
      </c>
      <c r="G764" s="190">
        <v>73.3</v>
      </c>
      <c r="H764" s="3">
        <v>8</v>
      </c>
      <c r="I764" s="3"/>
      <c r="K764" s="66"/>
      <c r="L764" s="66"/>
    </row>
    <row r="765" spans="3:12" ht="15.75" customHeight="1" x14ac:dyDescent="0.2">
      <c r="C765" s="15">
        <v>42290</v>
      </c>
      <c r="D765" s="19">
        <v>0.42708333333333331</v>
      </c>
      <c r="E765" s="3">
        <v>21</v>
      </c>
      <c r="F765" s="3">
        <v>8.6300000000000008</v>
      </c>
      <c r="G765" s="190">
        <v>72.400000000000006</v>
      </c>
      <c r="H765" s="3">
        <v>7.8</v>
      </c>
      <c r="I765" s="3"/>
      <c r="K765" s="66"/>
      <c r="L765" s="66"/>
    </row>
    <row r="766" spans="3:12" ht="15.75" customHeight="1" x14ac:dyDescent="0.2">
      <c r="C766" s="15">
        <v>42290</v>
      </c>
      <c r="D766" s="19">
        <v>0.42708333333333331</v>
      </c>
      <c r="E766" s="3">
        <v>22</v>
      </c>
      <c r="F766" s="3">
        <v>8.52</v>
      </c>
      <c r="G766" s="190">
        <v>71</v>
      </c>
      <c r="H766" s="3">
        <v>7.7</v>
      </c>
      <c r="I766" s="3"/>
      <c r="K766" s="66"/>
      <c r="L766" s="66"/>
    </row>
    <row r="767" spans="3:12" ht="15.75" customHeight="1" x14ac:dyDescent="0.2">
      <c r="C767" s="15">
        <v>42290</v>
      </c>
      <c r="D767" s="19">
        <v>0.42708333333333331</v>
      </c>
      <c r="E767" s="3">
        <v>23</v>
      </c>
      <c r="F767" s="3">
        <v>8.44</v>
      </c>
      <c r="G767" s="190">
        <v>69.900000000000006</v>
      </c>
      <c r="H767" s="3">
        <v>7.4</v>
      </c>
      <c r="I767" s="3"/>
      <c r="K767" s="66"/>
      <c r="L767" s="66"/>
    </row>
    <row r="768" spans="3:12" ht="15.75" customHeight="1" x14ac:dyDescent="0.2">
      <c r="C768" s="15">
        <v>42290</v>
      </c>
      <c r="D768" s="19">
        <v>0.42708333333333331</v>
      </c>
      <c r="E768" s="3">
        <v>24</v>
      </c>
      <c r="F768" s="3">
        <v>8.35</v>
      </c>
      <c r="G768" s="190">
        <v>69</v>
      </c>
      <c r="H768" s="3">
        <v>7.2</v>
      </c>
      <c r="I768" s="3"/>
      <c r="K768" s="66"/>
      <c r="L768" s="66"/>
    </row>
    <row r="769" spans="3:12" ht="15.75" customHeight="1" x14ac:dyDescent="0.2">
      <c r="C769" s="15">
        <v>42290</v>
      </c>
      <c r="D769" s="19">
        <v>0.42708333333333331</v>
      </c>
      <c r="E769" s="3">
        <v>25</v>
      </c>
      <c r="F769" s="3">
        <v>8.27</v>
      </c>
      <c r="G769" s="190">
        <v>68.2</v>
      </c>
      <c r="H769" s="3">
        <v>7.1</v>
      </c>
      <c r="I769" s="3"/>
      <c r="K769" s="66"/>
      <c r="L769" s="66"/>
    </row>
    <row r="770" spans="3:12" ht="15.75" customHeight="1" x14ac:dyDescent="0.2">
      <c r="C770" s="15">
        <v>42290</v>
      </c>
      <c r="D770" s="19">
        <v>0.42708333333333331</v>
      </c>
      <c r="E770" s="3">
        <v>30</v>
      </c>
      <c r="F770" s="3">
        <v>8.11</v>
      </c>
      <c r="G770" s="190">
        <v>66.2</v>
      </c>
      <c r="H770" s="3">
        <v>6.7</v>
      </c>
      <c r="I770" s="3"/>
      <c r="K770" s="66"/>
      <c r="L770" s="66"/>
    </row>
    <row r="771" spans="3:12" ht="15.75" customHeight="1" x14ac:dyDescent="0.2">
      <c r="C771" s="15">
        <v>42290</v>
      </c>
      <c r="D771" s="19">
        <v>0.42708333333333331</v>
      </c>
      <c r="E771" s="3">
        <v>35</v>
      </c>
      <c r="F771" s="3">
        <v>8</v>
      </c>
      <c r="G771" s="190">
        <v>64.8</v>
      </c>
      <c r="H771" s="3">
        <v>6.5</v>
      </c>
      <c r="I771" s="3"/>
      <c r="K771" s="66"/>
      <c r="L771" s="66"/>
    </row>
    <row r="772" spans="3:12" ht="15.75" customHeight="1" x14ac:dyDescent="0.2">
      <c r="C772" s="15">
        <v>42290</v>
      </c>
      <c r="D772" s="19">
        <v>0.42708333333333331</v>
      </c>
      <c r="E772" s="3">
        <v>40</v>
      </c>
      <c r="F772" s="3">
        <v>7.88</v>
      </c>
      <c r="G772" s="190">
        <v>63.7</v>
      </c>
      <c r="H772" s="3">
        <v>6.3</v>
      </c>
      <c r="I772" s="3"/>
      <c r="K772" s="66"/>
      <c r="L772" s="66"/>
    </row>
    <row r="773" spans="3:12" ht="15.75" customHeight="1" x14ac:dyDescent="0.2">
      <c r="C773" s="15">
        <v>42290</v>
      </c>
      <c r="D773" s="19">
        <v>0.42708333333333331</v>
      </c>
      <c r="E773" s="3">
        <v>45</v>
      </c>
      <c r="F773" s="3">
        <v>7.79</v>
      </c>
      <c r="G773" s="190">
        <v>62.7</v>
      </c>
      <c r="H773" s="3">
        <v>6.1</v>
      </c>
      <c r="I773" s="3"/>
      <c r="K773" s="66"/>
      <c r="L773" s="66"/>
    </row>
    <row r="774" spans="3:12" ht="15.75" customHeight="1" x14ac:dyDescent="0.2">
      <c r="C774" s="15">
        <v>42290</v>
      </c>
      <c r="D774" s="19">
        <v>0.42708333333333331</v>
      </c>
      <c r="E774" s="3">
        <v>50</v>
      </c>
      <c r="F774" s="3">
        <v>7.7</v>
      </c>
      <c r="G774" s="190">
        <v>61.6</v>
      </c>
      <c r="H774" s="3">
        <v>5.8</v>
      </c>
      <c r="I774" s="3"/>
      <c r="K774" s="66"/>
      <c r="L774" s="66"/>
    </row>
    <row r="775" spans="3:12" ht="15.75" customHeight="1" x14ac:dyDescent="0.2">
      <c r="C775" s="15">
        <v>42290</v>
      </c>
      <c r="D775" s="19">
        <v>0.42708333333333331</v>
      </c>
      <c r="E775" s="3">
        <v>55</v>
      </c>
      <c r="F775" s="3">
        <v>7.68</v>
      </c>
      <c r="G775" s="190">
        <v>60.9</v>
      </c>
      <c r="H775" s="3">
        <v>5.5</v>
      </c>
      <c r="I775" s="3"/>
      <c r="K775" s="66"/>
      <c r="L775" s="66"/>
    </row>
    <row r="776" spans="3:12" ht="15.75" customHeight="1" x14ac:dyDescent="0.2">
      <c r="C776" s="15">
        <v>42290</v>
      </c>
      <c r="D776" s="19">
        <v>0.42708333333333331</v>
      </c>
      <c r="E776" s="3">
        <v>60</v>
      </c>
      <c r="F776" s="3">
        <v>7.63</v>
      </c>
      <c r="G776" s="190">
        <v>60.3</v>
      </c>
      <c r="H776" s="3">
        <v>5.4</v>
      </c>
      <c r="I776" s="3"/>
      <c r="K776" s="66"/>
      <c r="L776" s="66"/>
    </row>
    <row r="777" spans="3:12" ht="15.75" customHeight="1" x14ac:dyDescent="0.2">
      <c r="C777" s="15">
        <v>42290</v>
      </c>
      <c r="D777" s="19">
        <v>0.42708333333333331</v>
      </c>
      <c r="E777" s="3">
        <v>65</v>
      </c>
      <c r="F777" s="3">
        <v>7.62</v>
      </c>
      <c r="G777" s="190">
        <v>60.1</v>
      </c>
      <c r="H777" s="3">
        <v>5.2</v>
      </c>
      <c r="I777" s="3"/>
      <c r="K777" s="66"/>
      <c r="L777" s="66"/>
    </row>
    <row r="778" spans="3:12" ht="15.75" customHeight="1" x14ac:dyDescent="0.2">
      <c r="C778" s="15">
        <v>42290</v>
      </c>
      <c r="D778" s="19">
        <v>0.42708333333333331</v>
      </c>
      <c r="E778" s="3">
        <v>70</v>
      </c>
      <c r="F778" s="3">
        <v>7.64</v>
      </c>
      <c r="G778" s="190">
        <v>59.9</v>
      </c>
      <c r="H778" s="3">
        <v>5.0999999999999996</v>
      </c>
      <c r="I778" s="3"/>
      <c r="K778" s="66"/>
      <c r="L778" s="66"/>
    </row>
    <row r="779" spans="3:12" ht="15.75" customHeight="1" x14ac:dyDescent="0.2">
      <c r="C779" s="15">
        <v>42290</v>
      </c>
      <c r="D779" s="19">
        <v>0.42708333333333331</v>
      </c>
      <c r="E779" s="3">
        <v>75</v>
      </c>
      <c r="F779" s="3">
        <v>7.58</v>
      </c>
      <c r="G779" s="190">
        <v>59.3</v>
      </c>
      <c r="H779" s="3">
        <v>5.0999999999999996</v>
      </c>
      <c r="I779" s="3"/>
      <c r="K779" s="66"/>
      <c r="L779" s="66"/>
    </row>
    <row r="780" spans="3:12" ht="15.75" customHeight="1" x14ac:dyDescent="0.2">
      <c r="C780" s="15">
        <v>42290</v>
      </c>
      <c r="D780" s="19">
        <v>0.42708333333333331</v>
      </c>
      <c r="E780" s="3">
        <v>80</v>
      </c>
      <c r="F780" s="3">
        <v>7.48</v>
      </c>
      <c r="G780" s="190">
        <v>58.5</v>
      </c>
      <c r="H780" s="3">
        <v>5</v>
      </c>
      <c r="I780" s="3"/>
      <c r="K780" s="66"/>
      <c r="L780" s="66"/>
    </row>
    <row r="781" spans="3:12" ht="15.75" customHeight="1" x14ac:dyDescent="0.2">
      <c r="C781" s="15">
        <v>42290</v>
      </c>
      <c r="D781" s="19">
        <v>0.42708333333333331</v>
      </c>
      <c r="E781" s="3">
        <v>85</v>
      </c>
      <c r="F781" s="3">
        <v>7.39</v>
      </c>
      <c r="G781" s="190">
        <v>57.6</v>
      </c>
      <c r="H781" s="3">
        <v>4.9000000000000004</v>
      </c>
      <c r="I781" s="3"/>
      <c r="K781" s="66"/>
      <c r="L781" s="66"/>
    </row>
    <row r="782" spans="3:12" ht="15.75" customHeight="1" x14ac:dyDescent="0.2">
      <c r="C782" s="15">
        <v>42290</v>
      </c>
      <c r="D782" s="19">
        <v>0.42708333333333331</v>
      </c>
      <c r="E782" s="3">
        <v>90</v>
      </c>
      <c r="F782" s="3">
        <v>7.06</v>
      </c>
      <c r="G782" s="190">
        <v>54.5</v>
      </c>
      <c r="H782" s="3">
        <v>4.9000000000000004</v>
      </c>
      <c r="I782" s="3"/>
      <c r="K782" s="66"/>
      <c r="L782" s="66"/>
    </row>
    <row r="783" spans="3:12" ht="15.75" customHeight="1" x14ac:dyDescent="0.2">
      <c r="C783" s="15">
        <v>42290</v>
      </c>
      <c r="D783" s="19">
        <v>0.42708333333333331</v>
      </c>
      <c r="E783" s="3">
        <v>95</v>
      </c>
      <c r="F783" s="3">
        <v>6.41</v>
      </c>
      <c r="G783" s="190">
        <v>49.7</v>
      </c>
      <c r="H783" s="3">
        <v>4.8</v>
      </c>
      <c r="I783" s="3"/>
      <c r="K783" s="66"/>
      <c r="L783" s="66"/>
    </row>
    <row r="784" spans="3:12" ht="15.75" customHeight="1" x14ac:dyDescent="0.2">
      <c r="C784" s="15">
        <v>42290</v>
      </c>
      <c r="D784" s="19">
        <v>0.42708333333333331</v>
      </c>
      <c r="E784" s="3">
        <v>100</v>
      </c>
      <c r="F784" s="3">
        <v>6.03</v>
      </c>
      <c r="G784" s="190">
        <v>46.9</v>
      </c>
      <c r="H784" s="3">
        <v>4.8</v>
      </c>
      <c r="I784" s="3"/>
      <c r="K784" s="66"/>
      <c r="L784" s="66"/>
    </row>
    <row r="785" spans="3:12" ht="15.75" customHeight="1" x14ac:dyDescent="0.2">
      <c r="C785" s="3"/>
      <c r="D785" s="3"/>
      <c r="E785" s="3"/>
      <c r="F785" s="3"/>
      <c r="H785" s="3"/>
      <c r="I785" s="3"/>
      <c r="K785" s="66"/>
      <c r="L785" s="66"/>
    </row>
    <row r="786" spans="3:12" ht="15.75" customHeight="1" x14ac:dyDescent="0.2">
      <c r="C786" s="3"/>
      <c r="D786" s="3"/>
      <c r="E786" s="3"/>
      <c r="F786" s="3"/>
      <c r="H786" s="3"/>
      <c r="I786" s="3"/>
      <c r="K786" s="66"/>
      <c r="L786" s="66"/>
    </row>
    <row r="787" spans="3:12" ht="15.75" customHeight="1" x14ac:dyDescent="0.2">
      <c r="C787" s="15">
        <v>42269</v>
      </c>
      <c r="D787" s="19">
        <v>0.46875</v>
      </c>
      <c r="E787" s="3"/>
      <c r="F787" s="3"/>
      <c r="H787" s="3"/>
      <c r="I787" s="3"/>
      <c r="J787">
        <v>11.5</v>
      </c>
      <c r="K787" s="66">
        <v>13</v>
      </c>
      <c r="L787" s="66"/>
    </row>
    <row r="788" spans="3:12" ht="15.75" customHeight="1" x14ac:dyDescent="0.2">
      <c r="C788" s="15">
        <v>42269</v>
      </c>
      <c r="D788" s="19">
        <v>0.46875</v>
      </c>
      <c r="E788" s="3">
        <v>0.1</v>
      </c>
      <c r="F788" s="3">
        <v>7.28</v>
      </c>
      <c r="G788" s="190">
        <v>75.2</v>
      </c>
      <c r="H788" s="3">
        <v>16.8</v>
      </c>
      <c r="I788" s="3"/>
      <c r="K788" s="66"/>
      <c r="L788" s="66"/>
    </row>
    <row r="789" spans="3:12" ht="15.75" customHeight="1" x14ac:dyDescent="0.2">
      <c r="C789" s="15">
        <v>42269</v>
      </c>
      <c r="D789" s="19">
        <v>0.46875</v>
      </c>
      <c r="E789" s="3">
        <v>1</v>
      </c>
      <c r="F789" s="3">
        <v>7.37</v>
      </c>
      <c r="G789" s="190">
        <v>75.400000000000006</v>
      </c>
      <c r="H789" s="3">
        <v>16.7</v>
      </c>
      <c r="I789" s="3"/>
      <c r="K789" s="66"/>
      <c r="L789" s="66"/>
    </row>
    <row r="790" spans="3:12" ht="15.75" customHeight="1" x14ac:dyDescent="0.2">
      <c r="C790" s="15">
        <v>42269</v>
      </c>
      <c r="D790" s="19">
        <v>0.46875</v>
      </c>
      <c r="E790" s="3">
        <v>2</v>
      </c>
      <c r="F790" s="3">
        <v>7.38</v>
      </c>
      <c r="G790" s="190">
        <v>75.400000000000006</v>
      </c>
      <c r="H790" s="3">
        <v>16.5</v>
      </c>
      <c r="I790" s="3"/>
      <c r="K790" s="66"/>
      <c r="L790" s="66"/>
    </row>
    <row r="791" spans="3:12" ht="15.75" customHeight="1" x14ac:dyDescent="0.2">
      <c r="C791" s="15">
        <v>42269</v>
      </c>
      <c r="D791" s="19">
        <v>0.46875</v>
      </c>
      <c r="E791" s="3">
        <v>3</v>
      </c>
      <c r="F791" s="3">
        <v>7.37</v>
      </c>
      <c r="G791" s="190">
        <v>75.3</v>
      </c>
      <c r="H791" s="3">
        <v>16.399999999999999</v>
      </c>
      <c r="I791" s="3"/>
      <c r="K791" s="66"/>
      <c r="L791" s="66"/>
    </row>
    <row r="792" spans="3:12" ht="15.75" customHeight="1" x14ac:dyDescent="0.2">
      <c r="C792" s="15">
        <v>42269</v>
      </c>
      <c r="D792" s="19">
        <v>0.46875</v>
      </c>
      <c r="E792" s="3">
        <v>4</v>
      </c>
      <c r="F792" s="3">
        <v>7.36</v>
      </c>
      <c r="G792" s="190">
        <v>75.2</v>
      </c>
      <c r="H792" s="3">
        <v>16.399999999999999</v>
      </c>
      <c r="I792" s="3"/>
      <c r="K792" s="66"/>
      <c r="L792" s="66"/>
    </row>
    <row r="793" spans="3:12" ht="15.75" customHeight="1" x14ac:dyDescent="0.2">
      <c r="C793" s="15">
        <v>42269</v>
      </c>
      <c r="D793" s="19">
        <v>0.46875</v>
      </c>
      <c r="E793" s="3">
        <v>5</v>
      </c>
      <c r="F793" s="3">
        <v>7.35</v>
      </c>
      <c r="G793" s="190">
        <v>75.099999999999994</v>
      </c>
      <c r="H793" s="3">
        <v>16.399999999999999</v>
      </c>
      <c r="I793" s="3"/>
      <c r="K793" s="66"/>
      <c r="L793" s="66"/>
    </row>
    <row r="794" spans="3:12" ht="15.75" customHeight="1" x14ac:dyDescent="0.2">
      <c r="C794" s="15">
        <v>42269</v>
      </c>
      <c r="D794" s="19">
        <v>0.46875</v>
      </c>
      <c r="E794" s="3">
        <v>6</v>
      </c>
      <c r="F794" s="3">
        <v>7.36</v>
      </c>
      <c r="G794" s="190">
        <v>75</v>
      </c>
      <c r="H794" s="3">
        <v>16.399999999999999</v>
      </c>
      <c r="I794" s="3"/>
      <c r="K794" s="66"/>
      <c r="L794" s="66"/>
    </row>
    <row r="795" spans="3:12" ht="15.75" customHeight="1" x14ac:dyDescent="0.2">
      <c r="C795" s="15">
        <v>42269</v>
      </c>
      <c r="D795" s="19">
        <v>0.46875</v>
      </c>
      <c r="E795" s="3">
        <v>7</v>
      </c>
      <c r="F795" s="3">
        <v>7.34</v>
      </c>
      <c r="G795" s="190">
        <v>74.900000000000006</v>
      </c>
      <c r="H795" s="3">
        <v>16.3</v>
      </c>
      <c r="I795" s="3"/>
      <c r="K795" s="66"/>
      <c r="L795" s="66"/>
    </row>
    <row r="796" spans="3:12" ht="15.75" customHeight="1" x14ac:dyDescent="0.2">
      <c r="C796" s="15">
        <v>42269</v>
      </c>
      <c r="D796" s="19">
        <v>0.46875</v>
      </c>
      <c r="E796" s="3">
        <v>8</v>
      </c>
      <c r="F796" s="3">
        <v>7.34</v>
      </c>
      <c r="G796" s="190">
        <v>74.8</v>
      </c>
      <c r="H796" s="3">
        <v>16.3</v>
      </c>
      <c r="I796" s="3"/>
      <c r="K796" s="66"/>
      <c r="L796" s="66"/>
    </row>
    <row r="797" spans="3:12" ht="15.75" customHeight="1" x14ac:dyDescent="0.2">
      <c r="C797" s="15">
        <v>42269</v>
      </c>
      <c r="D797" s="19">
        <v>0.46875</v>
      </c>
      <c r="E797" s="3">
        <v>9</v>
      </c>
      <c r="F797" s="3">
        <v>7.32</v>
      </c>
      <c r="G797" s="190">
        <v>74.599999999999994</v>
      </c>
      <c r="H797" s="3">
        <v>16.3</v>
      </c>
      <c r="I797" s="3"/>
      <c r="K797" s="66"/>
      <c r="L797" s="66"/>
    </row>
    <row r="798" spans="3:12" ht="15.75" customHeight="1" x14ac:dyDescent="0.2">
      <c r="C798" s="15">
        <v>42269</v>
      </c>
      <c r="D798" s="19">
        <v>0.46875</v>
      </c>
      <c r="E798" s="3">
        <v>10</v>
      </c>
      <c r="F798" s="3">
        <v>7.33</v>
      </c>
      <c r="G798" s="190">
        <v>74.5</v>
      </c>
      <c r="H798" s="3">
        <v>16.3</v>
      </c>
      <c r="I798" s="3"/>
      <c r="K798" s="66"/>
      <c r="L798" s="66"/>
    </row>
    <row r="799" spans="3:12" ht="15.75" customHeight="1" x14ac:dyDescent="0.2">
      <c r="C799" s="15">
        <v>42269</v>
      </c>
      <c r="D799" s="19">
        <v>0.46875</v>
      </c>
      <c r="E799" s="3">
        <v>11</v>
      </c>
      <c r="F799" s="3">
        <v>7.31</v>
      </c>
      <c r="G799" s="190">
        <v>74.400000000000006</v>
      </c>
      <c r="H799" s="3">
        <v>16.2</v>
      </c>
      <c r="I799" s="3"/>
      <c r="K799" s="66"/>
      <c r="L799" s="66"/>
    </row>
    <row r="800" spans="3:12" ht="15.75" customHeight="1" x14ac:dyDescent="0.2">
      <c r="C800" s="15">
        <v>42269</v>
      </c>
      <c r="D800" s="19">
        <v>0.46875</v>
      </c>
      <c r="E800" s="3">
        <v>12</v>
      </c>
      <c r="F800" s="3">
        <v>7.3</v>
      </c>
      <c r="G800" s="190">
        <v>74.2</v>
      </c>
      <c r="H800" s="3">
        <v>16.2</v>
      </c>
      <c r="I800" s="3"/>
      <c r="K800" s="66"/>
      <c r="L800" s="66"/>
    </row>
    <row r="801" spans="3:12" ht="15.75" customHeight="1" x14ac:dyDescent="0.2">
      <c r="C801" s="15">
        <v>42269</v>
      </c>
      <c r="D801" s="19">
        <v>0.46875</v>
      </c>
      <c r="E801" s="3">
        <v>13</v>
      </c>
      <c r="F801" s="3">
        <v>7.3</v>
      </c>
      <c r="G801" s="190">
        <v>74.099999999999994</v>
      </c>
      <c r="H801" s="3">
        <v>16.2</v>
      </c>
      <c r="I801" s="3"/>
      <c r="K801" s="66"/>
      <c r="L801" s="66"/>
    </row>
    <row r="802" spans="3:12" ht="15.75" customHeight="1" x14ac:dyDescent="0.2">
      <c r="C802" s="15">
        <v>42269</v>
      </c>
      <c r="D802" s="19">
        <v>0.46875</v>
      </c>
      <c r="E802" s="3">
        <v>14</v>
      </c>
      <c r="F802" s="3">
        <v>7.74</v>
      </c>
      <c r="G802" s="190">
        <v>77.2</v>
      </c>
      <c r="H802" s="3">
        <v>15</v>
      </c>
      <c r="I802" s="3"/>
      <c r="K802" s="66"/>
      <c r="L802" s="66"/>
    </row>
    <row r="803" spans="3:12" ht="15.75" customHeight="1" x14ac:dyDescent="0.2">
      <c r="C803" s="15">
        <v>42269</v>
      </c>
      <c r="D803" s="19">
        <v>0.46875</v>
      </c>
      <c r="E803" s="3">
        <v>15</v>
      </c>
      <c r="F803" s="3">
        <v>8</v>
      </c>
      <c r="G803" s="190">
        <v>77.099999999999994</v>
      </c>
      <c r="H803" s="3">
        <v>14.7</v>
      </c>
      <c r="I803" s="3"/>
      <c r="K803" s="66"/>
      <c r="L803" s="66"/>
    </row>
    <row r="804" spans="3:12" ht="15.75" customHeight="1" x14ac:dyDescent="0.2">
      <c r="C804" s="15">
        <v>42269</v>
      </c>
      <c r="D804" s="19">
        <v>0.46875</v>
      </c>
      <c r="E804" s="3">
        <v>16</v>
      </c>
      <c r="F804" s="3">
        <v>8.6199999999999992</v>
      </c>
      <c r="G804" s="190">
        <v>77.2</v>
      </c>
      <c r="H804" s="3">
        <v>10.4</v>
      </c>
      <c r="I804" s="3"/>
      <c r="K804" s="66"/>
      <c r="L804" s="66"/>
    </row>
    <row r="805" spans="3:12" ht="15.75" customHeight="1" x14ac:dyDescent="0.2">
      <c r="C805" s="15">
        <v>42269</v>
      </c>
      <c r="D805" s="19">
        <v>0.46875</v>
      </c>
      <c r="E805" s="3">
        <v>17</v>
      </c>
      <c r="F805" s="3">
        <v>8.67</v>
      </c>
      <c r="G805" s="190">
        <v>75.3</v>
      </c>
      <c r="H805" s="3">
        <v>9.3000000000000007</v>
      </c>
      <c r="I805" s="3"/>
      <c r="K805" s="66"/>
      <c r="L805" s="66"/>
    </row>
    <row r="806" spans="3:12" ht="15.75" customHeight="1" x14ac:dyDescent="0.2">
      <c r="C806" s="15">
        <v>42269</v>
      </c>
      <c r="D806" s="19">
        <v>0.46875</v>
      </c>
      <c r="E806" s="3">
        <v>18</v>
      </c>
      <c r="F806" s="3">
        <v>8.59</v>
      </c>
      <c r="G806" s="190">
        <v>73.2</v>
      </c>
      <c r="H806" s="3">
        <v>8.8000000000000007</v>
      </c>
      <c r="I806" s="3"/>
      <c r="K806" s="66"/>
      <c r="L806" s="66"/>
    </row>
    <row r="807" spans="3:12" ht="15.75" customHeight="1" x14ac:dyDescent="0.2">
      <c r="C807" s="15">
        <v>42269</v>
      </c>
      <c r="D807" s="19">
        <v>0.46875</v>
      </c>
      <c r="E807" s="3">
        <v>19</v>
      </c>
      <c r="F807" s="3">
        <v>8.48</v>
      </c>
      <c r="G807" s="190">
        <v>71.599999999999994</v>
      </c>
      <c r="H807" s="3">
        <v>8.1999999999999993</v>
      </c>
      <c r="I807" s="3"/>
      <c r="K807" s="66"/>
      <c r="L807" s="66"/>
    </row>
    <row r="808" spans="3:12" ht="15.75" customHeight="1" x14ac:dyDescent="0.2">
      <c r="C808" s="15">
        <v>42269</v>
      </c>
      <c r="D808" s="19">
        <v>0.46875</v>
      </c>
      <c r="E808" s="3">
        <v>20</v>
      </c>
      <c r="F808" s="3">
        <v>8.35</v>
      </c>
      <c r="G808" s="190">
        <v>69.900000000000006</v>
      </c>
      <c r="H808" s="3">
        <v>7.9</v>
      </c>
      <c r="I808" s="3"/>
      <c r="K808" s="66"/>
      <c r="L808" s="66"/>
    </row>
    <row r="809" spans="3:12" ht="15.75" customHeight="1" x14ac:dyDescent="0.2">
      <c r="C809" s="15">
        <v>42269</v>
      </c>
      <c r="D809" s="19">
        <v>0.46875</v>
      </c>
      <c r="E809" s="3">
        <v>21</v>
      </c>
      <c r="F809" s="3">
        <v>8.26</v>
      </c>
      <c r="G809" s="190">
        <v>68.8</v>
      </c>
      <c r="H809" s="3">
        <v>7.6</v>
      </c>
      <c r="I809" s="3"/>
      <c r="K809" s="66"/>
      <c r="L809" s="66"/>
    </row>
    <row r="810" spans="3:12" ht="15.75" customHeight="1" x14ac:dyDescent="0.2">
      <c r="C810" s="15">
        <v>42269</v>
      </c>
      <c r="D810" s="19">
        <v>0.46875</v>
      </c>
      <c r="E810" s="3">
        <v>22</v>
      </c>
      <c r="F810" s="3">
        <v>8.17</v>
      </c>
      <c r="G810" s="190">
        <v>68</v>
      </c>
      <c r="H810" s="3">
        <v>7.5</v>
      </c>
      <c r="I810" s="3"/>
      <c r="K810" s="66"/>
      <c r="L810" s="66"/>
    </row>
    <row r="811" spans="3:12" ht="15.75" customHeight="1" x14ac:dyDescent="0.2">
      <c r="C811" s="15">
        <v>42269</v>
      </c>
      <c r="D811" s="19">
        <v>0.46875</v>
      </c>
      <c r="E811" s="3">
        <v>23</v>
      </c>
      <c r="F811" s="3">
        <v>8.1</v>
      </c>
      <c r="G811" s="190">
        <v>67</v>
      </c>
      <c r="H811" s="3">
        <v>7.4</v>
      </c>
      <c r="I811" s="3"/>
      <c r="K811" s="66"/>
      <c r="L811" s="66"/>
    </row>
    <row r="812" spans="3:12" ht="15.75" customHeight="1" x14ac:dyDescent="0.2">
      <c r="C812" s="15">
        <v>42269</v>
      </c>
      <c r="D812" s="19">
        <v>0.46875</v>
      </c>
      <c r="E812" s="3">
        <v>24</v>
      </c>
      <c r="F812" s="3">
        <v>8.02</v>
      </c>
      <c r="G812" s="190">
        <v>66.400000000000006</v>
      </c>
      <c r="H812" s="3">
        <v>7.3</v>
      </c>
      <c r="I812" s="3"/>
      <c r="K812" s="66"/>
      <c r="L812" s="66"/>
    </row>
    <row r="813" spans="3:12" ht="15.75" customHeight="1" x14ac:dyDescent="0.2">
      <c r="C813" s="15">
        <v>42269</v>
      </c>
      <c r="D813" s="19">
        <v>0.46875</v>
      </c>
      <c r="E813" s="3">
        <v>25</v>
      </c>
      <c r="F813" s="3">
        <v>7.97</v>
      </c>
      <c r="G813" s="190">
        <v>66</v>
      </c>
      <c r="H813" s="3">
        <v>7.2</v>
      </c>
      <c r="I813" s="3"/>
      <c r="K813" s="66"/>
      <c r="L813" s="66"/>
    </row>
    <row r="814" spans="3:12" ht="15.75" customHeight="1" x14ac:dyDescent="0.2">
      <c r="C814" s="15">
        <v>42269</v>
      </c>
      <c r="D814" s="19">
        <v>0.46875</v>
      </c>
      <c r="E814" s="3">
        <v>30</v>
      </c>
      <c r="F814" s="3">
        <v>7.79</v>
      </c>
      <c r="G814" s="190">
        <v>63.7</v>
      </c>
      <c r="H814" s="3">
        <v>6.8</v>
      </c>
      <c r="I814" s="3"/>
      <c r="K814" s="66"/>
      <c r="L814" s="66"/>
    </row>
    <row r="815" spans="3:12" ht="15.75" customHeight="1" x14ac:dyDescent="0.2">
      <c r="C815" s="15">
        <v>42269</v>
      </c>
      <c r="D815" s="19">
        <v>0.46875</v>
      </c>
      <c r="E815" s="3">
        <v>35</v>
      </c>
      <c r="F815" s="3">
        <v>7.67</v>
      </c>
      <c r="G815" s="190">
        <v>62.2</v>
      </c>
      <c r="H815" s="3">
        <v>6.6</v>
      </c>
      <c r="I815" s="3"/>
      <c r="K815" s="66"/>
      <c r="L815" s="66"/>
    </row>
    <row r="816" spans="3:12" ht="15.75" customHeight="1" x14ac:dyDescent="0.2">
      <c r="C816" s="15">
        <v>42269</v>
      </c>
      <c r="D816" s="19">
        <v>0.46875</v>
      </c>
      <c r="E816" s="3">
        <v>40</v>
      </c>
      <c r="F816" s="3">
        <v>7.52</v>
      </c>
      <c r="G816" s="190">
        <v>60.4</v>
      </c>
      <c r="H816" s="3">
        <v>6.1</v>
      </c>
      <c r="I816" s="3"/>
      <c r="K816" s="66"/>
      <c r="L816" s="66"/>
    </row>
    <row r="817" spans="3:12" ht="15.75" customHeight="1" x14ac:dyDescent="0.2">
      <c r="C817" s="15">
        <v>42269</v>
      </c>
      <c r="D817" s="19">
        <v>0.46875</v>
      </c>
      <c r="E817" s="3">
        <v>45</v>
      </c>
      <c r="F817" s="3">
        <v>7.41</v>
      </c>
      <c r="G817" s="190">
        <v>59.6</v>
      </c>
      <c r="H817" s="3">
        <v>6.1</v>
      </c>
      <c r="I817" s="3"/>
      <c r="K817" s="66"/>
      <c r="L817" s="66"/>
    </row>
    <row r="818" spans="3:12" ht="15.75" customHeight="1" x14ac:dyDescent="0.2">
      <c r="C818" s="15">
        <v>42269</v>
      </c>
      <c r="D818" s="19">
        <v>0.46875</v>
      </c>
      <c r="E818" s="3">
        <v>50</v>
      </c>
      <c r="F818" s="3">
        <v>7.34</v>
      </c>
      <c r="G818" s="190">
        <v>58.9</v>
      </c>
      <c r="H818" s="3">
        <v>6</v>
      </c>
      <c r="I818" s="3"/>
      <c r="K818" s="66"/>
      <c r="L818" s="66"/>
    </row>
    <row r="819" spans="3:12" ht="15.75" customHeight="1" x14ac:dyDescent="0.2">
      <c r="C819" s="15">
        <v>42269</v>
      </c>
      <c r="D819" s="19">
        <v>0.46875</v>
      </c>
      <c r="E819" s="3">
        <v>55</v>
      </c>
      <c r="F819" s="3">
        <v>7.28</v>
      </c>
      <c r="G819" s="190">
        <v>58.3</v>
      </c>
      <c r="H819" s="3">
        <v>5.9</v>
      </c>
      <c r="I819" s="3"/>
      <c r="K819" s="66"/>
      <c r="L819" s="66"/>
    </row>
    <row r="820" spans="3:12" ht="15.75" customHeight="1" x14ac:dyDescent="0.2">
      <c r="C820" s="15">
        <v>42269</v>
      </c>
      <c r="D820" s="19">
        <v>0.46875</v>
      </c>
      <c r="E820" s="3">
        <v>60</v>
      </c>
      <c r="F820" s="3">
        <v>7.22</v>
      </c>
      <c r="G820" s="190">
        <v>57.6</v>
      </c>
      <c r="H820" s="3">
        <v>5.7</v>
      </c>
      <c r="I820" s="3"/>
      <c r="K820" s="66"/>
      <c r="L820" s="66"/>
    </row>
    <row r="821" spans="3:12" ht="15.75" customHeight="1" x14ac:dyDescent="0.2">
      <c r="C821" s="15">
        <v>42269</v>
      </c>
      <c r="D821" s="19">
        <v>0.46875</v>
      </c>
      <c r="E821" s="3">
        <v>65</v>
      </c>
      <c r="F821" s="3">
        <v>7.2</v>
      </c>
      <c r="G821" s="190">
        <v>57.3</v>
      </c>
      <c r="H821" s="3">
        <v>5.6</v>
      </c>
      <c r="I821" s="3"/>
      <c r="K821" s="66"/>
      <c r="L821" s="66"/>
    </row>
    <row r="822" spans="3:12" ht="15.75" customHeight="1" x14ac:dyDescent="0.2">
      <c r="C822" s="15">
        <v>42269</v>
      </c>
      <c r="D822" s="19">
        <v>0.46875</v>
      </c>
      <c r="E822" s="3">
        <v>70</v>
      </c>
      <c r="F822" s="3">
        <v>7.15</v>
      </c>
      <c r="G822" s="190">
        <v>56.7</v>
      </c>
      <c r="H822" s="3">
        <v>5.5</v>
      </c>
      <c r="I822" s="3"/>
      <c r="K822" s="66"/>
      <c r="L822" s="66"/>
    </row>
    <row r="823" spans="3:12" ht="15.75" customHeight="1" x14ac:dyDescent="0.2">
      <c r="C823" s="15">
        <v>42269</v>
      </c>
      <c r="D823" s="19">
        <v>0.46875</v>
      </c>
      <c r="E823" s="3">
        <v>75</v>
      </c>
      <c r="F823" s="3">
        <v>7.1</v>
      </c>
      <c r="G823" s="190">
        <v>56.1</v>
      </c>
      <c r="H823" s="3">
        <v>5.4</v>
      </c>
      <c r="I823" s="3"/>
      <c r="K823" s="66"/>
      <c r="L823" s="66"/>
    </row>
    <row r="824" spans="3:12" ht="15.75" customHeight="1" x14ac:dyDescent="0.2">
      <c r="C824" s="15">
        <v>42269</v>
      </c>
      <c r="D824" s="19">
        <v>0.46875</v>
      </c>
      <c r="E824" s="3">
        <v>80</v>
      </c>
      <c r="F824" s="3">
        <v>7.02</v>
      </c>
      <c r="G824" s="190">
        <v>55.3</v>
      </c>
      <c r="H824" s="3">
        <v>5.3</v>
      </c>
      <c r="I824" s="3"/>
      <c r="K824" s="66"/>
      <c r="L824" s="66"/>
    </row>
    <row r="825" spans="3:12" ht="15.75" customHeight="1" x14ac:dyDescent="0.2">
      <c r="C825" s="15">
        <v>42269</v>
      </c>
      <c r="D825" s="19">
        <v>0.46875</v>
      </c>
      <c r="E825" s="3">
        <v>85</v>
      </c>
      <c r="F825" s="3">
        <v>6.97</v>
      </c>
      <c r="G825" s="190">
        <v>54.2</v>
      </c>
      <c r="H825" s="3">
        <v>5.2</v>
      </c>
      <c r="I825" s="3"/>
      <c r="K825" s="66"/>
      <c r="L825" s="66"/>
    </row>
    <row r="826" spans="3:12" ht="15.75" customHeight="1" x14ac:dyDescent="0.2">
      <c r="C826" s="15">
        <v>42269</v>
      </c>
      <c r="D826" s="19">
        <v>0.46875</v>
      </c>
      <c r="E826" s="3">
        <v>90</v>
      </c>
      <c r="F826" s="3">
        <v>6.89</v>
      </c>
      <c r="G826" s="190">
        <v>54.2</v>
      </c>
      <c r="H826" s="3">
        <v>5.2</v>
      </c>
      <c r="I826" s="3"/>
      <c r="K826" s="66"/>
      <c r="L826" s="66"/>
    </row>
    <row r="827" spans="3:12" ht="15.75" customHeight="1" x14ac:dyDescent="0.2">
      <c r="C827" s="15">
        <v>42269</v>
      </c>
      <c r="D827" s="19">
        <v>0.46875</v>
      </c>
      <c r="E827" s="3">
        <v>95</v>
      </c>
      <c r="F827" s="3">
        <v>6.82</v>
      </c>
      <c r="G827" s="190">
        <v>53.3</v>
      </c>
      <c r="H827" s="3">
        <v>5</v>
      </c>
      <c r="I827" s="3"/>
      <c r="K827" s="66"/>
      <c r="L827" s="66"/>
    </row>
    <row r="828" spans="3:12" ht="15.75" customHeight="1" x14ac:dyDescent="0.2">
      <c r="C828" s="15">
        <v>42269</v>
      </c>
      <c r="D828" s="19">
        <v>0.46875</v>
      </c>
      <c r="E828" s="3">
        <v>100</v>
      </c>
      <c r="F828" s="3">
        <v>6.41</v>
      </c>
      <c r="G828" s="190">
        <v>48</v>
      </c>
      <c r="H828" s="3">
        <v>5</v>
      </c>
      <c r="I828" s="3"/>
      <c r="K828" s="66"/>
      <c r="L828" s="66"/>
    </row>
    <row r="829" spans="3:12" ht="15.75" customHeight="1" x14ac:dyDescent="0.2">
      <c r="C829" s="3"/>
      <c r="D829" s="3"/>
      <c r="E829" s="3"/>
      <c r="F829" s="3"/>
      <c r="H829" s="3"/>
      <c r="I829" s="3"/>
      <c r="K829" s="66"/>
      <c r="L829" s="66"/>
    </row>
    <row r="830" spans="3:12" ht="15.75" customHeight="1" x14ac:dyDescent="0.2">
      <c r="C830" s="3"/>
      <c r="D830" s="3"/>
      <c r="E830" s="3"/>
      <c r="F830" s="3"/>
      <c r="H830" s="3"/>
      <c r="I830" s="3"/>
      <c r="K830" s="66"/>
      <c r="L830" s="66"/>
    </row>
    <row r="831" spans="3:12" ht="15.75" customHeight="1" x14ac:dyDescent="0.2">
      <c r="C831" s="3" t="s">
        <v>271</v>
      </c>
      <c r="D831" s="19">
        <v>0.41666666666666669</v>
      </c>
      <c r="E831" s="3"/>
      <c r="H831" s="3"/>
      <c r="I831" s="3"/>
      <c r="J831">
        <v>12</v>
      </c>
      <c r="K831" s="66">
        <v>13.5</v>
      </c>
      <c r="L831" s="66"/>
    </row>
    <row r="832" spans="3:12" ht="15.75" customHeight="1" x14ac:dyDescent="0.2">
      <c r="C832" s="3" t="s">
        <v>271</v>
      </c>
      <c r="D832" s="19">
        <v>0.43055555555555558</v>
      </c>
      <c r="E832" s="3" t="s">
        <v>105</v>
      </c>
      <c r="F832" s="190">
        <v>7.6</v>
      </c>
      <c r="G832" s="190">
        <v>85.4</v>
      </c>
      <c r="H832" s="3">
        <v>20.9</v>
      </c>
      <c r="I832" s="7"/>
      <c r="K832" s="66"/>
      <c r="L832" s="66"/>
    </row>
    <row r="833" spans="3:12" ht="15.75" customHeight="1" x14ac:dyDescent="0.2">
      <c r="C833" s="3" t="s">
        <v>271</v>
      </c>
      <c r="D833" s="19">
        <v>0.43055555555555558</v>
      </c>
      <c r="E833" s="3" t="s">
        <v>107</v>
      </c>
      <c r="F833" s="190">
        <v>7.55</v>
      </c>
      <c r="G833" s="190">
        <v>84.6</v>
      </c>
      <c r="H833" s="3">
        <v>21.2</v>
      </c>
      <c r="I833" s="7"/>
      <c r="K833" s="66"/>
      <c r="L833" s="66"/>
    </row>
    <row r="834" spans="3:12" ht="15.75" customHeight="1" x14ac:dyDescent="0.2">
      <c r="C834" s="3" t="s">
        <v>271</v>
      </c>
      <c r="D834" s="19">
        <v>0.43055555555555558</v>
      </c>
      <c r="E834" s="3" t="s">
        <v>132</v>
      </c>
      <c r="F834" s="190">
        <v>7.55</v>
      </c>
      <c r="G834" s="3">
        <v>84.4</v>
      </c>
      <c r="H834" s="3">
        <v>20.8</v>
      </c>
      <c r="I834" s="7"/>
      <c r="K834" s="66"/>
      <c r="L834" s="66"/>
    </row>
    <row r="835" spans="3:12" ht="15.75" customHeight="1" x14ac:dyDescent="0.2">
      <c r="C835" s="3" t="s">
        <v>271</v>
      </c>
      <c r="D835" s="19">
        <v>0.43055555555555558</v>
      </c>
      <c r="E835" s="3" t="s">
        <v>187</v>
      </c>
      <c r="F835" s="190">
        <v>7.55</v>
      </c>
      <c r="G835" s="3">
        <v>84.2</v>
      </c>
      <c r="H835" s="3">
        <v>20.8</v>
      </c>
      <c r="I835" s="7"/>
      <c r="K835" s="66"/>
      <c r="L835" s="66"/>
    </row>
    <row r="836" spans="3:12" ht="15.75" customHeight="1" x14ac:dyDescent="0.2">
      <c r="C836" s="3" t="s">
        <v>271</v>
      </c>
      <c r="D836" s="19">
        <v>0.43055555555555558</v>
      </c>
      <c r="E836" s="3" t="s">
        <v>188</v>
      </c>
      <c r="F836" s="3">
        <v>7.53</v>
      </c>
      <c r="G836" s="3">
        <v>84</v>
      </c>
      <c r="H836" s="3">
        <v>20.7</v>
      </c>
      <c r="I836" s="7"/>
      <c r="K836" s="66"/>
      <c r="L836" s="66"/>
    </row>
    <row r="837" spans="3:12" ht="15.75" customHeight="1" x14ac:dyDescent="0.2">
      <c r="C837" s="3" t="s">
        <v>271</v>
      </c>
      <c r="D837" s="19">
        <v>0.43055555555555558</v>
      </c>
      <c r="E837" s="3" t="s">
        <v>189</v>
      </c>
      <c r="F837" s="3">
        <v>7.54</v>
      </c>
      <c r="G837" s="3">
        <v>83.9</v>
      </c>
      <c r="H837" s="3">
        <v>20.6</v>
      </c>
      <c r="I837" s="7"/>
      <c r="K837" s="66"/>
      <c r="L837" s="66"/>
    </row>
    <row r="838" spans="3:12" ht="15.75" customHeight="1" x14ac:dyDescent="0.2">
      <c r="C838" s="3" t="s">
        <v>271</v>
      </c>
      <c r="D838" s="19">
        <v>0.43055555555555558</v>
      </c>
      <c r="E838" s="3" t="s">
        <v>190</v>
      </c>
      <c r="F838" s="3">
        <v>7.53</v>
      </c>
      <c r="G838" s="3">
        <v>83.8</v>
      </c>
      <c r="H838" s="3">
        <v>20.6</v>
      </c>
      <c r="I838" s="7"/>
      <c r="K838" s="66"/>
      <c r="L838" s="66"/>
    </row>
    <row r="839" spans="3:12" ht="15.75" customHeight="1" x14ac:dyDescent="0.2">
      <c r="C839" s="3" t="s">
        <v>271</v>
      </c>
      <c r="D839" s="19">
        <v>0.43055555555555558</v>
      </c>
      <c r="E839" s="3" t="s">
        <v>192</v>
      </c>
      <c r="F839" s="3">
        <v>7.53</v>
      </c>
      <c r="G839" s="3">
        <v>83.6</v>
      </c>
      <c r="H839" s="3">
        <v>20.5</v>
      </c>
      <c r="I839" s="7"/>
      <c r="K839" s="66"/>
      <c r="L839" s="66"/>
    </row>
    <row r="840" spans="3:12" ht="15.75" customHeight="1" x14ac:dyDescent="0.2">
      <c r="C840" s="3" t="s">
        <v>271</v>
      </c>
      <c r="D840" s="19">
        <v>0.43055555555555558</v>
      </c>
      <c r="E840" s="3" t="s">
        <v>194</v>
      </c>
      <c r="F840" s="3">
        <v>7.51</v>
      </c>
      <c r="G840" s="3">
        <v>83.5</v>
      </c>
      <c r="H840" s="3">
        <v>20.5</v>
      </c>
      <c r="I840" s="7"/>
      <c r="K840" s="66"/>
      <c r="L840" s="66"/>
    </row>
    <row r="841" spans="3:12" ht="15.75" customHeight="1" x14ac:dyDescent="0.2">
      <c r="C841" s="3" t="s">
        <v>271</v>
      </c>
      <c r="D841" s="19">
        <v>0.43055555555555558</v>
      </c>
      <c r="E841" s="3" t="s">
        <v>196</v>
      </c>
      <c r="F841" s="3">
        <v>7.52</v>
      </c>
      <c r="G841" s="3">
        <v>83.4</v>
      </c>
      <c r="H841" s="3">
        <v>20.5</v>
      </c>
      <c r="I841" s="7"/>
      <c r="L841" s="66"/>
    </row>
    <row r="842" spans="3:12" ht="15.75" customHeight="1" x14ac:dyDescent="0.2">
      <c r="C842" s="3" t="s">
        <v>271</v>
      </c>
      <c r="D842" s="19">
        <v>0.43055555555555558</v>
      </c>
      <c r="E842" s="3" t="s">
        <v>186</v>
      </c>
      <c r="F842" s="3">
        <v>7.5</v>
      </c>
      <c r="G842" s="3">
        <v>92.5</v>
      </c>
      <c r="H842" s="3">
        <v>20.2</v>
      </c>
      <c r="L842" s="66"/>
    </row>
    <row r="843" spans="3:12" ht="15.75" customHeight="1" x14ac:dyDescent="0.2">
      <c r="C843" s="3" t="s">
        <v>271</v>
      </c>
      <c r="D843" s="19">
        <v>0.43055555555555558</v>
      </c>
      <c r="E843" s="3" t="s">
        <v>182</v>
      </c>
      <c r="F843" s="3">
        <v>9.84</v>
      </c>
      <c r="G843" s="3">
        <v>96.9</v>
      </c>
      <c r="H843" s="3">
        <v>14.6</v>
      </c>
      <c r="L843" s="66"/>
    </row>
    <row r="844" spans="3:12" ht="15.75" customHeight="1" x14ac:dyDescent="0.2">
      <c r="C844" s="3" t="s">
        <v>271</v>
      </c>
      <c r="D844" s="19">
        <v>0.43055555555555558</v>
      </c>
      <c r="E844" s="3" t="s">
        <v>117</v>
      </c>
      <c r="F844" s="3">
        <v>9.98</v>
      </c>
      <c r="G844" s="3">
        <v>95.3</v>
      </c>
      <c r="H844" s="3">
        <v>13.5</v>
      </c>
      <c r="L844" s="66"/>
    </row>
    <row r="845" spans="3:12" ht="15.75" customHeight="1" x14ac:dyDescent="0.2">
      <c r="C845" s="3" t="s">
        <v>271</v>
      </c>
      <c r="D845" s="19">
        <v>0.43055555555555558</v>
      </c>
      <c r="E845" s="3" t="s">
        <v>200</v>
      </c>
      <c r="F845" s="3">
        <v>10.09</v>
      </c>
      <c r="G845" s="3">
        <v>94.8</v>
      </c>
      <c r="H845" s="3">
        <v>12.7</v>
      </c>
      <c r="L845" s="66"/>
    </row>
    <row r="846" spans="3:12" ht="15.75" customHeight="1" x14ac:dyDescent="0.2">
      <c r="C846" s="3" t="s">
        <v>271</v>
      </c>
      <c r="D846" s="19">
        <v>0.43055555555555558</v>
      </c>
      <c r="E846" s="3" t="s">
        <v>202</v>
      </c>
      <c r="F846" s="3">
        <v>10.02</v>
      </c>
      <c r="G846" s="3">
        <v>91.7</v>
      </c>
      <c r="H846" s="3">
        <v>12.3</v>
      </c>
    </row>
    <row r="847" spans="3:12" ht="15.75" customHeight="1" x14ac:dyDescent="0.2">
      <c r="C847" s="3" t="s">
        <v>271</v>
      </c>
      <c r="D847" s="19">
        <v>0.43055555555555558</v>
      </c>
      <c r="E847" s="3" t="s">
        <v>204</v>
      </c>
      <c r="F847" s="3">
        <v>10.09</v>
      </c>
      <c r="G847" s="3">
        <v>90.3</v>
      </c>
      <c r="H847" s="3">
        <v>10.8</v>
      </c>
    </row>
    <row r="848" spans="3:12" ht="15.75" customHeight="1" x14ac:dyDescent="0.2">
      <c r="C848" s="3" t="s">
        <v>271</v>
      </c>
      <c r="D848" s="19">
        <v>0.43055555555555558</v>
      </c>
      <c r="E848" s="3" t="s">
        <v>181</v>
      </c>
      <c r="F848" s="3">
        <v>10.130000000000001</v>
      </c>
      <c r="G848" s="3">
        <v>89.3</v>
      </c>
      <c r="H848" s="3">
        <v>10</v>
      </c>
    </row>
    <row r="849" spans="3:12" ht="15.75" customHeight="1" x14ac:dyDescent="0.2">
      <c r="C849" s="3" t="s">
        <v>271</v>
      </c>
      <c r="D849" s="19">
        <v>0.43055555555555558</v>
      </c>
      <c r="E849" s="3" t="s">
        <v>207</v>
      </c>
      <c r="F849" s="3">
        <v>10.01</v>
      </c>
      <c r="G849" s="3">
        <v>86.8</v>
      </c>
      <c r="H849" s="3">
        <v>9.6999999999999993</v>
      </c>
    </row>
    <row r="850" spans="3:12" ht="15.75" customHeight="1" x14ac:dyDescent="0.2">
      <c r="C850" s="3" t="s">
        <v>271</v>
      </c>
      <c r="D850" s="19">
        <v>0.43055555555555558</v>
      </c>
      <c r="E850" s="3" t="s">
        <v>209</v>
      </c>
      <c r="F850" s="3">
        <v>9.92</v>
      </c>
      <c r="G850" s="3">
        <v>84.7</v>
      </c>
      <c r="H850" s="3">
        <v>8.6999999999999993</v>
      </c>
    </row>
    <row r="851" spans="3:12" ht="15.75" customHeight="1" x14ac:dyDescent="0.2">
      <c r="C851" s="3" t="s">
        <v>271</v>
      </c>
      <c r="D851" s="19">
        <v>0.43055555555555558</v>
      </c>
      <c r="E851" s="3" t="s">
        <v>210</v>
      </c>
      <c r="F851" s="3">
        <v>9.8000000000000007</v>
      </c>
      <c r="G851" s="3">
        <v>82.6</v>
      </c>
      <c r="H851" s="3">
        <v>8.4</v>
      </c>
      <c r="L851" s="66"/>
    </row>
    <row r="852" spans="3:12" ht="15.75" customHeight="1" x14ac:dyDescent="0.2">
      <c r="C852" s="3" t="s">
        <v>271</v>
      </c>
      <c r="D852" s="19">
        <v>0.43055555555555558</v>
      </c>
      <c r="E852" s="3" t="s">
        <v>212</v>
      </c>
      <c r="F852" s="3">
        <v>9.65</v>
      </c>
      <c r="G852" s="3">
        <v>80.3</v>
      </c>
      <c r="H852" s="3">
        <v>7.9</v>
      </c>
      <c r="L852" s="66"/>
    </row>
    <row r="853" spans="3:12" ht="15.75" customHeight="1" x14ac:dyDescent="0.2">
      <c r="C853" s="3" t="s">
        <v>271</v>
      </c>
      <c r="D853" s="19">
        <v>0.43055555555555558</v>
      </c>
      <c r="E853" s="3" t="s">
        <v>214</v>
      </c>
      <c r="F853" s="3">
        <v>9.51</v>
      </c>
      <c r="G853" s="3">
        <v>78.7</v>
      </c>
      <c r="H853" s="3">
        <v>7.5</v>
      </c>
      <c r="L853" s="66"/>
    </row>
    <row r="854" spans="3:12" ht="15.75" customHeight="1" x14ac:dyDescent="0.2">
      <c r="C854" s="3" t="s">
        <v>271</v>
      </c>
      <c r="D854" s="19">
        <v>0.43055555555555558</v>
      </c>
      <c r="E854" s="3" t="s">
        <v>216</v>
      </c>
      <c r="F854" s="3">
        <v>9.4</v>
      </c>
      <c r="G854" s="3">
        <v>77.400000000000006</v>
      </c>
      <c r="H854" s="3">
        <v>7.2</v>
      </c>
      <c r="L854" s="66"/>
    </row>
    <row r="855" spans="3:12" ht="15.75" customHeight="1" x14ac:dyDescent="0.2">
      <c r="C855" s="3" t="s">
        <v>271</v>
      </c>
      <c r="D855" s="19">
        <v>0.43055555555555558</v>
      </c>
      <c r="E855" s="3" t="s">
        <v>218</v>
      </c>
      <c r="F855" s="3">
        <v>9.31</v>
      </c>
      <c r="G855" s="3">
        <v>76.2</v>
      </c>
      <c r="H855" s="3">
        <v>7</v>
      </c>
      <c r="L855" s="66"/>
    </row>
    <row r="856" spans="3:12" ht="15.75" customHeight="1" x14ac:dyDescent="0.2">
      <c r="C856" s="3" t="s">
        <v>271</v>
      </c>
      <c r="D856" s="19">
        <v>0.43055555555555558</v>
      </c>
      <c r="E856" s="3" t="s">
        <v>220</v>
      </c>
      <c r="F856" s="3">
        <v>9.1999999999999993</v>
      </c>
      <c r="G856" s="3">
        <v>75.2</v>
      </c>
      <c r="H856" s="3">
        <v>6.8</v>
      </c>
      <c r="L856" s="66"/>
    </row>
    <row r="857" spans="3:12" ht="15.75" customHeight="1" x14ac:dyDescent="0.2">
      <c r="C857" s="3" t="s">
        <v>271</v>
      </c>
      <c r="D857" s="19">
        <v>0.43055555555555558</v>
      </c>
      <c r="E857" s="3" t="s">
        <v>221</v>
      </c>
      <c r="F857" s="3">
        <v>9.1199999999999992</v>
      </c>
      <c r="G857" s="3">
        <v>74.099999999999994</v>
      </c>
      <c r="H857" s="3">
        <v>6.7</v>
      </c>
      <c r="L857" s="66"/>
    </row>
    <row r="858" spans="3:12" ht="15.75" customHeight="1" x14ac:dyDescent="0.2">
      <c r="C858" s="3" t="s">
        <v>271</v>
      </c>
      <c r="D858" s="19">
        <v>0.43055555555555558</v>
      </c>
      <c r="E858" s="3" t="s">
        <v>273</v>
      </c>
      <c r="F858" s="3">
        <v>9.01</v>
      </c>
      <c r="G858" s="3">
        <v>73.3</v>
      </c>
      <c r="H858" s="3">
        <v>6.6</v>
      </c>
      <c r="L858" s="66"/>
    </row>
    <row r="859" spans="3:12" ht="15.75" customHeight="1" x14ac:dyDescent="0.2">
      <c r="C859" s="3" t="s">
        <v>271</v>
      </c>
      <c r="D859" s="19">
        <v>0.43055555555555558</v>
      </c>
      <c r="E859" s="3" t="s">
        <v>274</v>
      </c>
      <c r="F859" s="3">
        <v>8.9499999999999993</v>
      </c>
      <c r="G859" s="3">
        <v>72.599999999999994</v>
      </c>
      <c r="H859" s="3">
        <v>6.5</v>
      </c>
      <c r="L859" s="66"/>
    </row>
    <row r="860" spans="3:12" ht="15.75" customHeight="1" x14ac:dyDescent="0.2">
      <c r="C860" s="3" t="s">
        <v>271</v>
      </c>
      <c r="D860" s="19">
        <v>0.43055555555555558</v>
      </c>
      <c r="E860" s="3" t="s">
        <v>275</v>
      </c>
      <c r="F860" s="3">
        <v>8.8800000000000008</v>
      </c>
      <c r="G860" s="3">
        <v>71.900000000000006</v>
      </c>
      <c r="H860" s="3">
        <v>6.4</v>
      </c>
      <c r="L860" s="66"/>
    </row>
    <row r="861" spans="3:12" ht="15.75" customHeight="1" x14ac:dyDescent="0.2">
      <c r="C861" s="3" t="s">
        <v>271</v>
      </c>
      <c r="D861" s="19">
        <v>0.43055555555555558</v>
      </c>
      <c r="E861" s="3" t="s">
        <v>276</v>
      </c>
      <c r="F861" s="3">
        <v>8.83</v>
      </c>
      <c r="G861" s="3">
        <v>71.2</v>
      </c>
      <c r="H861" s="3">
        <v>6.3</v>
      </c>
      <c r="L861" s="66"/>
    </row>
    <row r="862" spans="3:12" ht="15.75" customHeight="1" x14ac:dyDescent="0.2">
      <c r="C862" s="3" t="s">
        <v>271</v>
      </c>
      <c r="D862" s="19">
        <v>0.43055555555555558</v>
      </c>
      <c r="E862" s="3" t="s">
        <v>262</v>
      </c>
      <c r="F862" s="3">
        <v>8.77</v>
      </c>
      <c r="G862" s="3">
        <v>70.5</v>
      </c>
      <c r="H862" s="3">
        <v>6.2</v>
      </c>
      <c r="L862" s="66"/>
    </row>
    <row r="863" spans="3:12" ht="15.75" customHeight="1" x14ac:dyDescent="0.2">
      <c r="C863" s="3" t="s">
        <v>271</v>
      </c>
      <c r="D863" s="19">
        <v>0.43055555555555558</v>
      </c>
      <c r="E863" s="3" t="s">
        <v>270</v>
      </c>
      <c r="F863" s="3">
        <v>8.64</v>
      </c>
      <c r="G863" s="3">
        <v>69.2</v>
      </c>
      <c r="H863" s="3">
        <v>5.9</v>
      </c>
      <c r="L863" s="66"/>
    </row>
    <row r="864" spans="3:12" ht="15.75" customHeight="1" x14ac:dyDescent="0.2">
      <c r="C864" s="3" t="s">
        <v>271</v>
      </c>
      <c r="D864" s="19">
        <v>0.43055555555555558</v>
      </c>
      <c r="E864" s="3" t="s">
        <v>263</v>
      </c>
      <c r="F864" s="3">
        <v>8.5</v>
      </c>
      <c r="G864" s="3">
        <v>68.2</v>
      </c>
      <c r="H864" s="3">
        <v>6</v>
      </c>
      <c r="L864" s="66"/>
    </row>
    <row r="865" spans="3:17" ht="15.75" customHeight="1" x14ac:dyDescent="0.2">
      <c r="C865" s="3" t="s">
        <v>271</v>
      </c>
      <c r="D865" s="19">
        <v>0.43055555555555558</v>
      </c>
      <c r="E865" s="3" t="s">
        <v>278</v>
      </c>
      <c r="F865" s="3">
        <v>8.43</v>
      </c>
      <c r="G865" s="3">
        <v>67.400000000000006</v>
      </c>
      <c r="H865" s="3">
        <v>5.8</v>
      </c>
      <c r="L865" s="66"/>
    </row>
    <row r="866" spans="3:17" ht="15.75" customHeight="1" x14ac:dyDescent="0.2">
      <c r="C866" s="3" t="s">
        <v>271</v>
      </c>
      <c r="D866" s="19">
        <v>0.43055555555555558</v>
      </c>
      <c r="E866" s="3" t="s">
        <v>279</v>
      </c>
      <c r="F866" s="3">
        <v>8.3800000000000008</v>
      </c>
      <c r="G866" s="3">
        <v>66.599999999999994</v>
      </c>
      <c r="H866" s="3">
        <v>5.6</v>
      </c>
      <c r="L866" s="66"/>
    </row>
    <row r="867" spans="3:17" ht="15.75" customHeight="1" x14ac:dyDescent="0.2">
      <c r="C867" s="3" t="s">
        <v>271</v>
      </c>
      <c r="D867" s="19">
        <v>0.43055555555555558</v>
      </c>
      <c r="E867" s="3" t="s">
        <v>280</v>
      </c>
      <c r="F867" s="3">
        <v>8.31</v>
      </c>
      <c r="G867" s="3">
        <v>65.8</v>
      </c>
      <c r="H867" s="3">
        <v>5.6</v>
      </c>
      <c r="L867" s="66"/>
      <c r="P867" s="1" t="s">
        <v>281</v>
      </c>
      <c r="Q867" s="1" t="s">
        <v>282</v>
      </c>
    </row>
    <row r="868" spans="3:17" ht="15.75" customHeight="1" x14ac:dyDescent="0.2">
      <c r="C868" s="3" t="s">
        <v>271</v>
      </c>
      <c r="D868" s="19">
        <v>0.43055555555555558</v>
      </c>
      <c r="E868" s="3" t="s">
        <v>283</v>
      </c>
      <c r="F868" s="3">
        <v>8.26</v>
      </c>
      <c r="G868" s="3">
        <v>65.5</v>
      </c>
      <c r="H868" s="3">
        <v>5.5</v>
      </c>
      <c r="L868" s="66"/>
      <c r="O868" s="16">
        <v>44403</v>
      </c>
      <c r="P868" s="1">
        <v>23.2</v>
      </c>
      <c r="Q868" s="1">
        <v>23.65</v>
      </c>
    </row>
    <row r="869" spans="3:17" ht="15.75" customHeight="1" x14ac:dyDescent="0.2">
      <c r="C869" s="3" t="s">
        <v>271</v>
      </c>
      <c r="D869" s="19">
        <v>0.43055555555555558</v>
      </c>
      <c r="E869" s="3" t="s">
        <v>284</v>
      </c>
      <c r="F869" s="3">
        <v>8.23</v>
      </c>
      <c r="G869" s="3">
        <v>64.900000000000006</v>
      </c>
      <c r="H869" s="3">
        <v>5.3</v>
      </c>
      <c r="L869" s="66"/>
      <c r="O869" s="16">
        <v>41841</v>
      </c>
      <c r="P869" s="1">
        <v>22.1</v>
      </c>
      <c r="Q869" s="1">
        <v>22.3</v>
      </c>
    </row>
    <row r="870" spans="3:17" ht="15.75" customHeight="1" x14ac:dyDescent="0.2">
      <c r="C870" s="3" t="s">
        <v>271</v>
      </c>
      <c r="D870" s="19">
        <v>0.43055555555555558</v>
      </c>
      <c r="E870" s="3" t="s">
        <v>285</v>
      </c>
      <c r="F870" s="3">
        <v>8.16</v>
      </c>
      <c r="G870" s="3">
        <v>64.3</v>
      </c>
      <c r="H870" s="3">
        <v>5.3</v>
      </c>
      <c r="L870" s="66"/>
      <c r="O870" s="16">
        <v>42214</v>
      </c>
      <c r="P870" s="1">
        <v>19.399999999999999</v>
      </c>
      <c r="Q870" s="1">
        <v>20.6</v>
      </c>
    </row>
    <row r="871" spans="3:17" ht="15.75" customHeight="1" x14ac:dyDescent="0.2">
      <c r="C871" s="3" t="s">
        <v>271</v>
      </c>
      <c r="D871" s="19">
        <v>0.43055555555555558</v>
      </c>
      <c r="E871" s="3" t="s">
        <v>286</v>
      </c>
      <c r="F871" s="3">
        <v>8.11</v>
      </c>
      <c r="G871" s="3">
        <v>63.7</v>
      </c>
      <c r="H871" s="3">
        <v>5.2</v>
      </c>
      <c r="L871" s="66"/>
    </row>
    <row r="872" spans="3:17" ht="15.75" customHeight="1" x14ac:dyDescent="0.2">
      <c r="C872" s="3" t="s">
        <v>271</v>
      </c>
      <c r="D872" s="19">
        <v>0.43055555555555558</v>
      </c>
      <c r="E872" s="3" t="s">
        <v>288</v>
      </c>
      <c r="F872" s="3">
        <v>8.0399999999999991</v>
      </c>
      <c r="G872" s="3">
        <v>63.2</v>
      </c>
      <c r="H872" s="3">
        <v>5.2</v>
      </c>
      <c r="L872" s="66"/>
    </row>
    <row r="873" spans="3:17" ht="15.75" customHeight="1" x14ac:dyDescent="0.2">
      <c r="C873" s="3" t="s">
        <v>271</v>
      </c>
      <c r="D873" s="19">
        <v>0.43055555555555558</v>
      </c>
      <c r="E873" s="3" t="s">
        <v>289</v>
      </c>
      <c r="F873" s="3">
        <v>7.97</v>
      </c>
      <c r="G873" s="3">
        <v>62.7</v>
      </c>
      <c r="H873" s="3">
        <v>5.2</v>
      </c>
      <c r="L873" s="66"/>
    </row>
    <row r="874" spans="3:17" ht="15.75" customHeight="1" x14ac:dyDescent="0.2">
      <c r="C874" s="3" t="s">
        <v>271</v>
      </c>
      <c r="D874" s="19">
        <v>0.43055555555555558</v>
      </c>
      <c r="E874" s="3" t="s">
        <v>290</v>
      </c>
      <c r="F874" s="190">
        <v>7.89</v>
      </c>
      <c r="G874" s="190">
        <v>62</v>
      </c>
      <c r="H874" s="3">
        <v>5.2</v>
      </c>
      <c r="L874" s="66"/>
    </row>
    <row r="875" spans="3:17" ht="15.75" customHeight="1" x14ac:dyDescent="0.2">
      <c r="C875" s="3" t="s">
        <v>271</v>
      </c>
      <c r="D875" s="19">
        <v>0.43055555555555558</v>
      </c>
      <c r="E875" s="3" t="s">
        <v>291</v>
      </c>
      <c r="F875" s="190">
        <v>7.94</v>
      </c>
      <c r="G875" s="190">
        <v>62</v>
      </c>
      <c r="H875" s="3">
        <v>5.2</v>
      </c>
      <c r="L875" s="66"/>
    </row>
    <row r="876" spans="3:17" ht="15.75" customHeight="1" x14ac:dyDescent="0.2">
      <c r="C876" s="3"/>
      <c r="D876" s="19"/>
      <c r="E876" s="3"/>
      <c r="H876" s="3"/>
      <c r="L876" s="66"/>
    </row>
    <row r="877" spans="3:17" ht="15.75" customHeight="1" x14ac:dyDescent="0.2">
      <c r="C877" s="3" t="s">
        <v>139</v>
      </c>
      <c r="D877" s="19">
        <v>0.5</v>
      </c>
      <c r="E877" s="3"/>
      <c r="H877" s="3"/>
      <c r="J877">
        <v>10</v>
      </c>
      <c r="K877">
        <v>11</v>
      </c>
      <c r="L877" s="66"/>
    </row>
    <row r="878" spans="3:17" ht="15.75" customHeight="1" x14ac:dyDescent="0.2">
      <c r="C878" s="3" t="s">
        <v>139</v>
      </c>
      <c r="D878" s="19">
        <v>0.5</v>
      </c>
      <c r="E878" s="3">
        <v>0.1</v>
      </c>
      <c r="F878" s="190">
        <v>7.23</v>
      </c>
      <c r="G878" s="190">
        <v>80.900000000000006</v>
      </c>
      <c r="H878" s="3">
        <v>20.7</v>
      </c>
      <c r="I878" s="3"/>
      <c r="L878" s="66"/>
    </row>
    <row r="879" spans="3:17" ht="15.75" customHeight="1" x14ac:dyDescent="0.2">
      <c r="C879" s="3" t="s">
        <v>139</v>
      </c>
      <c r="D879" s="19">
        <v>0.5</v>
      </c>
      <c r="E879" s="3">
        <v>1</v>
      </c>
      <c r="F879" s="190">
        <v>7.24</v>
      </c>
      <c r="G879" s="190">
        <v>80.2</v>
      </c>
      <c r="H879" s="3">
        <v>20.5</v>
      </c>
      <c r="I879" s="3"/>
      <c r="L879" s="66"/>
    </row>
    <row r="880" spans="3:17" ht="15.75" customHeight="1" x14ac:dyDescent="0.2">
      <c r="C880" s="3" t="s">
        <v>139</v>
      </c>
      <c r="D880" s="19">
        <v>0.5</v>
      </c>
      <c r="E880" s="3">
        <v>2</v>
      </c>
      <c r="F880" s="190">
        <v>7.27</v>
      </c>
      <c r="G880" s="190">
        <v>79.5</v>
      </c>
      <c r="H880" s="3">
        <v>20</v>
      </c>
      <c r="I880" s="3"/>
      <c r="L880" s="66"/>
    </row>
    <row r="881" spans="3:12" ht="15.75" customHeight="1" x14ac:dyDescent="0.2">
      <c r="C881" s="3" t="s">
        <v>139</v>
      </c>
      <c r="D881" s="19">
        <v>0.5</v>
      </c>
      <c r="E881" s="3">
        <v>3</v>
      </c>
      <c r="F881" s="190">
        <v>7.28</v>
      </c>
      <c r="G881" s="190">
        <v>79.3</v>
      </c>
      <c r="H881" s="3">
        <v>19.600000000000001</v>
      </c>
      <c r="I881" s="3"/>
      <c r="L881" s="66"/>
    </row>
    <row r="882" spans="3:12" ht="15.75" customHeight="1" x14ac:dyDescent="0.2">
      <c r="C882" s="3" t="s">
        <v>139</v>
      </c>
      <c r="D882" s="19">
        <v>0.5</v>
      </c>
      <c r="E882" s="3">
        <v>4</v>
      </c>
      <c r="F882" s="190">
        <v>7.28</v>
      </c>
      <c r="G882" s="190">
        <v>79.2</v>
      </c>
      <c r="H882" s="3">
        <v>19.399999999999999</v>
      </c>
      <c r="I882" s="3"/>
      <c r="L882" s="66"/>
    </row>
    <row r="883" spans="3:12" ht="15.75" customHeight="1" x14ac:dyDescent="0.2">
      <c r="C883" s="3" t="s">
        <v>139</v>
      </c>
      <c r="D883" s="19">
        <v>0.5</v>
      </c>
      <c r="E883" s="3">
        <v>5</v>
      </c>
      <c r="F883" s="190">
        <v>7.3</v>
      </c>
      <c r="G883" s="190">
        <v>79.099999999999994</v>
      </c>
      <c r="H883" s="3">
        <v>19.3</v>
      </c>
      <c r="I883" s="3"/>
      <c r="L883" s="66"/>
    </row>
    <row r="884" spans="3:12" ht="15.75" customHeight="1" x14ac:dyDescent="0.2">
      <c r="C884" s="3" t="s">
        <v>139</v>
      </c>
      <c r="D884" s="19">
        <v>0.5</v>
      </c>
      <c r="E884" s="3">
        <v>6</v>
      </c>
      <c r="F884" s="190">
        <v>7.34</v>
      </c>
      <c r="G884" s="190">
        <v>79.3</v>
      </c>
      <c r="H884" s="3">
        <v>19.100000000000001</v>
      </c>
      <c r="I884" s="3"/>
      <c r="L884" s="66"/>
    </row>
    <row r="885" spans="3:12" ht="15.75" customHeight="1" x14ac:dyDescent="0.2">
      <c r="C885" s="3" t="s">
        <v>139</v>
      </c>
      <c r="D885" s="19">
        <v>0.5</v>
      </c>
      <c r="E885" s="3">
        <v>7</v>
      </c>
      <c r="F885" s="190">
        <v>7.5</v>
      </c>
      <c r="G885" s="190">
        <v>80.5</v>
      </c>
      <c r="H885" s="3">
        <v>18.7</v>
      </c>
      <c r="I885" s="3"/>
      <c r="J885" s="1"/>
      <c r="L885" s="66"/>
    </row>
    <row r="886" spans="3:12" ht="15.75" customHeight="1" x14ac:dyDescent="0.2">
      <c r="C886" s="3" t="s">
        <v>139</v>
      </c>
      <c r="D886" s="19">
        <v>0.5</v>
      </c>
      <c r="E886" s="3">
        <v>8</v>
      </c>
      <c r="F886" s="190">
        <v>7.93</v>
      </c>
      <c r="G886" s="190">
        <v>82.6</v>
      </c>
      <c r="H886" s="3">
        <v>17.5</v>
      </c>
      <c r="L886" s="66"/>
    </row>
    <row r="887" spans="3:12" ht="15.75" customHeight="1" x14ac:dyDescent="0.2">
      <c r="C887" s="3" t="s">
        <v>139</v>
      </c>
      <c r="D887" s="19">
        <v>0.5</v>
      </c>
      <c r="E887" s="3">
        <v>9</v>
      </c>
      <c r="F887" s="190">
        <v>8.4700000000000006</v>
      </c>
      <c r="G887" s="190">
        <v>84.5</v>
      </c>
      <c r="H887" s="3">
        <v>15.3</v>
      </c>
      <c r="L887" s="66"/>
    </row>
    <row r="888" spans="3:12" ht="15.75" customHeight="1" x14ac:dyDescent="0.2">
      <c r="C888" s="3" t="s">
        <v>139</v>
      </c>
      <c r="D888" s="19">
        <v>0.5</v>
      </c>
      <c r="E888" s="3">
        <v>10</v>
      </c>
      <c r="F888" s="190">
        <v>8.98</v>
      </c>
      <c r="G888" s="190">
        <v>86.2</v>
      </c>
      <c r="H888" s="3">
        <v>13.6</v>
      </c>
      <c r="L888" s="66"/>
    </row>
    <row r="889" spans="3:12" ht="15.75" customHeight="1" x14ac:dyDescent="0.2">
      <c r="C889" s="3" t="s">
        <v>139</v>
      </c>
      <c r="D889" s="19">
        <v>0.5</v>
      </c>
      <c r="E889" s="3">
        <v>11</v>
      </c>
      <c r="F889" s="190">
        <v>9.0299999999999994</v>
      </c>
      <c r="G889" s="190">
        <v>85.1</v>
      </c>
      <c r="H889" s="3">
        <v>13.1</v>
      </c>
      <c r="L889" s="66"/>
    </row>
    <row r="890" spans="3:12" ht="15.75" customHeight="1" x14ac:dyDescent="0.2">
      <c r="C890" s="3" t="s">
        <v>139</v>
      </c>
      <c r="D890" s="19">
        <v>0.5</v>
      </c>
      <c r="E890" s="3">
        <v>12</v>
      </c>
      <c r="F890" s="190">
        <v>9.15</v>
      </c>
      <c r="G890" s="190">
        <v>84.4</v>
      </c>
      <c r="H890" s="3">
        <v>12</v>
      </c>
      <c r="L890" s="66"/>
    </row>
    <row r="891" spans="3:12" ht="15.75" customHeight="1" x14ac:dyDescent="0.2">
      <c r="C891" s="3" t="s">
        <v>139</v>
      </c>
      <c r="D891" s="19">
        <v>0.5</v>
      </c>
      <c r="E891" s="3">
        <v>13</v>
      </c>
      <c r="F891" s="190">
        <v>9.18</v>
      </c>
      <c r="G891" s="190">
        <v>83.8</v>
      </c>
      <c r="H891" s="3">
        <v>11.4</v>
      </c>
      <c r="L891" s="66"/>
    </row>
    <row r="892" spans="3:12" ht="15.75" customHeight="1" x14ac:dyDescent="0.2">
      <c r="C892" s="3" t="s">
        <v>139</v>
      </c>
      <c r="D892" s="19">
        <v>0.5</v>
      </c>
      <c r="E892" s="3">
        <v>14</v>
      </c>
      <c r="F892" s="190">
        <v>9.18</v>
      </c>
      <c r="G892" s="190">
        <v>82.4</v>
      </c>
      <c r="H892" s="3">
        <v>10.8</v>
      </c>
      <c r="L892" s="66"/>
    </row>
    <row r="893" spans="3:12" ht="15.75" customHeight="1" x14ac:dyDescent="0.2">
      <c r="C893" s="3" t="s">
        <v>139</v>
      </c>
      <c r="D893" s="19">
        <v>0.5</v>
      </c>
      <c r="E893" s="3">
        <v>15</v>
      </c>
      <c r="F893" s="190">
        <v>9.18</v>
      </c>
      <c r="G893" s="190">
        <v>81</v>
      </c>
      <c r="H893" s="3">
        <v>10</v>
      </c>
      <c r="L893" s="66"/>
    </row>
    <row r="894" spans="3:12" ht="15.75" customHeight="1" x14ac:dyDescent="0.2">
      <c r="C894" s="3" t="s">
        <v>139</v>
      </c>
      <c r="D894" s="19">
        <v>0.5</v>
      </c>
      <c r="E894" s="3">
        <v>16</v>
      </c>
      <c r="F894" s="190">
        <v>9.1300000000000008</v>
      </c>
      <c r="G894" s="190">
        <v>79.7</v>
      </c>
      <c r="H894" s="3">
        <v>9.6999999999999993</v>
      </c>
      <c r="L894" s="66"/>
    </row>
    <row r="895" spans="3:12" ht="15.75" customHeight="1" x14ac:dyDescent="0.2">
      <c r="C895" s="3" t="s">
        <v>139</v>
      </c>
      <c r="D895" s="19">
        <v>0.5</v>
      </c>
      <c r="E895" s="3">
        <v>17</v>
      </c>
      <c r="F895" s="190">
        <v>9.0399999999999991</v>
      </c>
      <c r="G895" s="190">
        <v>78.8</v>
      </c>
      <c r="H895" s="3">
        <v>9</v>
      </c>
      <c r="L895" s="66"/>
    </row>
    <row r="896" spans="3:12" ht="15.75" customHeight="1" x14ac:dyDescent="0.2">
      <c r="C896" s="3" t="s">
        <v>139</v>
      </c>
      <c r="D896" s="19">
        <v>0.5</v>
      </c>
      <c r="E896" s="3">
        <v>18</v>
      </c>
      <c r="F896" s="190">
        <v>9</v>
      </c>
      <c r="G896" s="190">
        <v>76.099999999999994</v>
      </c>
      <c r="H896" s="3">
        <v>8.1999999999999993</v>
      </c>
      <c r="L896" s="66"/>
    </row>
    <row r="897" spans="3:12" ht="15.75" customHeight="1" x14ac:dyDescent="0.2">
      <c r="C897" s="3" t="s">
        <v>139</v>
      </c>
      <c r="D897" s="19">
        <v>0.5</v>
      </c>
      <c r="E897" s="3">
        <v>19</v>
      </c>
      <c r="F897" s="190">
        <v>8.91</v>
      </c>
      <c r="G897" s="190">
        <v>74.900000000000006</v>
      </c>
      <c r="H897" s="3">
        <v>8</v>
      </c>
      <c r="L897" s="66"/>
    </row>
    <row r="898" spans="3:12" ht="15.75" customHeight="1" x14ac:dyDescent="0.2">
      <c r="C898" s="3" t="s">
        <v>139</v>
      </c>
      <c r="D898" s="19">
        <v>0.5</v>
      </c>
      <c r="E898" s="3">
        <v>20</v>
      </c>
      <c r="F898" s="190">
        <v>8.86</v>
      </c>
      <c r="G898" s="190">
        <v>74.2</v>
      </c>
      <c r="H898" s="3">
        <v>7.9</v>
      </c>
      <c r="L898" s="66"/>
    </row>
    <row r="899" spans="3:12" ht="15.75" customHeight="1" x14ac:dyDescent="0.2">
      <c r="C899" s="3" t="s">
        <v>139</v>
      </c>
      <c r="D899" s="19">
        <v>0.5</v>
      </c>
      <c r="E899" s="3">
        <v>21</v>
      </c>
      <c r="F899" s="190">
        <v>8.81</v>
      </c>
      <c r="G899" s="190">
        <v>73.3</v>
      </c>
      <c r="H899" s="3">
        <v>7.5</v>
      </c>
      <c r="L899" s="66"/>
    </row>
    <row r="900" spans="3:12" ht="15.75" customHeight="1" x14ac:dyDescent="0.2">
      <c r="C900" s="3" t="s">
        <v>139</v>
      </c>
      <c r="D900" s="19">
        <v>0.5</v>
      </c>
      <c r="E900" s="3">
        <v>22</v>
      </c>
      <c r="F900" s="190">
        <v>8.76</v>
      </c>
      <c r="G900" s="190">
        <v>72.599999999999994</v>
      </c>
      <c r="H900" s="3">
        <v>7.3</v>
      </c>
      <c r="L900" s="66"/>
    </row>
    <row r="901" spans="3:12" ht="15.75" customHeight="1" x14ac:dyDescent="0.2">
      <c r="C901" s="3" t="s">
        <v>139</v>
      </c>
      <c r="D901" s="19">
        <v>0.5</v>
      </c>
      <c r="E901" s="3">
        <v>23</v>
      </c>
      <c r="F901" s="190">
        <v>8.7200000000000006</v>
      </c>
      <c r="G901" s="190">
        <v>71.900000000000006</v>
      </c>
      <c r="H901" s="3">
        <v>7.2</v>
      </c>
      <c r="L901" s="66"/>
    </row>
    <row r="902" spans="3:12" ht="15.75" customHeight="1" x14ac:dyDescent="0.2">
      <c r="C902" s="3" t="s">
        <v>139</v>
      </c>
      <c r="D902" s="19">
        <v>0.5</v>
      </c>
      <c r="E902" s="3">
        <v>24</v>
      </c>
      <c r="F902" s="190">
        <v>8.67</v>
      </c>
      <c r="G902" s="190">
        <v>71.099999999999994</v>
      </c>
      <c r="H902" s="3">
        <v>7</v>
      </c>
      <c r="L902" s="66"/>
    </row>
    <row r="903" spans="3:12" ht="15.75" customHeight="1" x14ac:dyDescent="0.2">
      <c r="C903" s="3" t="s">
        <v>139</v>
      </c>
      <c r="D903" s="19">
        <v>0.5</v>
      </c>
      <c r="E903" s="3">
        <v>25</v>
      </c>
      <c r="F903" s="190">
        <v>8.65</v>
      </c>
      <c r="G903" s="190">
        <v>70.599999999999994</v>
      </c>
      <c r="H903" s="3">
        <v>6.7</v>
      </c>
      <c r="L903" s="66"/>
    </row>
    <row r="904" spans="3:12" ht="15.75" customHeight="1" x14ac:dyDescent="0.2">
      <c r="C904" s="3" t="s">
        <v>139</v>
      </c>
      <c r="D904" s="19">
        <v>0.5</v>
      </c>
      <c r="E904" s="3">
        <v>30</v>
      </c>
      <c r="F904" s="190">
        <v>8.5</v>
      </c>
      <c r="G904" s="190">
        <v>68.5</v>
      </c>
      <c r="H904" s="3">
        <v>6.2</v>
      </c>
      <c r="L904" s="66"/>
    </row>
    <row r="905" spans="3:12" ht="15.75" customHeight="1" x14ac:dyDescent="0.2">
      <c r="C905" s="3" t="s">
        <v>139</v>
      </c>
      <c r="D905" s="19">
        <v>0.5</v>
      </c>
      <c r="E905" s="3">
        <v>35</v>
      </c>
      <c r="F905" s="190">
        <v>8.39</v>
      </c>
      <c r="G905" s="190">
        <v>67.2</v>
      </c>
      <c r="H905" s="3">
        <v>6</v>
      </c>
      <c r="L905" s="66"/>
    </row>
    <row r="906" spans="3:12" ht="15.75" customHeight="1" x14ac:dyDescent="0.2">
      <c r="C906" s="3" t="s">
        <v>139</v>
      </c>
      <c r="D906" s="19">
        <v>0.5</v>
      </c>
      <c r="E906" s="3">
        <v>40</v>
      </c>
      <c r="F906" s="190">
        <v>8.26</v>
      </c>
      <c r="G906" s="190">
        <v>65.900000000000006</v>
      </c>
      <c r="H906" s="3">
        <v>5.8</v>
      </c>
      <c r="L906" s="66"/>
    </row>
    <row r="907" spans="3:12" ht="15.75" customHeight="1" x14ac:dyDescent="0.2">
      <c r="C907" s="3" t="s">
        <v>139</v>
      </c>
      <c r="D907" s="19">
        <v>0.5</v>
      </c>
      <c r="E907" s="3">
        <v>45</v>
      </c>
      <c r="F907" s="190">
        <v>8.16</v>
      </c>
      <c r="G907" s="190">
        <v>64.8</v>
      </c>
      <c r="H907" s="3">
        <v>5.6</v>
      </c>
      <c r="L907" s="66"/>
    </row>
    <row r="908" spans="3:12" ht="15.75" customHeight="1" x14ac:dyDescent="0.2">
      <c r="C908" s="3" t="s">
        <v>139</v>
      </c>
      <c r="D908" s="19">
        <v>0.5</v>
      </c>
      <c r="E908" s="3">
        <v>50</v>
      </c>
      <c r="F908" s="190">
        <v>8.08</v>
      </c>
      <c r="G908" s="190">
        <v>64</v>
      </c>
      <c r="H908" s="3">
        <v>5.5</v>
      </c>
      <c r="L908" s="66"/>
    </row>
    <row r="909" spans="3:12" ht="15.75" customHeight="1" x14ac:dyDescent="0.2">
      <c r="C909" s="3" t="s">
        <v>139</v>
      </c>
      <c r="D909" s="19">
        <v>0.5</v>
      </c>
      <c r="E909" s="3">
        <v>55</v>
      </c>
      <c r="F909" s="190">
        <v>8</v>
      </c>
      <c r="G909" s="190">
        <v>63.3</v>
      </c>
      <c r="H909" s="3">
        <v>5.4</v>
      </c>
      <c r="L909" s="66"/>
    </row>
    <row r="910" spans="3:12" ht="15.75" customHeight="1" x14ac:dyDescent="0.2">
      <c r="C910" s="3" t="s">
        <v>139</v>
      </c>
      <c r="D910" s="19">
        <v>0.5</v>
      </c>
      <c r="E910" s="3">
        <v>60</v>
      </c>
      <c r="F910" s="190">
        <v>7.92</v>
      </c>
      <c r="G910" s="190">
        <v>62.5</v>
      </c>
      <c r="H910" s="3">
        <v>5.3</v>
      </c>
      <c r="L910" s="66"/>
    </row>
    <row r="911" spans="3:12" ht="15.75" customHeight="1" x14ac:dyDescent="0.2">
      <c r="C911" s="3" t="s">
        <v>139</v>
      </c>
      <c r="D911" s="19">
        <v>0.5</v>
      </c>
      <c r="E911" s="3">
        <v>65</v>
      </c>
      <c r="F911" s="190">
        <v>7.88</v>
      </c>
      <c r="G911" s="190">
        <v>62</v>
      </c>
      <c r="H911" s="3">
        <v>5.2</v>
      </c>
      <c r="L911" s="66"/>
    </row>
    <row r="912" spans="3:12" ht="15.75" customHeight="1" x14ac:dyDescent="0.2">
      <c r="C912" s="3" t="s">
        <v>139</v>
      </c>
      <c r="D912" s="19">
        <v>0.5</v>
      </c>
      <c r="E912" s="3">
        <v>70</v>
      </c>
      <c r="F912" s="190">
        <v>7.83</v>
      </c>
      <c r="G912" s="190">
        <v>61.5</v>
      </c>
      <c r="H912" s="3">
        <v>5.0999999999999996</v>
      </c>
      <c r="L912" s="66"/>
    </row>
    <row r="913" spans="3:12" ht="15.75" customHeight="1" x14ac:dyDescent="0.2">
      <c r="C913" s="3" t="s">
        <v>139</v>
      </c>
      <c r="D913" s="19">
        <v>0.5</v>
      </c>
      <c r="E913" s="3">
        <v>75</v>
      </c>
      <c r="F913" s="190">
        <v>7.78</v>
      </c>
      <c r="G913" s="190">
        <v>61.1</v>
      </c>
      <c r="H913" s="3">
        <v>5.0999999999999996</v>
      </c>
      <c r="L913" s="66"/>
    </row>
    <row r="914" spans="3:12" ht="15.75" customHeight="1" x14ac:dyDescent="0.2">
      <c r="C914" s="3" t="s">
        <v>139</v>
      </c>
      <c r="D914" s="19">
        <v>0.5</v>
      </c>
      <c r="E914" s="3">
        <v>80</v>
      </c>
      <c r="F914" s="190">
        <v>7.7</v>
      </c>
      <c r="G914" s="190">
        <v>60.2</v>
      </c>
      <c r="H914" s="3">
        <v>5</v>
      </c>
      <c r="L914" s="66"/>
    </row>
    <row r="915" spans="3:12" ht="15.75" customHeight="1" x14ac:dyDescent="0.2">
      <c r="C915" s="3" t="s">
        <v>139</v>
      </c>
      <c r="D915" s="19">
        <v>0.5</v>
      </c>
      <c r="E915" s="3">
        <v>85</v>
      </c>
      <c r="F915" s="190">
        <v>7.6</v>
      </c>
      <c r="G915" s="190">
        <v>59.4</v>
      </c>
      <c r="H915" s="3">
        <v>5</v>
      </c>
      <c r="L915" s="66"/>
    </row>
    <row r="916" spans="3:12" ht="15.75" customHeight="1" x14ac:dyDescent="0.2">
      <c r="C916" s="3" t="s">
        <v>139</v>
      </c>
      <c r="D916" s="19">
        <v>0.5</v>
      </c>
      <c r="E916" s="3">
        <v>90</v>
      </c>
      <c r="F916" s="190">
        <v>7.5</v>
      </c>
      <c r="G916" s="190">
        <v>58.7</v>
      </c>
      <c r="H916" s="3">
        <v>5</v>
      </c>
      <c r="L916" s="66"/>
    </row>
    <row r="917" spans="3:12" ht="15.75" customHeight="1" x14ac:dyDescent="0.2">
      <c r="C917" s="3" t="s">
        <v>139</v>
      </c>
      <c r="D917" s="19">
        <v>0.5</v>
      </c>
      <c r="E917" s="3">
        <v>95</v>
      </c>
      <c r="F917" s="190">
        <v>7.43</v>
      </c>
      <c r="G917" s="190">
        <v>58</v>
      </c>
      <c r="H917" s="3">
        <v>4.9000000000000004</v>
      </c>
      <c r="L917" s="66"/>
    </row>
    <row r="918" spans="3:12" ht="15.75" customHeight="1" x14ac:dyDescent="0.2">
      <c r="C918" s="3"/>
      <c r="E918" s="3"/>
      <c r="H918" s="3"/>
      <c r="L918" s="66"/>
    </row>
    <row r="919" spans="3:12" ht="15.75" customHeight="1" x14ac:dyDescent="0.2">
      <c r="C919" s="3"/>
      <c r="E919" s="3"/>
      <c r="H919" s="3"/>
      <c r="L919" s="66"/>
    </row>
    <row r="920" spans="3:12" ht="15.75" customHeight="1" x14ac:dyDescent="0.2">
      <c r="C920" s="15">
        <v>42128</v>
      </c>
      <c r="D920" s="12">
        <v>0.46875</v>
      </c>
      <c r="E920" s="3"/>
      <c r="H920" s="3"/>
      <c r="J920">
        <v>7.5</v>
      </c>
      <c r="K920">
        <v>8.5</v>
      </c>
      <c r="L920" s="66"/>
    </row>
    <row r="921" spans="3:12" ht="15.75" customHeight="1" x14ac:dyDescent="0.2">
      <c r="C921" s="15">
        <v>42128</v>
      </c>
      <c r="D921" s="12">
        <v>0.46875</v>
      </c>
      <c r="E921" s="3">
        <v>0.1</v>
      </c>
      <c r="F921" s="190">
        <v>9.01</v>
      </c>
      <c r="G921" s="190">
        <v>82.8</v>
      </c>
      <c r="H921" s="3">
        <v>11.7</v>
      </c>
      <c r="J921" s="1"/>
      <c r="L921" s="66"/>
    </row>
    <row r="922" spans="3:12" ht="15.75" customHeight="1" x14ac:dyDescent="0.2">
      <c r="C922" s="15">
        <v>42128</v>
      </c>
      <c r="D922" s="12">
        <v>0.46875</v>
      </c>
      <c r="E922" s="3">
        <v>1</v>
      </c>
      <c r="F922" s="190">
        <v>9.02</v>
      </c>
      <c r="G922" s="190">
        <v>81.5</v>
      </c>
      <c r="H922" s="3">
        <v>11</v>
      </c>
      <c r="L922" s="66"/>
    </row>
    <row r="923" spans="3:12" ht="15.75" customHeight="1" x14ac:dyDescent="0.2">
      <c r="C923" s="15">
        <v>42128</v>
      </c>
      <c r="D923" s="12">
        <v>0.46875</v>
      </c>
      <c r="E923" s="3">
        <v>2</v>
      </c>
      <c r="F923" s="190">
        <v>9.14</v>
      </c>
      <c r="G923" s="190">
        <v>80.5</v>
      </c>
      <c r="H923" s="3">
        <v>10.1</v>
      </c>
      <c r="L923" s="66"/>
    </row>
    <row r="924" spans="3:12" ht="15.75" customHeight="1" x14ac:dyDescent="0.2">
      <c r="C924" s="15">
        <v>42128</v>
      </c>
      <c r="D924" s="12">
        <v>0.46875</v>
      </c>
      <c r="E924" s="3">
        <v>3</v>
      </c>
      <c r="F924" s="190">
        <v>9.19</v>
      </c>
      <c r="G924" s="190">
        <v>80.599999999999994</v>
      </c>
      <c r="H924" s="3">
        <v>9.5</v>
      </c>
      <c r="J924" s="1"/>
      <c r="L924" s="66"/>
    </row>
    <row r="925" spans="3:12" ht="15.75" customHeight="1" x14ac:dyDescent="0.2">
      <c r="C925" s="15">
        <v>42128</v>
      </c>
      <c r="D925" s="12">
        <v>0.46875</v>
      </c>
      <c r="E925" s="3">
        <v>4</v>
      </c>
      <c r="F925" s="190">
        <v>9.1999999999999993</v>
      </c>
      <c r="G925" s="190">
        <v>80.099999999999994</v>
      </c>
      <c r="H925" s="3">
        <v>9.4</v>
      </c>
      <c r="J925" s="1"/>
      <c r="L925" s="66"/>
    </row>
    <row r="926" spans="3:12" ht="15.75" customHeight="1" x14ac:dyDescent="0.2">
      <c r="C926" s="15">
        <v>42128</v>
      </c>
      <c r="D926" s="12">
        <v>0.46875</v>
      </c>
      <c r="E926" s="3">
        <v>5</v>
      </c>
      <c r="F926" s="190">
        <v>9.2200000000000006</v>
      </c>
      <c r="G926" s="190">
        <v>79.900000000000006</v>
      </c>
      <c r="H926" s="3">
        <v>9.1999999999999993</v>
      </c>
      <c r="J926" s="1"/>
      <c r="L926" s="66"/>
    </row>
    <row r="927" spans="3:12" ht="15.75" customHeight="1" x14ac:dyDescent="0.2">
      <c r="C927" s="15">
        <v>42128</v>
      </c>
      <c r="D927" s="12">
        <v>0.46875</v>
      </c>
      <c r="E927" s="3">
        <v>6</v>
      </c>
      <c r="F927" s="190">
        <v>9.19</v>
      </c>
      <c r="G927" s="190">
        <v>79.8</v>
      </c>
      <c r="H927" s="3">
        <v>9.1</v>
      </c>
      <c r="J927" s="1"/>
      <c r="L927" s="66"/>
    </row>
    <row r="928" spans="3:12" ht="15.75" customHeight="1" x14ac:dyDescent="0.2">
      <c r="C928" s="15">
        <v>42128</v>
      </c>
      <c r="D928" s="12">
        <v>0.46875</v>
      </c>
      <c r="E928" s="3">
        <v>7</v>
      </c>
      <c r="F928" s="190">
        <v>9.23</v>
      </c>
      <c r="G928" s="190">
        <v>79.599999999999994</v>
      </c>
      <c r="H928" s="3">
        <v>9</v>
      </c>
      <c r="J928" s="1"/>
      <c r="L928" s="66"/>
    </row>
    <row r="929" spans="3:12" ht="15.75" customHeight="1" x14ac:dyDescent="0.2">
      <c r="C929" s="15">
        <v>42128</v>
      </c>
      <c r="D929" s="12">
        <v>0.46875</v>
      </c>
      <c r="E929" s="3">
        <v>8</v>
      </c>
      <c r="F929" s="190">
        <v>9.26</v>
      </c>
      <c r="G929" s="190">
        <v>79.5</v>
      </c>
      <c r="H929" s="3">
        <v>8.8000000000000007</v>
      </c>
      <c r="J929" s="1"/>
      <c r="L929" s="66"/>
    </row>
    <row r="930" spans="3:12" ht="15.75" customHeight="1" x14ac:dyDescent="0.2">
      <c r="C930" s="15">
        <v>42128</v>
      </c>
      <c r="D930" s="12">
        <v>0.46875</v>
      </c>
      <c r="E930" s="3">
        <v>9</v>
      </c>
      <c r="F930" s="190">
        <v>9.23</v>
      </c>
      <c r="G930" s="190">
        <v>79.099999999999994</v>
      </c>
      <c r="H930" s="3">
        <v>8.6</v>
      </c>
      <c r="J930" s="1"/>
      <c r="L930" s="66"/>
    </row>
    <row r="931" spans="3:12" ht="15.75" customHeight="1" x14ac:dyDescent="0.2">
      <c r="C931" s="15">
        <v>42128</v>
      </c>
      <c r="D931" s="12">
        <v>0.46875</v>
      </c>
      <c r="E931" s="3">
        <v>10</v>
      </c>
      <c r="F931" s="190">
        <v>9.23</v>
      </c>
      <c r="G931" s="190">
        <v>78.900000000000006</v>
      </c>
      <c r="H931" s="3">
        <v>8.5</v>
      </c>
      <c r="J931" s="1"/>
      <c r="L931" s="66"/>
    </row>
    <row r="932" spans="3:12" ht="15.75" customHeight="1" x14ac:dyDescent="0.2">
      <c r="C932" s="15">
        <v>42128</v>
      </c>
      <c r="D932" s="12">
        <v>0.46875</v>
      </c>
      <c r="E932" s="3">
        <v>11</v>
      </c>
      <c r="F932" s="190">
        <v>9.2200000000000006</v>
      </c>
      <c r="G932" s="190">
        <v>78.8</v>
      </c>
      <c r="H932" s="3">
        <v>8.5</v>
      </c>
      <c r="J932" s="1"/>
      <c r="L932" s="66"/>
    </row>
    <row r="933" spans="3:12" ht="15.75" customHeight="1" x14ac:dyDescent="0.2">
      <c r="C933" s="15">
        <v>42128</v>
      </c>
      <c r="D933" s="12">
        <v>0.46875</v>
      </c>
      <c r="E933" s="3">
        <v>12</v>
      </c>
      <c r="F933" s="190">
        <v>9.15</v>
      </c>
      <c r="G933" s="190">
        <v>77.5</v>
      </c>
      <c r="H933" s="3">
        <v>8.4</v>
      </c>
      <c r="J933" s="1"/>
      <c r="L933" s="66"/>
    </row>
    <row r="934" spans="3:12" ht="15.75" customHeight="1" x14ac:dyDescent="0.2">
      <c r="C934" s="15">
        <v>42128</v>
      </c>
      <c r="D934" s="12">
        <v>0.46875</v>
      </c>
      <c r="E934" s="3">
        <v>13</v>
      </c>
      <c r="F934" s="190">
        <v>9.1199999999999992</v>
      </c>
      <c r="G934" s="190">
        <v>76.599999999999994</v>
      </c>
      <c r="H934" s="3">
        <v>8</v>
      </c>
      <c r="J934" s="1"/>
      <c r="L934" s="66"/>
    </row>
    <row r="935" spans="3:12" ht="15.75" customHeight="1" x14ac:dyDescent="0.2">
      <c r="C935" s="15">
        <v>42128</v>
      </c>
      <c r="D935" s="12">
        <v>0.46875</v>
      </c>
      <c r="E935" s="3">
        <v>14</v>
      </c>
      <c r="F935" s="190">
        <v>9.17</v>
      </c>
      <c r="G935" s="190">
        <v>76.400000000000006</v>
      </c>
      <c r="H935" s="3">
        <v>7.5</v>
      </c>
      <c r="J935" s="1"/>
      <c r="L935" s="66"/>
    </row>
    <row r="936" spans="3:12" ht="15.75" customHeight="1" x14ac:dyDescent="0.2">
      <c r="C936" s="15">
        <v>42128</v>
      </c>
      <c r="D936" s="12">
        <v>0.46875</v>
      </c>
      <c r="E936" s="3">
        <v>15</v>
      </c>
      <c r="F936" s="190">
        <v>9.11</v>
      </c>
      <c r="G936" s="190">
        <v>75.599999999999994</v>
      </c>
      <c r="H936" s="3">
        <v>7.5</v>
      </c>
      <c r="J936" s="1"/>
      <c r="L936" s="66"/>
    </row>
    <row r="937" spans="3:12" ht="15.75" customHeight="1" x14ac:dyDescent="0.2">
      <c r="C937" s="15">
        <v>42128</v>
      </c>
      <c r="D937" s="12">
        <v>0.46875</v>
      </c>
      <c r="E937" s="3">
        <v>16</v>
      </c>
      <c r="F937" s="190">
        <v>9.1</v>
      </c>
      <c r="G937" s="190">
        <v>74.900000000000006</v>
      </c>
      <c r="H937" s="3">
        <v>7.1</v>
      </c>
      <c r="J937" s="1"/>
      <c r="L937" s="66"/>
    </row>
    <row r="938" spans="3:12" ht="15.75" customHeight="1" x14ac:dyDescent="0.2">
      <c r="C938" s="15">
        <v>42128</v>
      </c>
      <c r="D938" s="12">
        <v>0.46875</v>
      </c>
      <c r="E938" s="3">
        <v>17</v>
      </c>
      <c r="F938" s="190">
        <v>9.09</v>
      </c>
      <c r="G938" s="190">
        <v>74.400000000000006</v>
      </c>
      <c r="H938" s="3">
        <v>6.8</v>
      </c>
      <c r="J938" s="1"/>
      <c r="L938" s="66"/>
    </row>
    <row r="939" spans="3:12" ht="15.75" customHeight="1" x14ac:dyDescent="0.2">
      <c r="C939" s="15">
        <v>42128</v>
      </c>
      <c r="D939" s="12">
        <v>0.46875</v>
      </c>
      <c r="E939" s="3">
        <v>18</v>
      </c>
      <c r="F939" s="190">
        <v>9.07</v>
      </c>
      <c r="G939" s="190">
        <v>74.099999999999994</v>
      </c>
      <c r="H939" s="3">
        <v>6.7</v>
      </c>
      <c r="J939" s="1"/>
      <c r="L939" s="66"/>
    </row>
    <row r="940" spans="3:12" ht="15.75" customHeight="1" x14ac:dyDescent="0.2">
      <c r="C940" s="15">
        <v>42128</v>
      </c>
      <c r="D940" s="12">
        <v>0.46875</v>
      </c>
      <c r="E940" s="3">
        <v>19</v>
      </c>
      <c r="F940" s="190">
        <v>9.06</v>
      </c>
      <c r="G940" s="190">
        <v>73.900000000000006</v>
      </c>
      <c r="H940" s="3">
        <v>6.6</v>
      </c>
      <c r="J940" s="1"/>
      <c r="L940" s="66"/>
    </row>
    <row r="941" spans="3:12" ht="15.75" customHeight="1" x14ac:dyDescent="0.2">
      <c r="C941" s="15">
        <v>42128</v>
      </c>
      <c r="D941" s="12">
        <v>0.46875</v>
      </c>
      <c r="E941" s="3">
        <v>20</v>
      </c>
      <c r="F941" s="190">
        <v>9.06</v>
      </c>
      <c r="G941" s="190">
        <v>73.599999999999994</v>
      </c>
      <c r="H941" s="3">
        <v>6.6</v>
      </c>
      <c r="J941" s="1"/>
      <c r="L941" s="66"/>
    </row>
    <row r="942" spans="3:12" ht="15.75" customHeight="1" x14ac:dyDescent="0.2">
      <c r="C942" s="15">
        <v>42128</v>
      </c>
      <c r="D942" s="12">
        <v>0.46875</v>
      </c>
      <c r="E942" s="3">
        <v>21</v>
      </c>
      <c r="F942" s="190">
        <v>9.02</v>
      </c>
      <c r="G942" s="190">
        <v>73.3</v>
      </c>
      <c r="H942" s="3">
        <v>6.5</v>
      </c>
      <c r="J942" s="1"/>
      <c r="L942" s="66"/>
    </row>
    <row r="943" spans="3:12" ht="15.75" customHeight="1" x14ac:dyDescent="0.2">
      <c r="C943" s="15">
        <v>42128</v>
      </c>
      <c r="D943" s="12">
        <v>0.46875</v>
      </c>
      <c r="E943" s="3">
        <v>22</v>
      </c>
      <c r="F943" s="190">
        <v>9</v>
      </c>
      <c r="G943" s="190">
        <v>72.900000000000006</v>
      </c>
      <c r="H943" s="3">
        <v>6.4</v>
      </c>
      <c r="J943" s="1"/>
      <c r="L943" s="66"/>
    </row>
    <row r="944" spans="3:12" ht="15.75" customHeight="1" x14ac:dyDescent="0.2">
      <c r="C944" s="15">
        <v>42128</v>
      </c>
      <c r="D944" s="12">
        <v>0.46875</v>
      </c>
      <c r="E944" s="3">
        <v>23</v>
      </c>
      <c r="F944" s="190">
        <v>8.9600000000000009</v>
      </c>
      <c r="G944" s="190">
        <v>72.3</v>
      </c>
      <c r="H944" s="3">
        <v>6.3</v>
      </c>
      <c r="J944" s="1"/>
      <c r="L944" s="66"/>
    </row>
    <row r="945" spans="3:12" ht="15.75" customHeight="1" x14ac:dyDescent="0.2">
      <c r="C945" s="15">
        <v>42128</v>
      </c>
      <c r="D945" s="12">
        <v>0.46875</v>
      </c>
      <c r="E945" s="3">
        <v>24</v>
      </c>
      <c r="F945" s="190">
        <v>8.93</v>
      </c>
      <c r="G945" s="190">
        <v>71.900000000000006</v>
      </c>
      <c r="H945" s="3">
        <v>6.1</v>
      </c>
      <c r="J945" s="1"/>
      <c r="L945" s="66"/>
    </row>
    <row r="946" spans="3:12" ht="15.75" customHeight="1" x14ac:dyDescent="0.2">
      <c r="C946" s="15">
        <v>42128</v>
      </c>
      <c r="D946" s="12">
        <v>0.46875</v>
      </c>
      <c r="E946" s="3">
        <v>25</v>
      </c>
      <c r="F946" s="190">
        <v>8.92</v>
      </c>
      <c r="G946" s="190">
        <v>71.3</v>
      </c>
      <c r="H946" s="3">
        <v>6</v>
      </c>
      <c r="J946" s="1"/>
      <c r="L946" s="66"/>
    </row>
    <row r="947" spans="3:12" ht="15.75" customHeight="1" x14ac:dyDescent="0.2">
      <c r="C947" s="15">
        <v>42128</v>
      </c>
      <c r="D947" s="12">
        <v>0.46875</v>
      </c>
      <c r="E947" s="3">
        <v>30</v>
      </c>
      <c r="F947" s="190">
        <v>8.7899999999999991</v>
      </c>
      <c r="G947" s="190">
        <v>70</v>
      </c>
      <c r="H947" s="3">
        <v>5.7</v>
      </c>
      <c r="J947" s="1"/>
      <c r="L947" s="66"/>
    </row>
    <row r="948" spans="3:12" ht="15.75" customHeight="1" x14ac:dyDescent="0.2">
      <c r="C948" s="15">
        <v>42128</v>
      </c>
      <c r="D948" s="12">
        <v>0.46875</v>
      </c>
      <c r="E948" s="3">
        <v>35</v>
      </c>
      <c r="F948" s="190">
        <v>8.6999999999999993</v>
      </c>
      <c r="G948" s="190">
        <v>68.900000000000006</v>
      </c>
      <c r="H948" s="3">
        <v>5.5</v>
      </c>
      <c r="J948" s="1"/>
      <c r="L948" s="66"/>
    </row>
    <row r="949" spans="3:12" ht="15.75" customHeight="1" x14ac:dyDescent="0.2">
      <c r="C949" s="15">
        <v>42128</v>
      </c>
      <c r="D949" s="12">
        <v>0.46875</v>
      </c>
      <c r="E949" s="3">
        <v>40</v>
      </c>
      <c r="F949" s="190">
        <v>8.6</v>
      </c>
      <c r="G949" s="190">
        <v>68</v>
      </c>
      <c r="H949" s="3">
        <v>5.4</v>
      </c>
      <c r="J949" s="1"/>
      <c r="L949" s="66"/>
    </row>
    <row r="950" spans="3:12" ht="15.75" customHeight="1" x14ac:dyDescent="0.2">
      <c r="C950" s="15">
        <v>42128</v>
      </c>
      <c r="D950" s="12">
        <v>0.46875</v>
      </c>
      <c r="E950" s="3">
        <v>45</v>
      </c>
      <c r="F950" s="190">
        <v>8.49</v>
      </c>
      <c r="G950" s="190">
        <v>67.2</v>
      </c>
      <c r="H950" s="3">
        <v>5.4</v>
      </c>
      <c r="J950" s="1"/>
      <c r="L950" s="66"/>
    </row>
    <row r="951" spans="3:12" ht="15.75" customHeight="1" x14ac:dyDescent="0.2">
      <c r="C951" s="15">
        <v>42128</v>
      </c>
      <c r="D951" s="12">
        <v>0.46875</v>
      </c>
      <c r="E951" s="3">
        <v>50</v>
      </c>
      <c r="F951" s="190">
        <v>8.43</v>
      </c>
      <c r="G951" s="190">
        <v>66.3</v>
      </c>
      <c r="H951" s="3">
        <v>5.3</v>
      </c>
      <c r="J951" s="1"/>
      <c r="L951" s="66"/>
    </row>
    <row r="952" spans="3:12" ht="15.75" customHeight="1" x14ac:dyDescent="0.2">
      <c r="C952" s="15">
        <v>42128</v>
      </c>
      <c r="D952" s="12">
        <v>0.46875</v>
      </c>
      <c r="E952" s="3">
        <v>55</v>
      </c>
      <c r="F952" s="190">
        <v>8.34</v>
      </c>
      <c r="G952" s="190">
        <v>65.400000000000006</v>
      </c>
      <c r="H952" s="3">
        <v>5.0999999999999996</v>
      </c>
      <c r="J952" s="1"/>
      <c r="L952" s="66"/>
    </row>
    <row r="953" spans="3:12" ht="15.75" customHeight="1" x14ac:dyDescent="0.2">
      <c r="C953" s="15">
        <v>42128</v>
      </c>
      <c r="D953" s="12">
        <v>0.46875</v>
      </c>
      <c r="E953" s="3">
        <v>60</v>
      </c>
      <c r="F953" s="190">
        <v>8.23</v>
      </c>
      <c r="G953" s="190">
        <v>64.400000000000006</v>
      </c>
      <c r="H953" s="3">
        <v>5.0999999999999996</v>
      </c>
      <c r="J953" s="1"/>
      <c r="L953" s="66"/>
    </row>
    <row r="954" spans="3:12" ht="15.75" customHeight="1" x14ac:dyDescent="0.2">
      <c r="C954" s="15">
        <v>42128</v>
      </c>
      <c r="D954" s="12">
        <v>0.46875</v>
      </c>
      <c r="E954" s="3">
        <v>65</v>
      </c>
      <c r="F954" s="190">
        <v>8.1300000000000008</v>
      </c>
      <c r="G954" s="190">
        <v>63.4</v>
      </c>
      <c r="H954" s="3">
        <v>4.9000000000000004</v>
      </c>
      <c r="J954" s="1"/>
      <c r="L954" s="66"/>
    </row>
    <row r="955" spans="3:12" ht="15.75" customHeight="1" x14ac:dyDescent="0.2">
      <c r="C955" s="15">
        <v>42128</v>
      </c>
      <c r="D955" s="12">
        <v>0.46875</v>
      </c>
      <c r="E955" s="3">
        <v>70</v>
      </c>
      <c r="F955" s="190">
        <v>8.0500000000000007</v>
      </c>
      <c r="G955" s="190">
        <v>62.6</v>
      </c>
      <c r="H955" s="3">
        <v>4.9000000000000004</v>
      </c>
      <c r="J955" s="1"/>
      <c r="L955" s="66"/>
    </row>
    <row r="956" spans="3:12" ht="15.75" customHeight="1" x14ac:dyDescent="0.2">
      <c r="C956" s="15">
        <v>42128</v>
      </c>
      <c r="D956" s="12">
        <v>0.46875</v>
      </c>
      <c r="E956" s="3">
        <v>75</v>
      </c>
      <c r="F956" s="190">
        <v>7.93</v>
      </c>
      <c r="G956" s="190">
        <v>61.7</v>
      </c>
      <c r="H956" s="3">
        <v>4.8</v>
      </c>
      <c r="J956" s="1"/>
      <c r="L956" s="66"/>
    </row>
    <row r="957" spans="3:12" ht="15.75" customHeight="1" x14ac:dyDescent="0.2">
      <c r="C957" s="15">
        <v>42128</v>
      </c>
      <c r="D957" s="12">
        <v>0.46875</v>
      </c>
      <c r="E957" s="3">
        <v>80</v>
      </c>
      <c r="F957" s="190">
        <v>7.82</v>
      </c>
      <c r="G957" s="190">
        <v>60.9</v>
      </c>
      <c r="H957" s="3">
        <v>4.8</v>
      </c>
      <c r="J957" s="1"/>
      <c r="L957" s="66"/>
    </row>
    <row r="958" spans="3:12" ht="15.75" customHeight="1" x14ac:dyDescent="0.2">
      <c r="C958" s="15">
        <v>42128</v>
      </c>
      <c r="D958" s="12">
        <v>0.46875</v>
      </c>
      <c r="E958" s="3">
        <v>85</v>
      </c>
      <c r="F958" s="190">
        <v>7.74</v>
      </c>
      <c r="G958" s="190">
        <v>60.1</v>
      </c>
      <c r="H958" s="3">
        <v>4.7</v>
      </c>
      <c r="J958" s="1"/>
      <c r="L958" s="66"/>
    </row>
    <row r="959" spans="3:12" ht="15.75" customHeight="1" x14ac:dyDescent="0.2">
      <c r="C959" s="15">
        <v>42128</v>
      </c>
      <c r="D959" s="12">
        <v>0.46875</v>
      </c>
      <c r="E959" s="3">
        <v>90</v>
      </c>
      <c r="F959" s="190">
        <v>7.64</v>
      </c>
      <c r="G959" s="190">
        <v>59.3</v>
      </c>
      <c r="H959" s="3">
        <v>4.7</v>
      </c>
      <c r="J959" s="1"/>
      <c r="L959" s="66"/>
    </row>
    <row r="960" spans="3:12" ht="15.75" customHeight="1" x14ac:dyDescent="0.2">
      <c r="C960" s="15">
        <v>42128</v>
      </c>
      <c r="D960" s="12">
        <v>0.46875</v>
      </c>
      <c r="E960" s="3">
        <v>95</v>
      </c>
      <c r="F960" s="190">
        <v>6.9</v>
      </c>
      <c r="G960" s="190">
        <v>50</v>
      </c>
      <c r="H960" s="3">
        <v>4.7</v>
      </c>
      <c r="J960" s="1"/>
      <c r="L960" s="66"/>
    </row>
    <row r="961" spans="3:12" ht="15.75" customHeight="1" x14ac:dyDescent="0.2">
      <c r="C961" s="15"/>
      <c r="D961" s="12"/>
      <c r="E961" s="3"/>
      <c r="H961" s="3"/>
      <c r="J961" s="1"/>
      <c r="L961" s="66"/>
    </row>
    <row r="962" spans="3:12" ht="15.75" customHeight="1" x14ac:dyDescent="0.2">
      <c r="C962" s="15"/>
      <c r="D962" s="12"/>
      <c r="E962" s="3"/>
      <c r="H962" s="3"/>
      <c r="J962" s="1"/>
      <c r="L962" s="66"/>
    </row>
    <row r="963" spans="3:12" ht="15.75" customHeight="1" x14ac:dyDescent="0.2">
      <c r="C963" s="3" t="s">
        <v>155</v>
      </c>
      <c r="D963" s="19">
        <v>0.48958333333333331</v>
      </c>
      <c r="E963" s="3"/>
      <c r="H963" s="3"/>
      <c r="J963">
        <v>10</v>
      </c>
      <c r="K963">
        <v>11.5</v>
      </c>
      <c r="L963" s="66"/>
    </row>
    <row r="964" spans="3:12" ht="15.75" customHeight="1" x14ac:dyDescent="0.2">
      <c r="C964" s="3" t="s">
        <v>155</v>
      </c>
      <c r="D964" s="19">
        <v>0.48958333333333331</v>
      </c>
      <c r="E964" s="3" t="s">
        <v>105</v>
      </c>
      <c r="F964" s="3">
        <v>7.64</v>
      </c>
      <c r="G964" s="3">
        <v>83.8</v>
      </c>
      <c r="H964" s="7">
        <v>19.899999999999999</v>
      </c>
      <c r="I964" s="3">
        <v>19.899999999999999</v>
      </c>
      <c r="L964" s="66"/>
    </row>
    <row r="965" spans="3:12" ht="15.75" customHeight="1" x14ac:dyDescent="0.2">
      <c r="C965" s="3" t="s">
        <v>155</v>
      </c>
      <c r="D965" s="19">
        <v>0.48958333333333331</v>
      </c>
      <c r="E965" s="3" t="s">
        <v>107</v>
      </c>
      <c r="F965" s="3">
        <v>7.99</v>
      </c>
      <c r="G965" s="3">
        <v>84.9</v>
      </c>
      <c r="H965" s="3" t="s">
        <v>179</v>
      </c>
      <c r="I965" s="3">
        <v>18.3</v>
      </c>
      <c r="L965" s="66"/>
    </row>
    <row r="966" spans="3:12" ht="15.75" customHeight="1" x14ac:dyDescent="0.2">
      <c r="C966" s="3" t="s">
        <v>155</v>
      </c>
      <c r="D966" s="19">
        <v>0.48958333333333331</v>
      </c>
      <c r="E966" s="3" t="s">
        <v>132</v>
      </c>
      <c r="F966" s="3">
        <v>8.02</v>
      </c>
      <c r="G966" s="3">
        <v>84.9</v>
      </c>
      <c r="H966" s="3" t="s">
        <v>292</v>
      </c>
      <c r="I966" s="3">
        <v>18.100000000000001</v>
      </c>
      <c r="L966" s="66"/>
    </row>
    <row r="967" spans="3:12" ht="15.75" customHeight="1" x14ac:dyDescent="0.2">
      <c r="C967" s="3" t="s">
        <v>155</v>
      </c>
      <c r="D967" s="19">
        <v>0.48958333333333331</v>
      </c>
      <c r="E967" s="3" t="s">
        <v>187</v>
      </c>
      <c r="F967" s="3">
        <v>8.02</v>
      </c>
      <c r="G967" s="3">
        <v>84.9</v>
      </c>
      <c r="H967" s="3" t="s">
        <v>292</v>
      </c>
      <c r="I967" s="3">
        <v>18.100000000000001</v>
      </c>
      <c r="L967" s="66"/>
    </row>
    <row r="968" spans="3:12" ht="15.75" customHeight="1" x14ac:dyDescent="0.2">
      <c r="C968" s="3" t="s">
        <v>155</v>
      </c>
      <c r="D968" s="19">
        <v>0.48958333333333331</v>
      </c>
      <c r="E968" s="3" t="s">
        <v>188</v>
      </c>
      <c r="F968" s="3">
        <v>8.06</v>
      </c>
      <c r="G968" s="3">
        <v>84.9</v>
      </c>
      <c r="H968" s="3" t="s">
        <v>293</v>
      </c>
      <c r="I968" s="3">
        <v>17.899999999999999</v>
      </c>
      <c r="L968" s="66"/>
    </row>
    <row r="969" spans="3:12" ht="15.75" customHeight="1" x14ac:dyDescent="0.2">
      <c r="C969" s="3" t="s">
        <v>155</v>
      </c>
      <c r="D969" s="19">
        <v>0.48958333333333331</v>
      </c>
      <c r="E969" s="3" t="s">
        <v>189</v>
      </c>
      <c r="F969" s="3">
        <v>8.0500000000000007</v>
      </c>
      <c r="G969" s="3">
        <v>84.8</v>
      </c>
      <c r="H969" s="3" t="s">
        <v>293</v>
      </c>
      <c r="I969" s="3">
        <v>17.899999999999999</v>
      </c>
      <c r="L969" s="66"/>
    </row>
    <row r="970" spans="3:12" ht="15.75" customHeight="1" x14ac:dyDescent="0.2">
      <c r="C970" s="3" t="s">
        <v>155</v>
      </c>
      <c r="D970" s="19">
        <v>0.48958333333333331</v>
      </c>
      <c r="E970" s="3" t="s">
        <v>190</v>
      </c>
      <c r="F970" s="3">
        <v>8.0500000000000007</v>
      </c>
      <c r="G970" s="3">
        <v>84.7</v>
      </c>
      <c r="H970" s="3" t="s">
        <v>294</v>
      </c>
      <c r="I970" s="3">
        <v>17.8</v>
      </c>
      <c r="L970" s="66"/>
    </row>
    <row r="971" spans="3:12" ht="15.75" customHeight="1" x14ac:dyDescent="0.2">
      <c r="C971" s="3" t="s">
        <v>155</v>
      </c>
      <c r="D971" s="19">
        <v>0.48958333333333331</v>
      </c>
      <c r="E971" s="3" t="s">
        <v>192</v>
      </c>
      <c r="F971" s="3">
        <v>8.0299999999999994</v>
      </c>
      <c r="G971" s="3">
        <v>84.5</v>
      </c>
      <c r="H971" s="3" t="s">
        <v>294</v>
      </c>
      <c r="I971" s="3">
        <v>17.8</v>
      </c>
      <c r="L971" s="66"/>
    </row>
    <row r="972" spans="3:12" ht="15.75" customHeight="1" x14ac:dyDescent="0.2">
      <c r="C972" s="3" t="s">
        <v>155</v>
      </c>
      <c r="D972" s="19">
        <v>0.48958333333333331</v>
      </c>
      <c r="E972" s="3" t="s">
        <v>194</v>
      </c>
      <c r="F972" s="3">
        <v>8.0399999999999991</v>
      </c>
      <c r="G972" s="3">
        <v>84.4</v>
      </c>
      <c r="H972" s="3" t="s">
        <v>295</v>
      </c>
      <c r="I972" s="3">
        <v>17.7</v>
      </c>
      <c r="L972" s="66"/>
    </row>
    <row r="973" spans="3:12" ht="15.75" customHeight="1" x14ac:dyDescent="0.2">
      <c r="C973" s="3" t="s">
        <v>155</v>
      </c>
      <c r="D973" s="19">
        <v>0.48958333333333331</v>
      </c>
      <c r="E973" s="3" t="s">
        <v>196</v>
      </c>
      <c r="F973" s="3">
        <v>8.08</v>
      </c>
      <c r="G973" s="3">
        <v>84.1</v>
      </c>
      <c r="H973" s="3" t="s">
        <v>130</v>
      </c>
      <c r="I973" s="3">
        <v>17.3</v>
      </c>
      <c r="L973" s="66"/>
    </row>
    <row r="974" spans="3:12" ht="15.75" customHeight="1" x14ac:dyDescent="0.2">
      <c r="C974" s="3" t="s">
        <v>155</v>
      </c>
      <c r="D974" s="19">
        <v>0.48958333333333331</v>
      </c>
      <c r="E974" s="3" t="s">
        <v>186</v>
      </c>
      <c r="F974" s="3">
        <v>8.25</v>
      </c>
      <c r="G974" s="3">
        <v>84.6</v>
      </c>
      <c r="H974" s="3" t="s">
        <v>143</v>
      </c>
      <c r="I974" s="3">
        <v>16.600000000000001</v>
      </c>
      <c r="L974" s="66"/>
    </row>
    <row r="975" spans="3:12" ht="15.75" customHeight="1" x14ac:dyDescent="0.2">
      <c r="C975" s="3" t="s">
        <v>155</v>
      </c>
      <c r="D975" s="19">
        <v>0.48958333333333331</v>
      </c>
      <c r="E975" s="3" t="s">
        <v>182</v>
      </c>
      <c r="F975" s="3">
        <v>8.36</v>
      </c>
      <c r="G975" s="3">
        <v>84.4</v>
      </c>
      <c r="H975" s="3" t="s">
        <v>252</v>
      </c>
      <c r="I975" s="3">
        <v>15.8</v>
      </c>
      <c r="L975" s="66"/>
    </row>
    <row r="976" spans="3:12" ht="15.75" customHeight="1" x14ac:dyDescent="0.2">
      <c r="C976" s="3" t="s">
        <v>155</v>
      </c>
      <c r="D976" s="19">
        <v>0.48958333333333331</v>
      </c>
      <c r="E976" s="3" t="s">
        <v>117</v>
      </c>
      <c r="F976" s="3">
        <v>8.91</v>
      </c>
      <c r="G976" s="3">
        <v>85.1</v>
      </c>
      <c r="H976" s="3" t="s">
        <v>296</v>
      </c>
      <c r="I976" s="7">
        <f>AVERAGE(I964:I975)</f>
        <v>17.766666666666669</v>
      </c>
      <c r="L976" s="66"/>
    </row>
    <row r="977" spans="3:15" ht="15.75" customHeight="1" x14ac:dyDescent="0.2">
      <c r="C977" s="3" t="s">
        <v>155</v>
      </c>
      <c r="D977" s="19">
        <v>0.48958333333333331</v>
      </c>
      <c r="E977" s="3" t="s">
        <v>200</v>
      </c>
      <c r="F977" s="3">
        <v>9.35</v>
      </c>
      <c r="G977" s="3">
        <v>85.6</v>
      </c>
      <c r="H977" s="3" t="s">
        <v>272</v>
      </c>
      <c r="I977" s="3"/>
      <c r="L977" s="66"/>
    </row>
    <row r="978" spans="3:15" ht="15.75" customHeight="1" x14ac:dyDescent="0.2">
      <c r="C978" s="3" t="s">
        <v>155</v>
      </c>
      <c r="D978" s="19">
        <v>0.48958333333333331</v>
      </c>
      <c r="E978" s="3" t="s">
        <v>202</v>
      </c>
      <c r="F978" s="3">
        <v>9.5399999999999991</v>
      </c>
      <c r="G978" s="3">
        <v>83.7</v>
      </c>
      <c r="H978" s="3" t="s">
        <v>193</v>
      </c>
      <c r="I978" s="3"/>
      <c r="L978" s="66"/>
    </row>
    <row r="979" spans="3:15" ht="15.75" customHeight="1" x14ac:dyDescent="0.2">
      <c r="C979" s="3" t="s">
        <v>155</v>
      </c>
      <c r="D979" s="19">
        <v>0.48958333333333331</v>
      </c>
      <c r="E979" s="3" t="s">
        <v>204</v>
      </c>
      <c r="F979" s="3">
        <v>9.73</v>
      </c>
      <c r="G979" s="3">
        <v>83.8</v>
      </c>
      <c r="H979" s="3" t="s">
        <v>297</v>
      </c>
      <c r="I979" s="3"/>
      <c r="L979" s="66"/>
    </row>
    <row r="980" spans="3:15" ht="15.75" customHeight="1" x14ac:dyDescent="0.2">
      <c r="C980" s="3" t="s">
        <v>155</v>
      </c>
      <c r="D980" s="19">
        <v>0.48958333333333331</v>
      </c>
      <c r="E980" s="3" t="s">
        <v>181</v>
      </c>
      <c r="F980" s="3">
        <v>9.76</v>
      </c>
      <c r="G980" s="3">
        <v>83</v>
      </c>
      <c r="H980" s="3" t="s">
        <v>205</v>
      </c>
      <c r="I980" s="3"/>
      <c r="L980" s="66"/>
    </row>
    <row r="981" spans="3:15" ht="15.75" customHeight="1" x14ac:dyDescent="0.2">
      <c r="C981" s="3" t="s">
        <v>155</v>
      </c>
      <c r="D981" s="19">
        <v>0.48958333333333331</v>
      </c>
      <c r="E981" s="3" t="s">
        <v>207</v>
      </c>
      <c r="F981" s="3">
        <v>9.6999999999999993</v>
      </c>
      <c r="G981" s="3">
        <v>81.3</v>
      </c>
      <c r="H981" s="3" t="s">
        <v>254</v>
      </c>
      <c r="I981" s="3"/>
      <c r="L981" s="66"/>
    </row>
    <row r="982" spans="3:15" ht="15.75" customHeight="1" x14ac:dyDescent="0.2">
      <c r="C982" s="3" t="s">
        <v>155</v>
      </c>
      <c r="D982" s="19">
        <v>0.48958333333333331</v>
      </c>
      <c r="E982" s="3" t="s">
        <v>209</v>
      </c>
      <c r="F982" s="3">
        <v>9.65</v>
      </c>
      <c r="G982" s="3">
        <v>79.7</v>
      </c>
      <c r="H982" s="3" t="s">
        <v>242</v>
      </c>
      <c r="I982" s="3"/>
      <c r="L982" s="66"/>
      <c r="N982" s="68"/>
      <c r="O982" s="68"/>
    </row>
    <row r="983" spans="3:15" ht="15.75" customHeight="1" x14ac:dyDescent="0.2">
      <c r="C983" s="3" t="s">
        <v>155</v>
      </c>
      <c r="D983" s="19">
        <v>0.48958333333333331</v>
      </c>
      <c r="E983" s="3" t="s">
        <v>210</v>
      </c>
      <c r="F983" s="3">
        <v>9.52</v>
      </c>
      <c r="G983" s="3">
        <v>78.099999999999994</v>
      </c>
      <c r="H983" s="3" t="s">
        <v>230</v>
      </c>
      <c r="I983" s="3"/>
      <c r="L983" s="66"/>
      <c r="N983" s="68"/>
      <c r="O983" s="68"/>
    </row>
    <row r="984" spans="3:15" ht="15.75" customHeight="1" x14ac:dyDescent="0.2">
      <c r="C984" s="3" t="s">
        <v>155</v>
      </c>
      <c r="D984" s="19">
        <v>0.48958333333333331</v>
      </c>
      <c r="E984" s="3" t="s">
        <v>212</v>
      </c>
      <c r="F984" s="3">
        <v>9.41</v>
      </c>
      <c r="G984" s="3">
        <v>76.900000000000006</v>
      </c>
      <c r="H984" s="3" t="s">
        <v>255</v>
      </c>
      <c r="I984" s="3"/>
      <c r="L984" s="66"/>
      <c r="N984" s="68"/>
      <c r="O984" s="68"/>
    </row>
    <row r="985" spans="3:15" ht="15.75" customHeight="1" x14ac:dyDescent="0.2">
      <c r="C985" s="3" t="s">
        <v>155</v>
      </c>
      <c r="D985" s="19">
        <v>0.48958333333333331</v>
      </c>
      <c r="E985" s="3" t="s">
        <v>214</v>
      </c>
      <c r="F985" s="3">
        <v>9.18</v>
      </c>
      <c r="G985" s="3">
        <v>74.5</v>
      </c>
      <c r="H985" s="3" t="s">
        <v>231</v>
      </c>
      <c r="I985" s="3"/>
      <c r="L985" s="66"/>
      <c r="N985" s="68"/>
      <c r="O985" s="68"/>
    </row>
    <row r="986" spans="3:15" ht="15.75" customHeight="1" x14ac:dyDescent="0.2">
      <c r="C986" s="3" t="s">
        <v>155</v>
      </c>
      <c r="D986" s="19">
        <v>0.48958333333333331</v>
      </c>
      <c r="E986" s="3" t="s">
        <v>216</v>
      </c>
      <c r="F986" s="3">
        <v>9.1</v>
      </c>
      <c r="G986" s="3">
        <v>73.599999999999994</v>
      </c>
      <c r="H986" s="3" t="s">
        <v>217</v>
      </c>
      <c r="I986" s="3"/>
      <c r="L986" s="66"/>
      <c r="N986" s="68"/>
      <c r="O986" s="68"/>
    </row>
    <row r="987" spans="3:15" ht="15.75" customHeight="1" x14ac:dyDescent="0.2">
      <c r="C987" s="3" t="s">
        <v>155</v>
      </c>
      <c r="D987" s="19">
        <v>0.48958333333333331</v>
      </c>
      <c r="E987" s="3" t="s">
        <v>218</v>
      </c>
      <c r="F987" s="3">
        <v>9.0399999999999991</v>
      </c>
      <c r="G987" s="3">
        <v>72.8</v>
      </c>
      <c r="H987" s="3" t="s">
        <v>256</v>
      </c>
      <c r="I987" s="3"/>
      <c r="L987" s="66"/>
      <c r="N987" s="68"/>
      <c r="O987" s="68"/>
    </row>
    <row r="988" spans="3:15" ht="15.75" customHeight="1" x14ac:dyDescent="0.2">
      <c r="C988" s="3" t="s">
        <v>155</v>
      </c>
      <c r="D988" s="19">
        <v>0.48958333333333331</v>
      </c>
      <c r="E988" s="3" t="s">
        <v>220</v>
      </c>
      <c r="F988" s="3">
        <v>9.01</v>
      </c>
      <c r="G988" s="3">
        <v>72.400000000000006</v>
      </c>
      <c r="H988" s="3" t="s">
        <v>190</v>
      </c>
      <c r="I988" s="3"/>
      <c r="L988" s="66"/>
      <c r="N988" s="68"/>
      <c r="O988" s="68"/>
    </row>
    <row r="989" spans="3:15" ht="15.75" customHeight="1" x14ac:dyDescent="0.2">
      <c r="C989" s="3" t="s">
        <v>155</v>
      </c>
      <c r="D989" s="19">
        <v>0.48958333333333331</v>
      </c>
      <c r="E989" s="3" t="s">
        <v>221</v>
      </c>
      <c r="F989" s="3">
        <v>8.9600000000000009</v>
      </c>
      <c r="G989" s="3">
        <v>72</v>
      </c>
      <c r="H989" s="3" t="s">
        <v>190</v>
      </c>
      <c r="I989" s="3"/>
      <c r="L989" s="66"/>
      <c r="N989" s="68"/>
      <c r="O989" s="68"/>
    </row>
    <row r="990" spans="3:15" ht="15.75" customHeight="1" x14ac:dyDescent="0.2">
      <c r="C990" s="3" t="s">
        <v>155</v>
      </c>
      <c r="D990" s="19">
        <v>0.48958333333333331</v>
      </c>
      <c r="E990" s="3" t="s">
        <v>262</v>
      </c>
      <c r="F990" s="3">
        <v>8.8699999999999992</v>
      </c>
      <c r="G990" s="3">
        <v>70.7</v>
      </c>
      <c r="H990" s="3" t="s">
        <v>247</v>
      </c>
      <c r="I990" s="3"/>
      <c r="L990" s="66"/>
      <c r="N990" s="68"/>
      <c r="O990" s="68"/>
    </row>
    <row r="991" spans="3:15" ht="15.75" customHeight="1" x14ac:dyDescent="0.2">
      <c r="C991" s="3" t="s">
        <v>155</v>
      </c>
      <c r="D991" s="19">
        <v>0.48958333333333331</v>
      </c>
      <c r="E991" s="3" t="s">
        <v>270</v>
      </c>
      <c r="F991" s="3">
        <v>8.7100000000000009</v>
      </c>
      <c r="G991" s="3">
        <v>69.3</v>
      </c>
      <c r="H991" s="3" t="s">
        <v>248</v>
      </c>
      <c r="I991" s="3"/>
      <c r="L991" s="66"/>
      <c r="N991" s="68"/>
      <c r="O991" s="68"/>
    </row>
    <row r="992" spans="3:15" ht="15.75" customHeight="1" x14ac:dyDescent="0.2">
      <c r="C992" s="3" t="s">
        <v>155</v>
      </c>
      <c r="D992" s="19">
        <v>0.48958333333333331</v>
      </c>
      <c r="E992" s="3" t="s">
        <v>263</v>
      </c>
      <c r="F992" s="3">
        <v>8.66</v>
      </c>
      <c r="G992" s="3">
        <v>68.5</v>
      </c>
      <c r="H992" s="3" t="s">
        <v>250</v>
      </c>
      <c r="I992" s="3"/>
      <c r="L992" s="66"/>
      <c r="N992" s="68"/>
      <c r="O992" s="68"/>
    </row>
    <row r="993" spans="3:15" ht="15.75" customHeight="1" x14ac:dyDescent="0.2">
      <c r="C993" s="3" t="s">
        <v>155</v>
      </c>
      <c r="D993" s="19">
        <v>0.48958333333333331</v>
      </c>
      <c r="E993" s="3" t="s">
        <v>278</v>
      </c>
      <c r="F993" s="3">
        <v>8.6300000000000008</v>
      </c>
      <c r="G993" s="3">
        <v>68.099999999999994</v>
      </c>
      <c r="H993" s="3" t="s">
        <v>277</v>
      </c>
      <c r="I993" s="3"/>
      <c r="L993" s="66"/>
      <c r="N993" s="68"/>
      <c r="O993" s="68"/>
    </row>
    <row r="994" spans="3:15" ht="15.75" customHeight="1" x14ac:dyDescent="0.2">
      <c r="C994" s="3" t="s">
        <v>155</v>
      </c>
      <c r="D994" s="19">
        <v>0.48958333333333331</v>
      </c>
      <c r="E994" s="3" t="s">
        <v>279</v>
      </c>
      <c r="F994" s="3">
        <v>8.57</v>
      </c>
      <c r="G994" s="3">
        <v>68.400000000000006</v>
      </c>
      <c r="H994" s="3" t="s">
        <v>264</v>
      </c>
      <c r="I994" s="3"/>
      <c r="L994" s="66"/>
      <c r="N994" s="68"/>
      <c r="O994" s="68"/>
    </row>
    <row r="995" spans="3:15" ht="15.75" customHeight="1" x14ac:dyDescent="0.2">
      <c r="C995" s="3" t="s">
        <v>155</v>
      </c>
      <c r="D995" s="19">
        <v>0.48958333333333331</v>
      </c>
      <c r="E995" s="3" t="s">
        <v>280</v>
      </c>
      <c r="F995" s="3">
        <v>8.5399999999999991</v>
      </c>
      <c r="G995" s="3">
        <v>66.900000000000006</v>
      </c>
      <c r="H995" s="3" t="s">
        <v>189</v>
      </c>
      <c r="I995" s="3"/>
      <c r="L995" s="66"/>
      <c r="N995" s="68"/>
      <c r="O995" s="68"/>
    </row>
    <row r="996" spans="3:15" ht="15.75" customHeight="1" x14ac:dyDescent="0.2">
      <c r="C996" s="3" t="s">
        <v>155</v>
      </c>
      <c r="D996" s="19">
        <v>0.48958333333333331</v>
      </c>
      <c r="E996" s="3" t="s">
        <v>283</v>
      </c>
      <c r="F996" s="3">
        <v>8.44</v>
      </c>
      <c r="G996" s="3">
        <v>66.099999999999994</v>
      </c>
      <c r="H996" s="3" t="s">
        <v>189</v>
      </c>
      <c r="I996" s="3"/>
      <c r="L996" s="66"/>
      <c r="N996" s="68"/>
      <c r="O996" s="68"/>
    </row>
    <row r="997" spans="3:15" ht="15.75" customHeight="1" x14ac:dyDescent="0.2">
      <c r="C997" s="3" t="s">
        <v>155</v>
      </c>
      <c r="D997" s="19">
        <v>0.48958333333333331</v>
      </c>
      <c r="E997" s="3" t="s">
        <v>284</v>
      </c>
      <c r="F997" s="3">
        <v>8.39</v>
      </c>
      <c r="G997" s="3">
        <v>65.5</v>
      </c>
      <c r="H997" s="3" t="s">
        <v>287</v>
      </c>
      <c r="I997" s="3"/>
      <c r="L997" s="66"/>
      <c r="N997" s="68"/>
      <c r="O997" s="68"/>
    </row>
    <row r="998" spans="3:15" ht="15.75" customHeight="1" x14ac:dyDescent="0.2">
      <c r="C998" s="3" t="s">
        <v>155</v>
      </c>
      <c r="D998" s="19">
        <v>0.48958333333333331</v>
      </c>
      <c r="E998" s="3" t="s">
        <v>285</v>
      </c>
      <c r="F998" s="3">
        <v>8.36</v>
      </c>
      <c r="G998" s="3">
        <v>65.099999999999994</v>
      </c>
      <c r="H998" s="3" t="s">
        <v>298</v>
      </c>
      <c r="I998" s="3"/>
      <c r="L998" s="66"/>
      <c r="N998" s="68"/>
      <c r="O998" s="68"/>
    </row>
    <row r="999" spans="3:15" ht="15.75" customHeight="1" x14ac:dyDescent="0.2">
      <c r="C999" s="3" t="s">
        <v>155</v>
      </c>
      <c r="D999" s="19">
        <v>0.48958333333333331</v>
      </c>
      <c r="E999" s="3" t="s">
        <v>286</v>
      </c>
      <c r="F999" s="3">
        <v>8.26</v>
      </c>
      <c r="G999" s="3">
        <v>64.3</v>
      </c>
      <c r="H999" s="3" t="s">
        <v>298</v>
      </c>
      <c r="I999" s="3"/>
      <c r="L999" s="66"/>
      <c r="N999" s="68"/>
      <c r="O999" s="68"/>
    </row>
    <row r="1000" spans="3:15" ht="15.75" customHeight="1" x14ac:dyDescent="0.2">
      <c r="C1000" s="3" t="s">
        <v>155</v>
      </c>
      <c r="D1000" s="19">
        <v>0.48958333333333331</v>
      </c>
      <c r="E1000" s="3" t="s">
        <v>288</v>
      </c>
      <c r="F1000" s="3">
        <v>8.1300000000000008</v>
      </c>
      <c r="G1000" s="3">
        <v>63.2</v>
      </c>
      <c r="H1000" s="3" t="s">
        <v>299</v>
      </c>
      <c r="I1000" s="3"/>
      <c r="L1000" s="66"/>
      <c r="N1000" s="68"/>
      <c r="O1000" s="68"/>
    </row>
    <row r="1001" spans="3:15" ht="15.75" customHeight="1" x14ac:dyDescent="0.2">
      <c r="C1001" s="3" t="s">
        <v>155</v>
      </c>
      <c r="D1001" s="19">
        <v>0.48958333333333331</v>
      </c>
      <c r="E1001" s="3" t="s">
        <v>289</v>
      </c>
      <c r="F1001" s="3">
        <v>7.78</v>
      </c>
      <c r="G1001" s="3">
        <v>60.4</v>
      </c>
      <c r="H1001" s="3" t="s">
        <v>299</v>
      </c>
      <c r="I1001" s="3"/>
      <c r="L1001" s="66"/>
      <c r="N1001" s="68"/>
      <c r="O1001" s="68"/>
    </row>
    <row r="1002" spans="3:15" ht="15.75" customHeight="1" x14ac:dyDescent="0.2">
      <c r="C1002" s="3" t="s">
        <v>155</v>
      </c>
      <c r="D1002" s="19">
        <v>0.48958333333333331</v>
      </c>
      <c r="E1002" s="3" t="s">
        <v>290</v>
      </c>
      <c r="F1002" s="3">
        <v>7.7</v>
      </c>
      <c r="G1002" s="3">
        <v>59.8</v>
      </c>
      <c r="H1002" s="3" t="s">
        <v>299</v>
      </c>
      <c r="I1002" s="3"/>
      <c r="L1002" s="66"/>
      <c r="N1002" s="68"/>
      <c r="O1002" s="68"/>
    </row>
    <row r="1003" spans="3:15" ht="15.75" customHeight="1" x14ac:dyDescent="0.2">
      <c r="C1003" s="3" t="s">
        <v>155</v>
      </c>
      <c r="D1003" s="19">
        <v>0.48958333333333331</v>
      </c>
      <c r="E1003" s="3" t="s">
        <v>291</v>
      </c>
      <c r="F1003" s="3">
        <v>6.94</v>
      </c>
      <c r="G1003" s="3">
        <v>54</v>
      </c>
      <c r="H1003" s="3" t="s">
        <v>299</v>
      </c>
      <c r="I1003" s="3"/>
      <c r="L1003" s="66"/>
      <c r="N1003" s="68"/>
      <c r="O1003" s="68"/>
    </row>
    <row r="1004" spans="3:15" ht="15.75" customHeight="1" x14ac:dyDescent="0.2">
      <c r="C1004" s="3"/>
      <c r="E1004" s="3"/>
      <c r="H1004" s="3"/>
      <c r="L1004" s="66"/>
    </row>
    <row r="1005" spans="3:15" ht="15.75" customHeight="1" x14ac:dyDescent="0.2">
      <c r="C1005" s="3" t="s">
        <v>152</v>
      </c>
      <c r="D1005" s="185">
        <v>0.5625</v>
      </c>
      <c r="E1005" s="3"/>
      <c r="H1005" s="3"/>
      <c r="J1005">
        <v>8</v>
      </c>
      <c r="K1005">
        <v>11.5</v>
      </c>
      <c r="L1005" s="66"/>
    </row>
    <row r="1006" spans="3:15" ht="15.75" customHeight="1" x14ac:dyDescent="0.2">
      <c r="C1006" s="3" t="s">
        <v>152</v>
      </c>
      <c r="D1006" s="185">
        <v>0.5625</v>
      </c>
      <c r="E1006" s="3" t="s">
        <v>105</v>
      </c>
      <c r="F1006" s="3">
        <v>7.44</v>
      </c>
      <c r="G1006" s="3">
        <v>86.1</v>
      </c>
      <c r="H1006" s="3" t="s">
        <v>300</v>
      </c>
      <c r="I1006" s="3"/>
      <c r="L1006" s="66"/>
    </row>
    <row r="1007" spans="3:15" ht="15.75" customHeight="1" x14ac:dyDescent="0.2">
      <c r="C1007" s="3" t="s">
        <v>152</v>
      </c>
      <c r="D1007" s="185">
        <v>0.5625</v>
      </c>
      <c r="E1007" s="3" t="s">
        <v>107</v>
      </c>
      <c r="F1007" s="3">
        <v>7.49</v>
      </c>
      <c r="G1007" s="3">
        <v>86.2</v>
      </c>
      <c r="H1007" s="3" t="s">
        <v>301</v>
      </c>
      <c r="I1007" s="3"/>
      <c r="L1007" s="66"/>
    </row>
    <row r="1008" spans="3:15" ht="15.75" customHeight="1" x14ac:dyDescent="0.2">
      <c r="C1008" s="3" t="s">
        <v>152</v>
      </c>
      <c r="D1008" s="185">
        <v>0.5625</v>
      </c>
      <c r="E1008" s="3" t="s">
        <v>132</v>
      </c>
      <c r="F1008" s="3">
        <v>7.5</v>
      </c>
      <c r="G1008" s="3">
        <v>85.7</v>
      </c>
      <c r="H1008" s="3" t="s">
        <v>302</v>
      </c>
      <c r="I1008" s="3"/>
      <c r="L1008" s="66"/>
    </row>
    <row r="1009" spans="3:12" ht="15.75" customHeight="1" x14ac:dyDescent="0.2">
      <c r="C1009" s="3" t="s">
        <v>152</v>
      </c>
      <c r="D1009" s="185">
        <v>0.5625</v>
      </c>
      <c r="E1009" s="3" t="s">
        <v>187</v>
      </c>
      <c r="F1009" s="3">
        <v>7.54</v>
      </c>
      <c r="G1009" s="3">
        <v>85.8</v>
      </c>
      <c r="H1009" s="3" t="s">
        <v>137</v>
      </c>
      <c r="I1009" s="3"/>
      <c r="L1009" s="66"/>
    </row>
    <row r="1010" spans="3:12" ht="15.75" customHeight="1" x14ac:dyDescent="0.2">
      <c r="C1010" s="3" t="s">
        <v>152</v>
      </c>
      <c r="D1010" s="185">
        <v>0.5625</v>
      </c>
      <c r="E1010" s="3" t="s">
        <v>188</v>
      </c>
      <c r="F1010" s="3">
        <v>7.56</v>
      </c>
      <c r="G1010" s="3">
        <v>85.7</v>
      </c>
      <c r="H1010" s="3" t="s">
        <v>138</v>
      </c>
      <c r="I1010" s="3"/>
      <c r="L1010" s="66"/>
    </row>
    <row r="1011" spans="3:12" ht="15.75" customHeight="1" x14ac:dyDescent="0.2">
      <c r="C1011" s="3" t="s">
        <v>152</v>
      </c>
      <c r="D1011" s="185">
        <v>0.5625</v>
      </c>
      <c r="E1011" s="3" t="s">
        <v>189</v>
      </c>
      <c r="F1011" s="3">
        <v>7.58</v>
      </c>
      <c r="G1011" s="3">
        <v>85.6</v>
      </c>
      <c r="H1011" s="3" t="s">
        <v>303</v>
      </c>
      <c r="I1011" s="3"/>
      <c r="L1011" s="66"/>
    </row>
    <row r="1012" spans="3:12" ht="15.75" customHeight="1" x14ac:dyDescent="0.2">
      <c r="C1012" s="3" t="s">
        <v>152</v>
      </c>
      <c r="D1012" s="185">
        <v>0.5625</v>
      </c>
      <c r="E1012" s="3" t="s">
        <v>190</v>
      </c>
      <c r="F1012" s="3">
        <v>7.57</v>
      </c>
      <c r="G1012" s="3">
        <v>85.4</v>
      </c>
      <c r="H1012" s="3" t="s">
        <v>304</v>
      </c>
      <c r="I1012" s="3"/>
      <c r="L1012" s="66"/>
    </row>
    <row r="1013" spans="3:12" ht="15.75" customHeight="1" x14ac:dyDescent="0.2">
      <c r="C1013" s="3" t="s">
        <v>152</v>
      </c>
      <c r="D1013" s="185">
        <v>0.5625</v>
      </c>
      <c r="E1013" s="3" t="s">
        <v>192</v>
      </c>
      <c r="F1013" s="3">
        <v>7.59</v>
      </c>
      <c r="G1013" s="3">
        <v>85.4</v>
      </c>
      <c r="H1013" s="3" t="s">
        <v>177</v>
      </c>
      <c r="I1013" s="3"/>
      <c r="L1013" s="66"/>
    </row>
    <row r="1014" spans="3:12" ht="15.75" customHeight="1" x14ac:dyDescent="0.2">
      <c r="C1014" s="3" t="s">
        <v>152</v>
      </c>
      <c r="D1014" s="185">
        <v>0.5625</v>
      </c>
      <c r="E1014" s="3" t="s">
        <v>194</v>
      </c>
      <c r="F1014" s="3">
        <v>7.57</v>
      </c>
      <c r="G1014" s="3">
        <v>85.3</v>
      </c>
      <c r="H1014" s="3" t="s">
        <v>177</v>
      </c>
      <c r="I1014" s="3"/>
      <c r="L1014" s="66"/>
    </row>
    <row r="1015" spans="3:12" ht="15.75" customHeight="1" x14ac:dyDescent="0.2">
      <c r="C1015" s="3" t="s">
        <v>152</v>
      </c>
      <c r="D1015" s="185">
        <v>0.5625</v>
      </c>
      <c r="E1015" s="3" t="s">
        <v>196</v>
      </c>
      <c r="F1015" s="3">
        <v>7.46</v>
      </c>
      <c r="G1015" s="3">
        <v>82.3</v>
      </c>
      <c r="H1015" s="3" t="s">
        <v>305</v>
      </c>
      <c r="I1015" s="3"/>
      <c r="L1015" s="66"/>
    </row>
    <row r="1016" spans="3:12" ht="15.75" customHeight="1" x14ac:dyDescent="0.2">
      <c r="C1016" s="3" t="s">
        <v>152</v>
      </c>
      <c r="D1016" s="185">
        <v>0.5625</v>
      </c>
      <c r="E1016" s="3" t="s">
        <v>186</v>
      </c>
      <c r="F1016" s="3">
        <v>8.67</v>
      </c>
      <c r="G1016" s="3">
        <v>89.4</v>
      </c>
      <c r="H1016" s="3" t="s">
        <v>133</v>
      </c>
      <c r="I1016" s="3"/>
      <c r="L1016" s="66"/>
    </row>
    <row r="1017" spans="3:12" ht="15.75" customHeight="1" x14ac:dyDescent="0.2">
      <c r="C1017" s="3" t="s">
        <v>152</v>
      </c>
      <c r="D1017" s="185">
        <v>0.5625</v>
      </c>
      <c r="E1017" s="3" t="s">
        <v>182</v>
      </c>
      <c r="F1017" s="3">
        <v>9.42</v>
      </c>
      <c r="G1017" s="3">
        <v>90.8</v>
      </c>
      <c r="H1017" s="3" t="s">
        <v>202</v>
      </c>
      <c r="I1017" s="3"/>
      <c r="L1017" s="66"/>
    </row>
    <row r="1018" spans="3:12" ht="15.75" customHeight="1" x14ac:dyDescent="0.2">
      <c r="C1018" s="3" t="s">
        <v>152</v>
      </c>
      <c r="D1018" s="185">
        <v>0.5625</v>
      </c>
      <c r="E1018" s="3" t="s">
        <v>117</v>
      </c>
      <c r="F1018" s="3">
        <v>9.68</v>
      </c>
      <c r="G1018" s="3">
        <v>90.1</v>
      </c>
      <c r="H1018" s="3" t="s">
        <v>116</v>
      </c>
      <c r="I1018" s="3"/>
      <c r="L1018" s="66"/>
    </row>
    <row r="1019" spans="3:12" ht="15.75" customHeight="1" x14ac:dyDescent="0.2">
      <c r="C1019" s="3" t="s">
        <v>152</v>
      </c>
      <c r="D1019" s="185">
        <v>0.5625</v>
      </c>
      <c r="E1019" s="3" t="s">
        <v>200</v>
      </c>
      <c r="F1019" s="3">
        <v>9.7799999999999994</v>
      </c>
      <c r="G1019" s="3">
        <v>88.1</v>
      </c>
      <c r="H1019" s="3" t="s">
        <v>269</v>
      </c>
      <c r="I1019" s="3"/>
      <c r="L1019" s="66"/>
    </row>
    <row r="1020" spans="3:12" ht="15.75" customHeight="1" x14ac:dyDescent="0.2">
      <c r="C1020" s="3" t="s">
        <v>152</v>
      </c>
      <c r="D1020" s="185">
        <v>0.5625</v>
      </c>
      <c r="E1020" s="3" t="s">
        <v>202</v>
      </c>
      <c r="F1020" s="3">
        <v>9.8800000000000008</v>
      </c>
      <c r="G1020" s="3">
        <v>86.8</v>
      </c>
      <c r="H1020" s="3" t="s">
        <v>186</v>
      </c>
      <c r="I1020" s="3"/>
      <c r="L1020" s="66"/>
    </row>
    <row r="1021" spans="3:12" ht="15.75" customHeight="1" x14ac:dyDescent="0.2">
      <c r="C1021" s="3" t="s">
        <v>152</v>
      </c>
      <c r="D1021" s="185">
        <v>0.5625</v>
      </c>
      <c r="E1021" s="3" t="s">
        <v>204</v>
      </c>
      <c r="F1021" s="3">
        <v>9.9700000000000006</v>
      </c>
      <c r="G1021" s="3">
        <v>85.7</v>
      </c>
      <c r="H1021" s="3" t="s">
        <v>198</v>
      </c>
      <c r="I1021" s="3"/>
      <c r="L1021" s="66"/>
    </row>
    <row r="1022" spans="3:12" ht="15.75" customHeight="1" x14ac:dyDescent="0.2">
      <c r="C1022" s="3" t="s">
        <v>152</v>
      </c>
      <c r="D1022" s="185">
        <v>0.5625</v>
      </c>
      <c r="E1022" s="3" t="s">
        <v>181</v>
      </c>
      <c r="F1022" s="3">
        <v>9.94</v>
      </c>
      <c r="G1022" s="3">
        <v>84</v>
      </c>
      <c r="H1022" s="3" t="s">
        <v>206</v>
      </c>
      <c r="I1022" s="3"/>
      <c r="L1022" s="66"/>
    </row>
    <row r="1023" spans="3:12" ht="15.75" customHeight="1" x14ac:dyDescent="0.2">
      <c r="C1023" s="3" t="s">
        <v>152</v>
      </c>
      <c r="D1023" s="185">
        <v>0.5625</v>
      </c>
      <c r="E1023" s="3" t="s">
        <v>207</v>
      </c>
      <c r="F1023" s="3">
        <v>9.7799999999999994</v>
      </c>
      <c r="G1023" s="3">
        <v>81.599999999999994</v>
      </c>
      <c r="H1023" s="3" t="s">
        <v>254</v>
      </c>
      <c r="I1023" s="3"/>
      <c r="L1023" s="66"/>
    </row>
    <row r="1024" spans="3:12" ht="15.75" customHeight="1" x14ac:dyDescent="0.2">
      <c r="C1024" s="3" t="s">
        <v>152</v>
      </c>
      <c r="D1024" s="185">
        <v>0.5625</v>
      </c>
      <c r="E1024" s="3" t="s">
        <v>209</v>
      </c>
      <c r="F1024" s="3">
        <v>9.6999999999999993</v>
      </c>
      <c r="G1024" s="3">
        <v>80.099999999999994</v>
      </c>
      <c r="H1024" s="3" t="s">
        <v>211</v>
      </c>
      <c r="I1024" s="3"/>
      <c r="L1024" s="66"/>
    </row>
    <row r="1025" spans="3:12" ht="15.75" customHeight="1" x14ac:dyDescent="0.2">
      <c r="C1025" s="3" t="s">
        <v>152</v>
      </c>
      <c r="D1025" s="185">
        <v>0.5625</v>
      </c>
      <c r="E1025" s="3" t="s">
        <v>210</v>
      </c>
      <c r="F1025" s="3">
        <v>9.58</v>
      </c>
      <c r="G1025" s="3">
        <v>78.599999999999994</v>
      </c>
      <c r="H1025" s="3" t="s">
        <v>192</v>
      </c>
      <c r="I1025" s="3"/>
      <c r="L1025" s="66"/>
    </row>
    <row r="1026" spans="3:12" ht="15.75" customHeight="1" x14ac:dyDescent="0.2">
      <c r="C1026" s="3" t="s">
        <v>152</v>
      </c>
      <c r="D1026" s="185">
        <v>0.5625</v>
      </c>
      <c r="E1026" s="3" t="s">
        <v>212</v>
      </c>
      <c r="F1026" s="3">
        <v>9.4700000000000006</v>
      </c>
      <c r="G1026" s="3">
        <v>77.5</v>
      </c>
      <c r="H1026" s="3" t="s">
        <v>229</v>
      </c>
      <c r="I1026" s="3"/>
      <c r="L1026" s="66"/>
    </row>
    <row r="1027" spans="3:12" ht="15.75" customHeight="1" x14ac:dyDescent="0.2">
      <c r="C1027" s="3" t="s">
        <v>152</v>
      </c>
      <c r="D1027" s="185">
        <v>0.5625</v>
      </c>
      <c r="E1027" s="3" t="s">
        <v>221</v>
      </c>
      <c r="F1027" s="3">
        <v>9.27</v>
      </c>
      <c r="G1027" s="3">
        <v>74.8</v>
      </c>
      <c r="H1027" s="3" t="s">
        <v>231</v>
      </c>
      <c r="I1027" s="3"/>
      <c r="L1027" s="66"/>
    </row>
    <row r="1028" spans="3:12" ht="15.75" customHeight="1" x14ac:dyDescent="0.2">
      <c r="C1028" s="3" t="s">
        <v>152</v>
      </c>
      <c r="D1028" s="185">
        <v>0.5625</v>
      </c>
      <c r="E1028" s="3" t="s">
        <v>262</v>
      </c>
      <c r="F1028" s="3">
        <v>9.02</v>
      </c>
      <c r="G1028" s="3">
        <v>72.099999999999994</v>
      </c>
      <c r="H1028" s="3" t="s">
        <v>222</v>
      </c>
      <c r="I1028" s="3"/>
      <c r="L1028" s="66"/>
    </row>
    <row r="1029" spans="3:12" ht="15.75" customHeight="1" x14ac:dyDescent="0.2">
      <c r="C1029" s="3" t="s">
        <v>152</v>
      </c>
      <c r="D1029" s="185">
        <v>0.5625</v>
      </c>
      <c r="E1029" s="3" t="s">
        <v>270</v>
      </c>
      <c r="F1029" s="3">
        <v>8.85</v>
      </c>
      <c r="G1029" s="3">
        <v>70.2</v>
      </c>
      <c r="H1029" s="3" t="s">
        <v>249</v>
      </c>
      <c r="I1029" s="3"/>
      <c r="L1029" s="66"/>
    </row>
    <row r="1030" spans="3:12" ht="15.75" customHeight="1" x14ac:dyDescent="0.2">
      <c r="C1030" s="3" t="s">
        <v>152</v>
      </c>
      <c r="D1030" s="185">
        <v>0.5625</v>
      </c>
      <c r="E1030" s="3" t="s">
        <v>263</v>
      </c>
      <c r="F1030" s="3">
        <v>8.8000000000000007</v>
      </c>
      <c r="G1030" s="3">
        <v>69.5</v>
      </c>
      <c r="H1030" s="3" t="s">
        <v>277</v>
      </c>
      <c r="I1030" s="3"/>
      <c r="L1030" s="66"/>
    </row>
    <row r="1031" spans="3:12" ht="15.75" customHeight="1" x14ac:dyDescent="0.2">
      <c r="C1031" s="3" t="s">
        <v>152</v>
      </c>
      <c r="D1031" s="185">
        <v>0.5625</v>
      </c>
      <c r="E1031" s="3" t="s">
        <v>278</v>
      </c>
      <c r="F1031" s="3">
        <v>8.76</v>
      </c>
      <c r="G1031" s="3">
        <v>68.900000000000006</v>
      </c>
      <c r="H1031" s="3" t="s">
        <v>264</v>
      </c>
      <c r="I1031" s="3"/>
      <c r="L1031" s="66"/>
    </row>
    <row r="1032" spans="3:12" ht="15.75" customHeight="1" x14ac:dyDescent="0.2">
      <c r="C1032" s="3" t="s">
        <v>152</v>
      </c>
      <c r="D1032" s="185">
        <v>0.5625</v>
      </c>
      <c r="E1032" s="3" t="s">
        <v>279</v>
      </c>
      <c r="F1032" s="3">
        <v>8.67</v>
      </c>
      <c r="G1032" s="3">
        <v>68.2</v>
      </c>
      <c r="H1032" s="3" t="s">
        <v>264</v>
      </c>
      <c r="I1032" s="3"/>
      <c r="L1032" s="66"/>
    </row>
    <row r="1033" spans="3:12" ht="15.75" customHeight="1" x14ac:dyDescent="0.2">
      <c r="C1033" s="3" t="s">
        <v>152</v>
      </c>
      <c r="D1033" s="185">
        <v>0.5625</v>
      </c>
      <c r="E1033" s="3" t="s">
        <v>280</v>
      </c>
      <c r="F1033" s="3">
        <v>8.61</v>
      </c>
      <c r="G1033" s="3">
        <v>67.599999999999994</v>
      </c>
      <c r="H1033" s="3" t="s">
        <v>266</v>
      </c>
      <c r="I1033" s="3"/>
      <c r="L1033" s="66"/>
    </row>
    <row r="1034" spans="3:12" ht="15.75" customHeight="1" x14ac:dyDescent="0.2">
      <c r="C1034" s="3" t="s">
        <v>152</v>
      </c>
      <c r="D1034" s="185">
        <v>0.5625</v>
      </c>
      <c r="E1034" s="3" t="s">
        <v>283</v>
      </c>
      <c r="F1034" s="3">
        <v>8.6</v>
      </c>
      <c r="G1034" s="3">
        <v>67.3</v>
      </c>
      <c r="H1034" s="3" t="s">
        <v>189</v>
      </c>
      <c r="I1034" s="3"/>
      <c r="L1034" s="66"/>
    </row>
    <row r="1035" spans="3:12" ht="15.75" customHeight="1" x14ac:dyDescent="0.2">
      <c r="C1035" s="3" t="s">
        <v>152</v>
      </c>
      <c r="D1035" s="185">
        <v>0.5625</v>
      </c>
      <c r="E1035" s="3" t="s">
        <v>284</v>
      </c>
      <c r="F1035" s="3">
        <v>8.56</v>
      </c>
      <c r="G1035" s="3">
        <v>66.8</v>
      </c>
      <c r="H1035" s="3" t="s">
        <v>287</v>
      </c>
      <c r="I1035" s="3"/>
      <c r="L1035" s="66"/>
    </row>
    <row r="1036" spans="3:12" ht="15.75" customHeight="1" x14ac:dyDescent="0.2">
      <c r="C1036" s="3" t="s">
        <v>152</v>
      </c>
      <c r="D1036" s="185">
        <v>0.5625</v>
      </c>
      <c r="E1036" s="3" t="s">
        <v>285</v>
      </c>
      <c r="F1036" s="3">
        <v>8.4499999999999993</v>
      </c>
      <c r="G1036" s="3">
        <v>65.900000000000006</v>
      </c>
      <c r="H1036" s="3" t="s">
        <v>287</v>
      </c>
      <c r="I1036" s="3"/>
      <c r="L1036" s="66"/>
    </row>
    <row r="1037" spans="3:12" ht="15.75" customHeight="1" x14ac:dyDescent="0.2">
      <c r="C1037" s="3" t="s">
        <v>152</v>
      </c>
      <c r="D1037" s="185">
        <v>0.5625</v>
      </c>
      <c r="E1037" s="3" t="s">
        <v>286</v>
      </c>
      <c r="F1037" s="3">
        <v>8.24</v>
      </c>
      <c r="G1037" s="3">
        <v>64.2</v>
      </c>
      <c r="H1037" s="3" t="s">
        <v>298</v>
      </c>
      <c r="I1037" s="3"/>
      <c r="L1037" s="66"/>
    </row>
    <row r="1038" spans="3:12" ht="15.75" customHeight="1" x14ac:dyDescent="0.2">
      <c r="C1038" s="3" t="s">
        <v>152</v>
      </c>
      <c r="D1038" s="185">
        <v>0.5625</v>
      </c>
      <c r="E1038" s="3" t="s">
        <v>288</v>
      </c>
      <c r="F1038" s="3">
        <v>8.14</v>
      </c>
      <c r="G1038" s="3">
        <v>63.4</v>
      </c>
      <c r="H1038" s="3" t="s">
        <v>298</v>
      </c>
      <c r="I1038" s="3"/>
      <c r="L1038" s="66"/>
    </row>
    <row r="1039" spans="3:12" ht="15.75" customHeight="1" x14ac:dyDescent="0.2">
      <c r="C1039" s="3" t="s">
        <v>152</v>
      </c>
      <c r="D1039" s="185">
        <v>0.5625</v>
      </c>
      <c r="E1039" s="3" t="s">
        <v>289</v>
      </c>
      <c r="F1039" s="3">
        <v>8.08</v>
      </c>
      <c r="G1039" s="3">
        <v>62.7</v>
      </c>
      <c r="H1039" s="3" t="s">
        <v>299</v>
      </c>
      <c r="I1039" s="3"/>
      <c r="L1039" s="66"/>
    </row>
    <row r="1040" spans="3:12" ht="15.75" customHeight="1" x14ac:dyDescent="0.2">
      <c r="C1040" s="3" t="s">
        <v>152</v>
      </c>
      <c r="D1040" s="185">
        <v>0.5625</v>
      </c>
      <c r="E1040" s="3" t="s">
        <v>290</v>
      </c>
      <c r="F1040" s="3">
        <v>7.76</v>
      </c>
      <c r="G1040" s="3">
        <v>57.1</v>
      </c>
      <c r="H1040" s="3" t="s">
        <v>299</v>
      </c>
      <c r="I1040" s="3"/>
      <c r="J1040" s="1">
        <v>22.3</v>
      </c>
      <c r="L1040" s="66"/>
    </row>
    <row r="1041" spans="3:12" ht="15.75" customHeight="1" x14ac:dyDescent="0.2">
      <c r="C1041" s="3"/>
      <c r="E1041" s="3"/>
      <c r="H1041" s="3"/>
      <c r="L1041" s="66"/>
    </row>
    <row r="1042" spans="3:12" ht="15.75" customHeight="1" x14ac:dyDescent="0.2">
      <c r="C1042" s="3" t="s">
        <v>151</v>
      </c>
      <c r="D1042" s="19">
        <v>0.55208333333333337</v>
      </c>
      <c r="E1042" s="3"/>
      <c r="H1042" s="3"/>
      <c r="J1042">
        <v>8</v>
      </c>
      <c r="K1042">
        <v>10.5</v>
      </c>
      <c r="L1042" s="66"/>
    </row>
    <row r="1043" spans="3:12" ht="15.75" customHeight="1" x14ac:dyDescent="0.2">
      <c r="C1043" s="3" t="s">
        <v>151</v>
      </c>
      <c r="D1043" s="19">
        <v>0.5625</v>
      </c>
      <c r="E1043" s="3" t="s">
        <v>105</v>
      </c>
      <c r="F1043" s="190">
        <v>7.55</v>
      </c>
      <c r="G1043" s="190">
        <v>86.9</v>
      </c>
      <c r="H1043" s="3" t="s">
        <v>301</v>
      </c>
      <c r="I1043" s="3">
        <v>22.3</v>
      </c>
      <c r="L1043" s="66"/>
    </row>
    <row r="1044" spans="3:12" ht="15.75" customHeight="1" x14ac:dyDescent="0.2">
      <c r="C1044" s="3" t="s">
        <v>151</v>
      </c>
      <c r="D1044" s="19">
        <v>0.5625</v>
      </c>
      <c r="E1044" s="3" t="s">
        <v>107</v>
      </c>
      <c r="F1044" s="190">
        <v>7.56</v>
      </c>
      <c r="G1044" s="190">
        <v>86.9</v>
      </c>
      <c r="H1044" s="3" t="s">
        <v>301</v>
      </c>
      <c r="I1044" s="3">
        <v>22.3</v>
      </c>
      <c r="L1044" s="66"/>
    </row>
    <row r="1045" spans="3:12" ht="15.75" customHeight="1" x14ac:dyDescent="0.2">
      <c r="C1045" s="3" t="s">
        <v>151</v>
      </c>
      <c r="D1045" s="19">
        <v>0.5625</v>
      </c>
      <c r="E1045" s="3" t="s">
        <v>132</v>
      </c>
      <c r="F1045" s="190">
        <v>7.57</v>
      </c>
      <c r="G1045" s="190">
        <v>86.9</v>
      </c>
      <c r="H1045" s="3" t="s">
        <v>306</v>
      </c>
      <c r="I1045" s="3">
        <v>22.2</v>
      </c>
      <c r="L1045" s="66"/>
    </row>
    <row r="1046" spans="3:12" ht="15.75" customHeight="1" x14ac:dyDescent="0.2">
      <c r="C1046" s="3" t="s">
        <v>151</v>
      </c>
      <c r="D1046" s="19">
        <v>0.5625</v>
      </c>
      <c r="E1046" s="3" t="s">
        <v>187</v>
      </c>
      <c r="F1046" s="190">
        <v>7.6</v>
      </c>
      <c r="G1046" s="190">
        <v>87</v>
      </c>
      <c r="H1046" s="3" t="s">
        <v>302</v>
      </c>
      <c r="I1046" s="3">
        <v>22.1</v>
      </c>
      <c r="L1046" s="66"/>
    </row>
    <row r="1047" spans="3:12" ht="15.75" customHeight="1" x14ac:dyDescent="0.2">
      <c r="C1047" s="3" t="s">
        <v>151</v>
      </c>
      <c r="D1047" s="19">
        <v>0.5625</v>
      </c>
      <c r="E1047" s="3" t="s">
        <v>188</v>
      </c>
      <c r="F1047" s="190">
        <v>7.66</v>
      </c>
      <c r="G1047" s="190">
        <v>87.4</v>
      </c>
      <c r="H1047" s="3" t="s">
        <v>123</v>
      </c>
      <c r="I1047" s="3">
        <v>21.9</v>
      </c>
      <c r="L1047" s="66"/>
    </row>
    <row r="1048" spans="3:12" ht="15.75" customHeight="1" x14ac:dyDescent="0.2">
      <c r="C1048" s="3" t="s">
        <v>151</v>
      </c>
      <c r="D1048" s="19">
        <v>0.5625</v>
      </c>
      <c r="E1048" s="3" t="s">
        <v>189</v>
      </c>
      <c r="F1048" s="190">
        <v>7.9</v>
      </c>
      <c r="G1048" s="190">
        <v>89.6</v>
      </c>
      <c r="H1048" s="3" t="s">
        <v>138</v>
      </c>
      <c r="I1048" s="3">
        <v>21.6</v>
      </c>
      <c r="L1048" s="66"/>
    </row>
    <row r="1049" spans="3:12" ht="15.75" customHeight="1" x14ac:dyDescent="0.2">
      <c r="C1049" s="3" t="s">
        <v>151</v>
      </c>
      <c r="D1049" s="19">
        <v>0.5625</v>
      </c>
      <c r="E1049" s="3" t="s">
        <v>190</v>
      </c>
      <c r="F1049" s="190">
        <v>8.36</v>
      </c>
      <c r="G1049" s="190">
        <v>91</v>
      </c>
      <c r="H1049" s="3" t="s">
        <v>233</v>
      </c>
      <c r="I1049" s="7">
        <f>AVERAGE(I1043:I1048)</f>
        <v>22.066666666666666</v>
      </c>
      <c r="L1049" s="66"/>
    </row>
    <row r="1050" spans="3:12" ht="15.75" customHeight="1" x14ac:dyDescent="0.2">
      <c r="C1050" s="3" t="s">
        <v>151</v>
      </c>
      <c r="D1050" s="19">
        <v>0.5625</v>
      </c>
      <c r="E1050" s="3" t="s">
        <v>192</v>
      </c>
      <c r="F1050" s="190">
        <v>8.77</v>
      </c>
      <c r="G1050" s="190">
        <v>93.3</v>
      </c>
      <c r="H1050" s="3" t="s">
        <v>209</v>
      </c>
      <c r="I1050" s="3"/>
      <c r="L1050" s="66"/>
    </row>
    <row r="1051" spans="3:12" ht="15.75" customHeight="1" x14ac:dyDescent="0.2">
      <c r="C1051" s="3" t="s">
        <v>151</v>
      </c>
      <c r="D1051" s="19">
        <v>0.5625</v>
      </c>
      <c r="E1051" s="3" t="s">
        <v>194</v>
      </c>
      <c r="F1051" s="190">
        <v>9.11</v>
      </c>
      <c r="G1051" s="190">
        <v>94.1</v>
      </c>
      <c r="H1051" s="3" t="s">
        <v>207</v>
      </c>
      <c r="I1051" s="3"/>
      <c r="L1051" s="66"/>
    </row>
    <row r="1052" spans="3:12" ht="15.75" customHeight="1" x14ac:dyDescent="0.2">
      <c r="C1052" s="3" t="s">
        <v>151</v>
      </c>
      <c r="D1052" s="19">
        <v>0.5625</v>
      </c>
      <c r="E1052" s="3" t="s">
        <v>196</v>
      </c>
      <c r="F1052" s="190">
        <v>9.26</v>
      </c>
      <c r="G1052" s="190">
        <v>94.5</v>
      </c>
      <c r="H1052" s="3" t="s">
        <v>113</v>
      </c>
      <c r="I1052" s="3"/>
      <c r="L1052" s="66"/>
    </row>
    <row r="1053" spans="3:12" ht="15.75" customHeight="1" x14ac:dyDescent="0.2">
      <c r="C1053" s="3" t="s">
        <v>151</v>
      </c>
      <c r="D1053" s="19">
        <v>0.5625</v>
      </c>
      <c r="E1053" s="3" t="s">
        <v>186</v>
      </c>
      <c r="F1053" s="190">
        <v>9.39</v>
      </c>
      <c r="G1053" s="190">
        <v>93.3</v>
      </c>
      <c r="H1053" s="3" t="s">
        <v>120</v>
      </c>
      <c r="I1053" s="3"/>
      <c r="L1053" s="66"/>
    </row>
    <row r="1054" spans="3:12" ht="15.75" customHeight="1" x14ac:dyDescent="0.2">
      <c r="C1054" s="3" t="s">
        <v>151</v>
      </c>
      <c r="D1054" s="19">
        <v>0.5625</v>
      </c>
      <c r="E1054" s="3" t="s">
        <v>182</v>
      </c>
      <c r="F1054" s="190">
        <v>9.65</v>
      </c>
      <c r="G1054" s="190">
        <v>92.5</v>
      </c>
      <c r="H1054" s="3" t="s">
        <v>296</v>
      </c>
      <c r="I1054" s="3"/>
      <c r="L1054" s="66"/>
    </row>
    <row r="1055" spans="3:12" ht="15.75" customHeight="1" x14ac:dyDescent="0.2">
      <c r="C1055" s="3" t="s">
        <v>151</v>
      </c>
      <c r="D1055" s="19">
        <v>0.5625</v>
      </c>
      <c r="E1055" s="3" t="s">
        <v>117</v>
      </c>
      <c r="F1055" s="190">
        <v>9.64</v>
      </c>
      <c r="G1055" s="190">
        <v>89.2</v>
      </c>
      <c r="H1055" s="3" t="s">
        <v>173</v>
      </c>
      <c r="I1055" s="3"/>
      <c r="L1055" s="66"/>
    </row>
    <row r="1056" spans="3:12" ht="15.75" customHeight="1" x14ac:dyDescent="0.2">
      <c r="C1056" s="3" t="s">
        <v>151</v>
      </c>
      <c r="D1056" s="19">
        <v>0.5625</v>
      </c>
      <c r="E1056" s="3" t="s">
        <v>200</v>
      </c>
      <c r="F1056" s="190">
        <v>9.77</v>
      </c>
      <c r="G1056" s="190">
        <v>85.7</v>
      </c>
      <c r="H1056" s="3" t="s">
        <v>185</v>
      </c>
      <c r="I1056" s="3"/>
      <c r="L1056" s="66"/>
    </row>
    <row r="1057" spans="3:12" ht="15.75" customHeight="1" x14ac:dyDescent="0.2">
      <c r="C1057" s="3" t="s">
        <v>151</v>
      </c>
      <c r="D1057" s="19">
        <v>0.5625</v>
      </c>
      <c r="E1057" s="3" t="s">
        <v>202</v>
      </c>
      <c r="F1057" s="190">
        <v>9.9700000000000006</v>
      </c>
      <c r="G1057" s="190">
        <v>85.5</v>
      </c>
      <c r="H1057" s="3" t="s">
        <v>297</v>
      </c>
      <c r="I1057" s="3"/>
      <c r="L1057" s="66"/>
    </row>
    <row r="1058" spans="3:12" ht="15.75" customHeight="1" x14ac:dyDescent="0.2">
      <c r="C1058" s="3" t="s">
        <v>151</v>
      </c>
      <c r="D1058" s="19">
        <v>0.5625</v>
      </c>
      <c r="E1058" s="3" t="s">
        <v>204</v>
      </c>
      <c r="F1058" s="190">
        <v>9.94</v>
      </c>
      <c r="G1058" s="190">
        <v>83.7</v>
      </c>
      <c r="H1058" s="3" t="s">
        <v>227</v>
      </c>
      <c r="I1058" s="3"/>
      <c r="L1058" s="66"/>
    </row>
    <row r="1059" spans="3:12" ht="15.75" customHeight="1" x14ac:dyDescent="0.2">
      <c r="C1059" s="3" t="s">
        <v>151</v>
      </c>
      <c r="D1059" s="19">
        <v>0.5625</v>
      </c>
      <c r="E1059" s="3" t="s">
        <v>181</v>
      </c>
      <c r="F1059" s="190">
        <v>9.82</v>
      </c>
      <c r="G1059" s="190">
        <v>81.099999999999994</v>
      </c>
      <c r="H1059" s="3" t="s">
        <v>240</v>
      </c>
      <c r="I1059" s="3"/>
      <c r="L1059" s="66"/>
    </row>
    <row r="1060" spans="3:12" ht="15.75" customHeight="1" x14ac:dyDescent="0.2">
      <c r="C1060" s="3" t="s">
        <v>151</v>
      </c>
      <c r="D1060" s="19">
        <v>0.5625</v>
      </c>
      <c r="E1060" s="3" t="s">
        <v>207</v>
      </c>
      <c r="F1060" s="190">
        <v>9.6999999999999993</v>
      </c>
      <c r="G1060" s="190">
        <v>79.599999999999994</v>
      </c>
      <c r="H1060" s="3" t="s">
        <v>192</v>
      </c>
      <c r="I1060" s="3"/>
      <c r="L1060" s="66"/>
    </row>
    <row r="1061" spans="3:12" ht="15.75" customHeight="1" x14ac:dyDescent="0.2">
      <c r="C1061" s="3" t="s">
        <v>151</v>
      </c>
      <c r="D1061" s="19">
        <v>0.5625</v>
      </c>
      <c r="E1061" s="3" t="s">
        <v>209</v>
      </c>
      <c r="F1061" s="190">
        <v>9.6199999999999992</v>
      </c>
      <c r="G1061" s="190">
        <v>78.8</v>
      </c>
      <c r="H1061" s="3" t="s">
        <v>230</v>
      </c>
      <c r="I1061" s="3"/>
      <c r="L1061" s="66"/>
    </row>
    <row r="1062" spans="3:12" ht="15.75" customHeight="1" x14ac:dyDescent="0.2">
      <c r="C1062" s="3" t="s">
        <v>151</v>
      </c>
      <c r="D1062" s="19">
        <v>0.5625</v>
      </c>
      <c r="E1062" s="3" t="s">
        <v>210</v>
      </c>
      <c r="F1062" s="190">
        <v>9.59</v>
      </c>
      <c r="G1062" s="190">
        <v>78.400000000000006</v>
      </c>
      <c r="H1062" s="3" t="s">
        <v>255</v>
      </c>
      <c r="I1062" s="3"/>
      <c r="L1062" s="66"/>
    </row>
    <row r="1063" spans="3:12" ht="15.75" customHeight="1" x14ac:dyDescent="0.2">
      <c r="C1063" s="3" t="s">
        <v>151</v>
      </c>
      <c r="D1063" s="19">
        <v>0.5625</v>
      </c>
      <c r="E1063" s="3" t="s">
        <v>212</v>
      </c>
      <c r="F1063" s="190">
        <v>9.52</v>
      </c>
      <c r="G1063" s="190">
        <v>77.3</v>
      </c>
      <c r="H1063" s="3" t="s">
        <v>213</v>
      </c>
      <c r="I1063" s="3"/>
      <c r="L1063" s="66"/>
    </row>
    <row r="1064" spans="3:12" ht="15.75" customHeight="1" x14ac:dyDescent="0.2">
      <c r="C1064" s="3" t="s">
        <v>151</v>
      </c>
      <c r="D1064" s="19">
        <v>0.5625</v>
      </c>
      <c r="E1064" s="3" t="s">
        <v>221</v>
      </c>
      <c r="F1064" s="190">
        <v>9.32</v>
      </c>
      <c r="G1064" s="190">
        <v>74.5</v>
      </c>
      <c r="H1064" s="3" t="s">
        <v>222</v>
      </c>
      <c r="I1064" s="3"/>
      <c r="L1064" s="66"/>
    </row>
    <row r="1065" spans="3:12" ht="15.75" customHeight="1" x14ac:dyDescent="0.2">
      <c r="C1065" s="3" t="s">
        <v>151</v>
      </c>
      <c r="D1065" s="19">
        <v>0.5625</v>
      </c>
      <c r="E1065" s="3" t="s">
        <v>262</v>
      </c>
      <c r="F1065" s="190">
        <v>9.17</v>
      </c>
      <c r="G1065" s="190">
        <v>72.8</v>
      </c>
      <c r="H1065" s="3" t="s">
        <v>248</v>
      </c>
      <c r="I1065" s="3"/>
      <c r="L1065" s="66"/>
    </row>
    <row r="1066" spans="3:12" ht="15.75" customHeight="1" x14ac:dyDescent="0.2">
      <c r="C1066" s="3" t="s">
        <v>151</v>
      </c>
      <c r="D1066" s="19">
        <v>0.5625</v>
      </c>
      <c r="E1066" s="3" t="s">
        <v>270</v>
      </c>
      <c r="F1066" s="190">
        <v>9.02</v>
      </c>
      <c r="G1066" s="190">
        <v>71.3</v>
      </c>
      <c r="H1066" s="3" t="s">
        <v>250</v>
      </c>
      <c r="I1066" s="3"/>
      <c r="L1066" s="66"/>
    </row>
    <row r="1067" spans="3:12" ht="15.75" customHeight="1" x14ac:dyDescent="0.2">
      <c r="C1067" s="3" t="s">
        <v>151</v>
      </c>
      <c r="D1067" s="19">
        <v>0.5625</v>
      </c>
      <c r="E1067" s="3" t="s">
        <v>263</v>
      </c>
      <c r="F1067" s="190">
        <v>8.9</v>
      </c>
      <c r="G1067" s="190">
        <v>70.2</v>
      </c>
      <c r="H1067" s="3" t="s">
        <v>277</v>
      </c>
      <c r="I1067" s="3"/>
      <c r="L1067" s="66"/>
    </row>
    <row r="1068" spans="3:12" ht="15.75" customHeight="1" x14ac:dyDescent="0.2">
      <c r="C1068" s="3" t="s">
        <v>151</v>
      </c>
      <c r="D1068" s="19">
        <v>0.5625</v>
      </c>
      <c r="E1068" s="3" t="s">
        <v>278</v>
      </c>
      <c r="F1068" s="190">
        <v>8.8000000000000007</v>
      </c>
      <c r="G1068" s="190">
        <v>69</v>
      </c>
      <c r="H1068" s="3" t="s">
        <v>266</v>
      </c>
      <c r="I1068" s="3"/>
      <c r="L1068" s="66"/>
    </row>
    <row r="1069" spans="3:12" ht="15.75" customHeight="1" x14ac:dyDescent="0.2">
      <c r="C1069" s="3" t="s">
        <v>151</v>
      </c>
      <c r="D1069" s="19">
        <v>0.5625</v>
      </c>
      <c r="E1069" s="3" t="s">
        <v>279</v>
      </c>
      <c r="F1069" s="190">
        <v>8.7100000000000009</v>
      </c>
      <c r="G1069" s="190">
        <v>68.3</v>
      </c>
      <c r="H1069" s="3" t="s">
        <v>266</v>
      </c>
      <c r="I1069" s="3"/>
      <c r="L1069" s="66"/>
    </row>
    <row r="1070" spans="3:12" ht="15.75" customHeight="1" x14ac:dyDescent="0.2">
      <c r="C1070" s="3" t="s">
        <v>151</v>
      </c>
      <c r="D1070" s="19">
        <v>0.5625</v>
      </c>
      <c r="E1070" s="3" t="s">
        <v>280</v>
      </c>
      <c r="F1070" s="190">
        <v>8.64</v>
      </c>
      <c r="G1070" s="190">
        <v>67.7</v>
      </c>
      <c r="H1070" s="3" t="s">
        <v>189</v>
      </c>
      <c r="I1070" s="3"/>
      <c r="L1070" s="66"/>
    </row>
    <row r="1071" spans="3:12" ht="15.75" customHeight="1" x14ac:dyDescent="0.2">
      <c r="C1071" s="3" t="s">
        <v>151</v>
      </c>
      <c r="D1071" s="19">
        <v>0.5625</v>
      </c>
      <c r="E1071" s="3" t="s">
        <v>283</v>
      </c>
      <c r="F1071" s="190">
        <v>8.6</v>
      </c>
      <c r="G1071" s="190">
        <v>67.2</v>
      </c>
      <c r="H1071" s="3" t="s">
        <v>287</v>
      </c>
      <c r="I1071" s="3"/>
      <c r="L1071" s="66"/>
    </row>
    <row r="1072" spans="3:12" ht="15.75" customHeight="1" x14ac:dyDescent="0.2">
      <c r="C1072" s="3" t="s">
        <v>151</v>
      </c>
      <c r="D1072" s="19">
        <v>0.5625</v>
      </c>
      <c r="E1072" s="3" t="s">
        <v>284</v>
      </c>
      <c r="F1072" s="190">
        <v>8.51</v>
      </c>
      <c r="G1072" s="190">
        <v>66.599999999999994</v>
      </c>
      <c r="H1072" s="3" t="s">
        <v>287</v>
      </c>
      <c r="I1072" s="3"/>
      <c r="L1072" s="66"/>
    </row>
    <row r="1073" spans="3:12" ht="15.75" customHeight="1" x14ac:dyDescent="0.2">
      <c r="C1073" s="3" t="s">
        <v>151</v>
      </c>
      <c r="D1073" s="19">
        <v>0.5625</v>
      </c>
      <c r="E1073" s="3" t="s">
        <v>285</v>
      </c>
      <c r="F1073" s="190">
        <v>8.4499999999999993</v>
      </c>
      <c r="G1073" s="190">
        <v>66</v>
      </c>
      <c r="H1073" s="3" t="s">
        <v>287</v>
      </c>
      <c r="I1073" s="3"/>
      <c r="L1073" s="66"/>
    </row>
    <row r="1074" spans="3:12" ht="15.75" customHeight="1" x14ac:dyDescent="0.2">
      <c r="C1074" s="3" t="s">
        <v>151</v>
      </c>
      <c r="D1074" s="19">
        <v>0.5625</v>
      </c>
      <c r="E1074" s="3" t="s">
        <v>286</v>
      </c>
      <c r="F1074" s="190">
        <v>8.26</v>
      </c>
      <c r="G1074" s="190">
        <v>64.599999999999994</v>
      </c>
      <c r="H1074" s="3" t="s">
        <v>287</v>
      </c>
      <c r="I1074" s="3"/>
      <c r="L1074" s="66"/>
    </row>
    <row r="1075" spans="3:12" ht="15.75" customHeight="1" x14ac:dyDescent="0.2">
      <c r="C1075" s="3" t="s">
        <v>151</v>
      </c>
      <c r="D1075" s="19">
        <v>0.5625</v>
      </c>
      <c r="E1075" s="3" t="s">
        <v>288</v>
      </c>
      <c r="F1075" s="190">
        <v>8.1</v>
      </c>
      <c r="G1075" s="190">
        <v>62.7</v>
      </c>
      <c r="H1075" s="3" t="s">
        <v>299</v>
      </c>
      <c r="I1075" s="3"/>
      <c r="J1075" s="1">
        <v>16.3</v>
      </c>
      <c r="L1075" s="66"/>
    </row>
    <row r="1076" spans="3:12" ht="15.75" customHeight="1" x14ac:dyDescent="0.2">
      <c r="C1076" s="3"/>
      <c r="D1076" s="19"/>
      <c r="E1076" s="3"/>
      <c r="H1076" s="3"/>
      <c r="I1076" s="3"/>
      <c r="L1076" s="66"/>
    </row>
    <row r="1077" spans="3:12" ht="15.75" customHeight="1" x14ac:dyDescent="0.2">
      <c r="C1077" s="15">
        <v>41807</v>
      </c>
      <c r="D1077" s="19">
        <v>0.4861111111111111</v>
      </c>
      <c r="E1077" s="3"/>
      <c r="H1077" s="3"/>
      <c r="I1077" s="3"/>
      <c r="J1077">
        <v>6</v>
      </c>
      <c r="K1077">
        <v>8.5</v>
      </c>
      <c r="L1077" s="66"/>
    </row>
    <row r="1078" spans="3:12" ht="15.75" customHeight="1" x14ac:dyDescent="0.2">
      <c r="C1078" s="15">
        <v>41807</v>
      </c>
      <c r="D1078" s="19">
        <v>0.48958333333333331</v>
      </c>
      <c r="E1078" s="3">
        <v>0.1</v>
      </c>
      <c r="F1078" s="190">
        <v>9.07</v>
      </c>
      <c r="G1078" s="190">
        <v>88.2</v>
      </c>
      <c r="H1078" s="3">
        <v>13.8</v>
      </c>
      <c r="I1078" s="3"/>
      <c r="L1078" s="66"/>
    </row>
    <row r="1079" spans="3:12" ht="15.75" customHeight="1" x14ac:dyDescent="0.2">
      <c r="C1079" s="15">
        <v>41807</v>
      </c>
      <c r="D1079" s="19">
        <v>0.48958333333333331</v>
      </c>
      <c r="E1079" s="3">
        <v>1</v>
      </c>
      <c r="F1079" s="190">
        <v>8.94</v>
      </c>
      <c r="G1079" s="190">
        <v>87.7</v>
      </c>
      <c r="H1079" s="3">
        <v>14.4</v>
      </c>
      <c r="I1079" s="3"/>
      <c r="L1079" s="66"/>
    </row>
    <row r="1080" spans="3:12" ht="15.75" customHeight="1" x14ac:dyDescent="0.2">
      <c r="C1080" s="15">
        <v>41807</v>
      </c>
      <c r="D1080" s="19">
        <v>0.48958333333333331</v>
      </c>
      <c r="E1080" s="3">
        <v>2</v>
      </c>
      <c r="F1080" s="190">
        <v>8.9600000000000009</v>
      </c>
      <c r="G1080" s="190">
        <v>87.7</v>
      </c>
      <c r="H1080" s="3">
        <v>14.4</v>
      </c>
      <c r="I1080" s="3"/>
      <c r="L1080" s="66"/>
    </row>
    <row r="1081" spans="3:12" ht="15.75" customHeight="1" x14ac:dyDescent="0.2">
      <c r="C1081" s="15">
        <v>41807</v>
      </c>
      <c r="D1081" s="19">
        <v>0.48958333333333331</v>
      </c>
      <c r="E1081" s="3">
        <v>3</v>
      </c>
      <c r="F1081" s="190">
        <v>8.92</v>
      </c>
      <c r="G1081" s="190">
        <v>87.6</v>
      </c>
      <c r="H1081" s="3">
        <v>14.5</v>
      </c>
      <c r="I1081" s="3"/>
      <c r="L1081" s="66"/>
    </row>
    <row r="1082" spans="3:12" ht="15.75" customHeight="1" x14ac:dyDescent="0.2">
      <c r="C1082" s="15">
        <v>41807</v>
      </c>
      <c r="D1082" s="19">
        <v>0.48958333333333331</v>
      </c>
      <c r="E1082" s="3">
        <v>4</v>
      </c>
      <c r="F1082" s="190">
        <v>8.93</v>
      </c>
      <c r="G1082" s="190">
        <v>87.6</v>
      </c>
      <c r="H1082" s="3">
        <v>14.5</v>
      </c>
      <c r="I1082" s="3"/>
      <c r="L1082" s="66"/>
    </row>
    <row r="1083" spans="3:12" ht="15.75" customHeight="1" x14ac:dyDescent="0.2">
      <c r="C1083" s="15">
        <v>41807</v>
      </c>
      <c r="D1083" s="19">
        <v>0.48958333333333331</v>
      </c>
      <c r="E1083" s="3">
        <v>5</v>
      </c>
      <c r="F1083" s="190">
        <v>8.93</v>
      </c>
      <c r="G1083" s="190">
        <v>87.5</v>
      </c>
      <c r="H1083" s="3">
        <v>14.5</v>
      </c>
      <c r="I1083" s="3"/>
      <c r="L1083" s="66"/>
    </row>
    <row r="1084" spans="3:12" ht="15.75" customHeight="1" x14ac:dyDescent="0.2">
      <c r="C1084" s="15">
        <v>41807</v>
      </c>
      <c r="D1084" s="19">
        <v>0.48958333333333331</v>
      </c>
      <c r="E1084" s="3">
        <v>6</v>
      </c>
      <c r="F1084" s="190">
        <v>8.9499999999999993</v>
      </c>
      <c r="G1084" s="190">
        <v>87.5</v>
      </c>
      <c r="H1084" s="3">
        <v>14.4</v>
      </c>
      <c r="I1084" s="3"/>
      <c r="L1084" s="66"/>
    </row>
    <row r="1085" spans="3:12" ht="15.75" customHeight="1" x14ac:dyDescent="0.2">
      <c r="C1085" s="15">
        <v>41807</v>
      </c>
      <c r="D1085" s="19">
        <v>0.48958333333333331</v>
      </c>
      <c r="E1085" s="3">
        <v>7</v>
      </c>
      <c r="F1085" s="190">
        <v>9.1999999999999993</v>
      </c>
      <c r="G1085" s="190">
        <v>88.4</v>
      </c>
      <c r="H1085" s="3">
        <v>13.6</v>
      </c>
      <c r="I1085" s="3"/>
      <c r="L1085" s="66"/>
    </row>
    <row r="1086" spans="3:12" ht="15.75" customHeight="1" x14ac:dyDescent="0.2">
      <c r="C1086" s="15">
        <v>41807</v>
      </c>
      <c r="D1086" s="19">
        <v>0.48958333333333331</v>
      </c>
      <c r="E1086" s="3">
        <v>8</v>
      </c>
      <c r="F1086" s="190">
        <v>9.76</v>
      </c>
      <c r="G1086" s="190">
        <v>88.2</v>
      </c>
      <c r="H1086" s="3">
        <v>10.7</v>
      </c>
      <c r="I1086" s="3"/>
      <c r="L1086" s="66"/>
    </row>
    <row r="1087" spans="3:12" ht="15.75" customHeight="1" x14ac:dyDescent="0.2">
      <c r="C1087" s="15">
        <v>41807</v>
      </c>
      <c r="D1087" s="19">
        <v>0.48958333333333331</v>
      </c>
      <c r="E1087" s="3">
        <v>9</v>
      </c>
      <c r="F1087" s="190">
        <v>9.91</v>
      </c>
      <c r="G1087" s="190">
        <v>87.9</v>
      </c>
      <c r="H1087" s="3">
        <v>10.1</v>
      </c>
      <c r="I1087" s="3"/>
      <c r="L1087" s="66"/>
    </row>
    <row r="1088" spans="3:12" ht="15.75" customHeight="1" x14ac:dyDescent="0.2">
      <c r="C1088" s="15">
        <v>41807</v>
      </c>
      <c r="D1088" s="19">
        <v>0.48958333333333331</v>
      </c>
      <c r="E1088" s="3">
        <v>10</v>
      </c>
      <c r="F1088" s="190">
        <v>10.039999999999999</v>
      </c>
      <c r="G1088" s="190">
        <v>87.8</v>
      </c>
      <c r="H1088" s="3">
        <v>9.6</v>
      </c>
      <c r="I1088" s="3"/>
      <c r="L1088" s="66"/>
    </row>
    <row r="1089" spans="3:12" ht="15.75" customHeight="1" x14ac:dyDescent="0.2">
      <c r="C1089" s="15">
        <v>41807</v>
      </c>
      <c r="D1089" s="19">
        <v>0.48958333333333331</v>
      </c>
      <c r="E1089" s="3">
        <v>11</v>
      </c>
      <c r="F1089" s="190">
        <v>10.02</v>
      </c>
      <c r="G1089" s="190">
        <v>87.1</v>
      </c>
      <c r="H1089" s="3">
        <v>9.3000000000000007</v>
      </c>
      <c r="I1089" s="3"/>
      <c r="L1089" s="66"/>
    </row>
    <row r="1090" spans="3:12" ht="15.75" customHeight="1" x14ac:dyDescent="0.2">
      <c r="C1090" s="15">
        <v>41807</v>
      </c>
      <c r="D1090" s="19">
        <v>0.48958333333333331</v>
      </c>
      <c r="E1090" s="3">
        <v>12</v>
      </c>
      <c r="F1090" s="190">
        <v>10.039999999999999</v>
      </c>
      <c r="G1090" s="190">
        <v>86.3</v>
      </c>
      <c r="H1090" s="3">
        <v>8.9</v>
      </c>
      <c r="I1090" s="3"/>
      <c r="L1090" s="66"/>
    </row>
    <row r="1091" spans="3:12" ht="15.75" customHeight="1" x14ac:dyDescent="0.2">
      <c r="C1091" s="15">
        <v>41807</v>
      </c>
      <c r="D1091" s="19">
        <v>0.48958333333333331</v>
      </c>
      <c r="E1091" s="3">
        <v>13</v>
      </c>
      <c r="F1091" s="190">
        <v>10.039999999999999</v>
      </c>
      <c r="G1091" s="190">
        <v>85.3</v>
      </c>
      <c r="H1091" s="3">
        <v>8.4</v>
      </c>
      <c r="I1091" s="3"/>
      <c r="L1091" s="66"/>
    </row>
    <row r="1092" spans="3:12" ht="15.75" customHeight="1" x14ac:dyDescent="0.2">
      <c r="C1092" s="15">
        <v>41807</v>
      </c>
      <c r="D1092" s="19">
        <v>0.48958333333333331</v>
      </c>
      <c r="E1092" s="3">
        <v>14</v>
      </c>
      <c r="F1092" s="190">
        <v>10</v>
      </c>
      <c r="G1092" s="190">
        <v>84.1</v>
      </c>
      <c r="H1092" s="3">
        <v>8</v>
      </c>
      <c r="I1092" s="3"/>
      <c r="L1092" s="66"/>
    </row>
    <row r="1093" spans="3:12" ht="15.75" customHeight="1" x14ac:dyDescent="0.2">
      <c r="C1093" s="15">
        <v>41807</v>
      </c>
      <c r="D1093" s="19">
        <v>0.48958333333333331</v>
      </c>
      <c r="E1093" s="3">
        <v>15</v>
      </c>
      <c r="F1093" s="190">
        <v>9.94</v>
      </c>
      <c r="G1093" s="190">
        <v>82.6</v>
      </c>
      <c r="H1093" s="3">
        <v>7.5</v>
      </c>
      <c r="I1093" s="3"/>
      <c r="L1093" s="66"/>
    </row>
    <row r="1094" spans="3:12" ht="15.75" customHeight="1" x14ac:dyDescent="0.2">
      <c r="C1094" s="15">
        <v>41807</v>
      </c>
      <c r="D1094" s="19">
        <v>0.48958333333333331</v>
      </c>
      <c r="E1094" s="3">
        <v>16</v>
      </c>
      <c r="F1094" s="190">
        <v>9.92</v>
      </c>
      <c r="G1094" s="190">
        <v>87.6</v>
      </c>
      <c r="H1094" s="3">
        <v>7.1</v>
      </c>
      <c r="I1094" s="3"/>
      <c r="L1094" s="66"/>
    </row>
    <row r="1095" spans="3:12" ht="15.75" customHeight="1" x14ac:dyDescent="0.2">
      <c r="C1095" s="15">
        <v>41807</v>
      </c>
      <c r="D1095" s="19">
        <v>0.48958333333333331</v>
      </c>
      <c r="E1095" s="3">
        <v>17</v>
      </c>
      <c r="F1095" s="190">
        <v>9.9</v>
      </c>
      <c r="G1095" s="190">
        <v>81</v>
      </c>
      <c r="H1095" s="3">
        <v>6.8</v>
      </c>
      <c r="I1095" s="3"/>
      <c r="L1095" s="66"/>
    </row>
    <row r="1096" spans="3:12" ht="15.75" customHeight="1" x14ac:dyDescent="0.2">
      <c r="C1096" s="15">
        <v>41807</v>
      </c>
      <c r="D1096" s="19">
        <v>0.48958333333333331</v>
      </c>
      <c r="E1096" s="3">
        <v>18</v>
      </c>
      <c r="F1096" s="190">
        <v>9.8699999999999992</v>
      </c>
      <c r="G1096" s="190">
        <v>80.400000000000006</v>
      </c>
      <c r="H1096" s="3">
        <v>6.7</v>
      </c>
      <c r="I1096" s="3"/>
      <c r="L1096" s="66"/>
    </row>
    <row r="1097" spans="3:12" ht="15.75" customHeight="1" x14ac:dyDescent="0.2">
      <c r="C1097" s="15">
        <v>41807</v>
      </c>
      <c r="D1097" s="19">
        <v>0.48958333333333331</v>
      </c>
      <c r="E1097" s="3">
        <v>19</v>
      </c>
      <c r="F1097" s="190">
        <v>9.81</v>
      </c>
      <c r="G1097" s="190">
        <v>79.599999999999994</v>
      </c>
      <c r="H1097" s="3">
        <v>6.5</v>
      </c>
      <c r="I1097" s="3"/>
      <c r="L1097" s="66"/>
    </row>
    <row r="1098" spans="3:12" ht="15.75" customHeight="1" x14ac:dyDescent="0.2">
      <c r="C1098" s="15">
        <v>41807</v>
      </c>
      <c r="D1098" s="19">
        <v>0.48958333333333331</v>
      </c>
      <c r="E1098" s="3">
        <v>20</v>
      </c>
      <c r="F1098" s="190">
        <v>9.7899999999999991</v>
      </c>
      <c r="G1098" s="190">
        <v>78.7</v>
      </c>
      <c r="H1098" s="3">
        <v>6.2</v>
      </c>
      <c r="I1098" s="3"/>
      <c r="L1098" s="66"/>
    </row>
    <row r="1099" spans="3:12" ht="15.75" customHeight="1" x14ac:dyDescent="0.2">
      <c r="C1099" s="3"/>
      <c r="D1099" s="19"/>
      <c r="E1099" s="3"/>
      <c r="H1099" s="3"/>
      <c r="I1099" s="3"/>
      <c r="L1099" s="66"/>
    </row>
    <row r="1100" spans="3:12" ht="15.75" customHeight="1" x14ac:dyDescent="0.2">
      <c r="C1100" s="3"/>
      <c r="D1100" s="19"/>
      <c r="E1100" s="3"/>
      <c r="H1100" s="3"/>
      <c r="I1100" s="3"/>
      <c r="L1100" s="66"/>
    </row>
    <row r="1101" spans="3:12" ht="15.75" customHeight="1" x14ac:dyDescent="0.2">
      <c r="C1101" s="15">
        <v>41779</v>
      </c>
      <c r="D1101" s="19">
        <v>0.50347222222222221</v>
      </c>
      <c r="E1101" s="3"/>
      <c r="H1101" s="3"/>
      <c r="I1101" s="3"/>
      <c r="J1101">
        <v>8</v>
      </c>
      <c r="K1101">
        <v>9</v>
      </c>
      <c r="L1101" s="66"/>
    </row>
    <row r="1102" spans="3:12" ht="15.75" customHeight="1" x14ac:dyDescent="0.2">
      <c r="C1102" s="15">
        <v>41779</v>
      </c>
      <c r="D1102" s="19">
        <v>0.50347222222222221</v>
      </c>
      <c r="E1102" s="3">
        <v>0.1</v>
      </c>
      <c r="F1102" s="190">
        <v>10.43</v>
      </c>
      <c r="G1102" s="190">
        <v>98.3</v>
      </c>
      <c r="H1102" s="3">
        <v>12.7</v>
      </c>
      <c r="I1102" s="3"/>
      <c r="L1102" s="66"/>
    </row>
    <row r="1103" spans="3:12" ht="15.75" customHeight="1" x14ac:dyDescent="0.2">
      <c r="C1103" s="15">
        <v>41779</v>
      </c>
      <c r="D1103" s="19">
        <v>0.50347222222222221</v>
      </c>
      <c r="E1103" s="3">
        <v>1</v>
      </c>
      <c r="F1103" s="190">
        <v>10.44</v>
      </c>
      <c r="G1103" s="190">
        <v>98.5</v>
      </c>
      <c r="H1103" s="3">
        <v>12.6</v>
      </c>
      <c r="I1103" s="3"/>
      <c r="L1103" s="66"/>
    </row>
    <row r="1104" spans="3:12" ht="15.75" customHeight="1" x14ac:dyDescent="0.2">
      <c r="C1104" s="15">
        <v>41779</v>
      </c>
      <c r="D1104" s="19">
        <v>0.50347222222222221</v>
      </c>
      <c r="E1104" s="3">
        <v>2</v>
      </c>
      <c r="F1104" s="190">
        <v>10.47</v>
      </c>
      <c r="G1104" s="190">
        <v>97.7</v>
      </c>
      <c r="H1104" s="3">
        <v>12.4</v>
      </c>
      <c r="I1104" s="3"/>
      <c r="L1104" s="66"/>
    </row>
    <row r="1105" spans="3:12" ht="15.75" customHeight="1" x14ac:dyDescent="0.2">
      <c r="C1105" s="15">
        <v>41779</v>
      </c>
      <c r="D1105" s="19">
        <v>0.50347222222222221</v>
      </c>
      <c r="E1105" s="3">
        <v>3</v>
      </c>
      <c r="F1105" s="190">
        <v>10.55</v>
      </c>
      <c r="G1105" s="190">
        <v>97.8</v>
      </c>
      <c r="H1105" s="3">
        <v>12</v>
      </c>
      <c r="I1105" s="3"/>
      <c r="L1105" s="66"/>
    </row>
    <row r="1106" spans="3:12" ht="15.75" customHeight="1" x14ac:dyDescent="0.2">
      <c r="C1106" s="15">
        <v>41779</v>
      </c>
      <c r="D1106" s="19">
        <v>0.50347222222222221</v>
      </c>
      <c r="E1106" s="3">
        <v>4</v>
      </c>
      <c r="F1106" s="190">
        <v>10.52</v>
      </c>
      <c r="G1106" s="190">
        <v>97</v>
      </c>
      <c r="H1106" s="3">
        <v>11.8</v>
      </c>
      <c r="I1106" s="3"/>
      <c r="L1106" s="66"/>
    </row>
    <row r="1107" spans="3:12" ht="15.75" customHeight="1" x14ac:dyDescent="0.2">
      <c r="C1107" s="15">
        <v>41779</v>
      </c>
      <c r="D1107" s="19">
        <v>0.50347222222222221</v>
      </c>
      <c r="E1107" s="3">
        <v>5</v>
      </c>
      <c r="F1107" s="190">
        <v>10.5</v>
      </c>
      <c r="G1107" s="190">
        <v>96.6</v>
      </c>
      <c r="H1107" s="3">
        <v>10.7</v>
      </c>
      <c r="I1107" s="3"/>
      <c r="L1107" s="66"/>
    </row>
    <row r="1108" spans="3:12" ht="15.75" customHeight="1" x14ac:dyDescent="0.2">
      <c r="C1108" s="15">
        <v>41779</v>
      </c>
      <c r="D1108" s="19">
        <v>0.50347222222222221</v>
      </c>
      <c r="E1108" s="3">
        <v>6</v>
      </c>
      <c r="F1108" s="190">
        <v>10.54</v>
      </c>
      <c r="G1108" s="190">
        <v>96.3</v>
      </c>
      <c r="H1108" s="3">
        <v>11.3</v>
      </c>
      <c r="I1108" s="3"/>
      <c r="L1108" s="66"/>
    </row>
    <row r="1109" spans="3:12" ht="15.75" customHeight="1" x14ac:dyDescent="0.2">
      <c r="C1109" s="15">
        <v>41779</v>
      </c>
      <c r="D1109" s="19">
        <v>0.50347222222222221</v>
      </c>
      <c r="E1109" s="3">
        <v>7</v>
      </c>
      <c r="F1109" s="190">
        <v>10.75</v>
      </c>
      <c r="G1109" s="190">
        <v>95.9</v>
      </c>
      <c r="H1109" s="3">
        <v>10.5</v>
      </c>
      <c r="I1109" s="3"/>
      <c r="L1109" s="66"/>
    </row>
    <row r="1110" spans="3:12" ht="15.75" customHeight="1" x14ac:dyDescent="0.2">
      <c r="C1110" s="15">
        <v>41779</v>
      </c>
      <c r="D1110" s="19">
        <v>0.50347222222222221</v>
      </c>
      <c r="E1110" s="3">
        <v>8</v>
      </c>
      <c r="F1110" s="190">
        <v>11</v>
      </c>
      <c r="G1110" s="190">
        <v>94.8</v>
      </c>
      <c r="H1110" s="3">
        <v>9</v>
      </c>
      <c r="I1110" s="3"/>
      <c r="L1110" s="66"/>
    </row>
    <row r="1111" spans="3:12" ht="15.75" customHeight="1" x14ac:dyDescent="0.2">
      <c r="C1111" s="15">
        <v>41779</v>
      </c>
      <c r="D1111" s="19">
        <v>0.50347222222222221</v>
      </c>
      <c r="E1111" s="3">
        <v>9</v>
      </c>
      <c r="F1111" s="190">
        <v>11.18</v>
      </c>
      <c r="G1111" s="190">
        <v>94.5</v>
      </c>
      <c r="H1111" s="3">
        <v>8.3000000000000007</v>
      </c>
      <c r="I1111" s="3"/>
      <c r="L1111" s="66"/>
    </row>
    <row r="1112" spans="3:12" ht="15.75" customHeight="1" x14ac:dyDescent="0.2">
      <c r="C1112" s="15">
        <v>41779</v>
      </c>
      <c r="D1112" s="19">
        <v>0.50347222222222221</v>
      </c>
      <c r="E1112" s="3">
        <v>10</v>
      </c>
      <c r="F1112" s="190">
        <v>11.12</v>
      </c>
      <c r="G1112" s="190">
        <v>92.5</v>
      </c>
      <c r="H1112" s="3">
        <v>7.6</v>
      </c>
      <c r="I1112" s="3"/>
      <c r="L1112" s="66"/>
    </row>
    <row r="1113" spans="3:12" ht="15.75" customHeight="1" x14ac:dyDescent="0.2">
      <c r="C1113" s="15">
        <v>41779</v>
      </c>
      <c r="D1113" s="19">
        <v>0.50347222222222221</v>
      </c>
      <c r="E1113" s="3">
        <v>11</v>
      </c>
      <c r="F1113" s="190">
        <v>11.19</v>
      </c>
      <c r="G1113" s="190">
        <v>92</v>
      </c>
      <c r="H1113" s="3">
        <v>7.1</v>
      </c>
      <c r="I1113" s="3"/>
      <c r="L1113" s="66"/>
    </row>
    <row r="1114" spans="3:12" ht="15.75" customHeight="1" x14ac:dyDescent="0.2">
      <c r="C1114" s="15">
        <v>41779</v>
      </c>
      <c r="D1114" s="19">
        <v>0.50347222222222221</v>
      </c>
      <c r="E1114" s="3">
        <v>12</v>
      </c>
      <c r="F1114" s="190">
        <v>11.15</v>
      </c>
      <c r="G1114" s="190">
        <v>91.4</v>
      </c>
      <c r="H1114" s="3">
        <v>6.9</v>
      </c>
      <c r="I1114" s="3"/>
      <c r="L1114" s="66"/>
    </row>
    <row r="1115" spans="3:12" ht="15.75" customHeight="1" x14ac:dyDescent="0.2">
      <c r="C1115" s="15">
        <v>41779</v>
      </c>
      <c r="D1115" s="19">
        <v>0.50347222222222221</v>
      </c>
      <c r="E1115" s="3">
        <v>13</v>
      </c>
      <c r="F1115" s="190">
        <v>11.13</v>
      </c>
      <c r="G1115" s="190">
        <v>91.2</v>
      </c>
      <c r="H1115" s="3">
        <v>6.8</v>
      </c>
      <c r="I1115" s="3"/>
      <c r="L1115" s="66"/>
    </row>
    <row r="1116" spans="3:12" ht="15.75" customHeight="1" x14ac:dyDescent="0.2">
      <c r="C1116" s="15">
        <v>41779</v>
      </c>
      <c r="D1116" s="19">
        <v>0.50347222222222221</v>
      </c>
      <c r="E1116" s="3">
        <v>14</v>
      </c>
      <c r="F1116" s="190">
        <v>11.07</v>
      </c>
      <c r="G1116" s="190">
        <v>90.2</v>
      </c>
      <c r="H1116" s="3">
        <v>6.6</v>
      </c>
      <c r="I1116" s="3"/>
      <c r="L1116" s="66"/>
    </row>
    <row r="1117" spans="3:12" ht="15.75" customHeight="1" x14ac:dyDescent="0.2">
      <c r="C1117" s="15">
        <v>41779</v>
      </c>
      <c r="D1117" s="19">
        <v>0.50347222222222221</v>
      </c>
      <c r="E1117" s="3">
        <v>15</v>
      </c>
      <c r="F1117" s="190">
        <v>11.04</v>
      </c>
      <c r="G1117" s="190">
        <v>89.7</v>
      </c>
      <c r="H1117" s="3">
        <v>6.5</v>
      </c>
      <c r="I1117" s="3"/>
      <c r="L1117" s="66"/>
    </row>
    <row r="1118" spans="3:12" ht="15.75" customHeight="1" x14ac:dyDescent="0.2">
      <c r="C1118" s="15">
        <v>41779</v>
      </c>
      <c r="D1118" s="19">
        <v>0.50347222222222221</v>
      </c>
      <c r="E1118" s="3">
        <v>16</v>
      </c>
      <c r="F1118" s="190">
        <v>11.01</v>
      </c>
      <c r="G1118" s="190">
        <v>89</v>
      </c>
      <c r="H1118" s="3">
        <v>6.4</v>
      </c>
      <c r="I1118" s="3"/>
      <c r="L1118" s="66"/>
    </row>
    <row r="1119" spans="3:12" ht="15.75" customHeight="1" x14ac:dyDescent="0.2">
      <c r="C1119" s="15">
        <v>41779</v>
      </c>
      <c r="D1119" s="19">
        <v>0.50347222222222221</v>
      </c>
      <c r="E1119" s="3">
        <v>17</v>
      </c>
      <c r="F1119" s="190">
        <v>10.93</v>
      </c>
      <c r="G1119" s="190">
        <v>88.1</v>
      </c>
      <c r="H1119" s="3">
        <v>6.2</v>
      </c>
      <c r="I1119" s="3"/>
      <c r="L1119" s="66"/>
    </row>
    <row r="1120" spans="3:12" ht="15.75" customHeight="1" x14ac:dyDescent="0.2">
      <c r="C1120" s="15">
        <v>41779</v>
      </c>
      <c r="D1120" s="19">
        <v>0.50347222222222221</v>
      </c>
      <c r="E1120" s="3">
        <v>18</v>
      </c>
      <c r="F1120" s="190">
        <v>10.88</v>
      </c>
      <c r="G1120" s="190">
        <v>87.6</v>
      </c>
      <c r="H1120" s="3">
        <v>6.1</v>
      </c>
      <c r="I1120" s="3"/>
      <c r="L1120" s="66"/>
    </row>
    <row r="1121" spans="2:12" ht="15.75" customHeight="1" x14ac:dyDescent="0.2">
      <c r="C1121" s="15">
        <v>41779</v>
      </c>
      <c r="D1121" s="19">
        <v>0.50347222222222221</v>
      </c>
      <c r="E1121" s="3">
        <v>19</v>
      </c>
      <c r="F1121" s="190">
        <v>10.85</v>
      </c>
      <c r="G1121" s="190">
        <v>87.1</v>
      </c>
      <c r="H1121" s="3">
        <v>6</v>
      </c>
      <c r="I1121" s="3"/>
      <c r="L1121" s="66"/>
    </row>
    <row r="1122" spans="2:12" ht="15.75" customHeight="1" x14ac:dyDescent="0.2">
      <c r="C1122" s="15">
        <v>41779</v>
      </c>
      <c r="D1122" s="19">
        <v>0.50347222222222221</v>
      </c>
      <c r="E1122" s="3">
        <v>20</v>
      </c>
      <c r="F1122" s="190">
        <v>10.8</v>
      </c>
      <c r="G1122" s="190">
        <v>86.4</v>
      </c>
      <c r="H1122" s="3">
        <v>6</v>
      </c>
      <c r="I1122" s="3"/>
      <c r="L1122" s="66"/>
    </row>
    <row r="1123" spans="2:12" ht="15.75" customHeight="1" x14ac:dyDescent="0.2">
      <c r="C1123" s="15">
        <v>41779</v>
      </c>
      <c r="D1123" s="19">
        <v>0.50347222222222221</v>
      </c>
      <c r="E1123" s="3">
        <v>21</v>
      </c>
      <c r="F1123" s="190">
        <v>10.75</v>
      </c>
      <c r="G1123" s="190">
        <v>85.5</v>
      </c>
      <c r="H1123" s="3">
        <v>5.8</v>
      </c>
      <c r="I1123" s="3"/>
      <c r="L1123" s="66"/>
    </row>
    <row r="1124" spans="2:12" ht="15.75" customHeight="1" x14ac:dyDescent="0.2">
      <c r="C1124" s="15">
        <v>41779</v>
      </c>
      <c r="D1124" s="19">
        <v>0.50347222222222221</v>
      </c>
      <c r="E1124" s="3">
        <v>22</v>
      </c>
      <c r="F1124" s="190">
        <v>10.7</v>
      </c>
      <c r="G1124" s="190">
        <v>85</v>
      </c>
      <c r="H1124" s="3">
        <v>5.6</v>
      </c>
      <c r="I1124" s="3"/>
      <c r="L1124" s="66"/>
    </row>
    <row r="1125" spans="2:12" ht="15.75" customHeight="1" x14ac:dyDescent="0.2">
      <c r="C1125" s="15">
        <v>41779</v>
      </c>
      <c r="D1125" s="19">
        <v>0.50347222222222221</v>
      </c>
      <c r="E1125" s="3">
        <v>23</v>
      </c>
      <c r="F1125" s="190">
        <v>10.66</v>
      </c>
      <c r="G1125" s="190">
        <v>84.7</v>
      </c>
      <c r="H1125" s="3">
        <v>5.6</v>
      </c>
      <c r="I1125" s="3"/>
      <c r="L1125" s="66"/>
    </row>
    <row r="1126" spans="2:12" ht="15.75" customHeight="1" x14ac:dyDescent="0.2">
      <c r="C1126" s="15">
        <v>41779</v>
      </c>
      <c r="D1126" s="19">
        <v>0.50347222222222221</v>
      </c>
      <c r="E1126" s="3">
        <v>24</v>
      </c>
      <c r="F1126" s="190">
        <v>10.62</v>
      </c>
      <c r="G1126" s="190">
        <v>84.1</v>
      </c>
      <c r="H1126" s="3">
        <v>5.5</v>
      </c>
      <c r="I1126" s="3"/>
      <c r="L1126" s="66"/>
    </row>
    <row r="1127" spans="2:12" ht="15.75" customHeight="1" x14ac:dyDescent="0.2">
      <c r="C1127" s="15">
        <v>41779</v>
      </c>
      <c r="D1127" s="19">
        <v>0.50347222222222221</v>
      </c>
      <c r="E1127" s="3">
        <v>25</v>
      </c>
      <c r="F1127" s="190">
        <v>10.6</v>
      </c>
      <c r="G1127" s="190">
        <v>83.7</v>
      </c>
      <c r="H1127" s="3">
        <v>5.5</v>
      </c>
      <c r="I1127" s="3"/>
      <c r="L1127" s="66"/>
    </row>
    <row r="1128" spans="2:12" ht="15.75" customHeight="1" x14ac:dyDescent="0.2">
      <c r="C1128" s="15">
        <v>41779</v>
      </c>
      <c r="D1128" s="19">
        <v>0.50347222222222221</v>
      </c>
      <c r="E1128" s="3">
        <v>35</v>
      </c>
      <c r="F1128" s="190">
        <v>10.53</v>
      </c>
      <c r="G1128" s="190">
        <v>83.3</v>
      </c>
      <c r="H1128" s="3">
        <v>5.4</v>
      </c>
      <c r="I1128" s="3"/>
      <c r="L1128" s="66"/>
    </row>
    <row r="1129" spans="2:12" ht="15.75" customHeight="1" x14ac:dyDescent="0.2">
      <c r="C1129" s="15">
        <v>41779</v>
      </c>
      <c r="D1129" s="19">
        <v>0.50347222222222221</v>
      </c>
      <c r="E1129" s="3">
        <v>40</v>
      </c>
      <c r="F1129" s="190">
        <v>10.4</v>
      </c>
      <c r="G1129" s="190">
        <v>81.900000000000006</v>
      </c>
      <c r="H1129" s="3">
        <v>5.2</v>
      </c>
      <c r="I1129" s="3"/>
      <c r="L1129" s="66"/>
    </row>
    <row r="1130" spans="2:12" ht="15.75" customHeight="1" x14ac:dyDescent="0.2">
      <c r="C1130" s="15">
        <v>41779</v>
      </c>
      <c r="D1130" s="19">
        <v>0.50347222222222221</v>
      </c>
      <c r="E1130" s="3">
        <v>50</v>
      </c>
      <c r="F1130" s="190">
        <v>10.16</v>
      </c>
      <c r="G1130" s="190">
        <v>79.5</v>
      </c>
      <c r="H1130" s="3">
        <v>5</v>
      </c>
      <c r="I1130" s="3"/>
      <c r="L1130" s="66"/>
    </row>
    <row r="1131" spans="2:12" ht="15.75" customHeight="1" x14ac:dyDescent="0.2">
      <c r="C1131" s="15">
        <v>41779</v>
      </c>
      <c r="D1131" s="19">
        <v>0.50347222222222221</v>
      </c>
      <c r="E1131" s="3">
        <v>60</v>
      </c>
      <c r="F1131" s="190">
        <v>10.02</v>
      </c>
      <c r="G1131" s="190">
        <v>78.2</v>
      </c>
      <c r="H1131" s="3">
        <v>4.9000000000000004</v>
      </c>
      <c r="I1131" s="3"/>
      <c r="L1131" s="66"/>
    </row>
    <row r="1132" spans="2:12" ht="15.75" customHeight="1" x14ac:dyDescent="0.2">
      <c r="C1132" s="3"/>
      <c r="D1132" s="19"/>
      <c r="E1132" s="3"/>
      <c r="H1132" s="3"/>
      <c r="I1132" s="3"/>
      <c r="L1132" s="66"/>
    </row>
    <row r="1133" spans="2:12" ht="16" x14ac:dyDescent="0.2">
      <c r="B1133">
        <v>88.2</v>
      </c>
      <c r="C1133" s="240">
        <v>37525</v>
      </c>
      <c r="D1133" s="185">
        <v>0.5</v>
      </c>
      <c r="F1133"/>
      <c r="G1133"/>
      <c r="H1133" s="190"/>
      <c r="I1133" s="190"/>
      <c r="J1133">
        <v>12.7</v>
      </c>
      <c r="K1133">
        <v>13.2</v>
      </c>
      <c r="L1133" s="249"/>
    </row>
    <row r="1134" spans="2:12" ht="16" x14ac:dyDescent="0.2">
      <c r="B1134">
        <v>88.2</v>
      </c>
      <c r="C1134" s="240">
        <v>37525</v>
      </c>
      <c r="D1134" s="185">
        <v>0.5</v>
      </c>
      <c r="E1134" s="190">
        <v>0.5</v>
      </c>
      <c r="F1134">
        <v>9</v>
      </c>
      <c r="G1134">
        <v>100.2</v>
      </c>
      <c r="H1134" s="191">
        <v>16.3</v>
      </c>
      <c r="I1134" s="198">
        <v>16.3</v>
      </c>
      <c r="L1134" s="249"/>
    </row>
    <row r="1135" spans="2:12" ht="16" x14ac:dyDescent="0.2">
      <c r="C1135" s="240">
        <v>37525</v>
      </c>
      <c r="D1135" s="185">
        <v>0.5</v>
      </c>
      <c r="E1135" s="190">
        <v>2</v>
      </c>
      <c r="F1135">
        <v>8.9</v>
      </c>
      <c r="G1135">
        <v>99.1</v>
      </c>
      <c r="H1135" s="191">
        <v>16.3</v>
      </c>
      <c r="I1135" s="198">
        <v>16.3</v>
      </c>
      <c r="L1135" s="249"/>
    </row>
    <row r="1136" spans="2:12" ht="16" x14ac:dyDescent="0.2">
      <c r="C1136" s="240">
        <v>37525</v>
      </c>
      <c r="D1136" s="185">
        <v>0.5</v>
      </c>
      <c r="E1136" s="190">
        <v>4</v>
      </c>
      <c r="F1136">
        <v>8.9</v>
      </c>
      <c r="G1136">
        <v>98.6</v>
      </c>
      <c r="H1136" s="191">
        <v>16.3</v>
      </c>
      <c r="I1136" s="198">
        <v>16.3</v>
      </c>
      <c r="L1136" s="249"/>
    </row>
    <row r="1137" spans="3:12" ht="16" x14ac:dyDescent="0.2">
      <c r="C1137" s="240">
        <v>37525</v>
      </c>
      <c r="D1137" s="185">
        <v>0.5</v>
      </c>
      <c r="E1137" s="190">
        <v>6</v>
      </c>
      <c r="F1137">
        <v>8.9</v>
      </c>
      <c r="G1137">
        <v>98.6</v>
      </c>
      <c r="H1137" s="191">
        <v>16.3</v>
      </c>
      <c r="I1137" s="198">
        <v>16.3</v>
      </c>
      <c r="L1137" s="249"/>
    </row>
    <row r="1138" spans="3:12" ht="16" x14ac:dyDescent="0.2">
      <c r="C1138" s="240">
        <v>37525</v>
      </c>
      <c r="D1138" s="185">
        <v>0.5</v>
      </c>
      <c r="E1138" s="190">
        <v>8</v>
      </c>
      <c r="F1138">
        <v>8.9</v>
      </c>
      <c r="G1138">
        <v>98.2</v>
      </c>
      <c r="H1138" s="191">
        <v>16.3</v>
      </c>
      <c r="I1138" s="198">
        <v>16.3</v>
      </c>
      <c r="L1138" s="249"/>
    </row>
    <row r="1139" spans="3:12" ht="16" x14ac:dyDescent="0.2">
      <c r="C1139" s="240">
        <v>37525</v>
      </c>
      <c r="D1139" s="185">
        <v>0.5</v>
      </c>
      <c r="E1139" s="190">
        <v>10</v>
      </c>
      <c r="F1139">
        <v>8.8000000000000007</v>
      </c>
      <c r="G1139">
        <v>97.9</v>
      </c>
      <c r="H1139" s="191">
        <v>16.3</v>
      </c>
      <c r="I1139" s="198">
        <v>16.3</v>
      </c>
      <c r="L1139" s="249"/>
    </row>
    <row r="1140" spans="3:12" ht="16" x14ac:dyDescent="0.2">
      <c r="C1140" s="240">
        <v>37525</v>
      </c>
      <c r="D1140" s="185">
        <v>0.5</v>
      </c>
      <c r="E1140" s="190">
        <v>12</v>
      </c>
      <c r="F1140">
        <v>8.8000000000000007</v>
      </c>
      <c r="G1140">
        <v>97.6</v>
      </c>
      <c r="H1140" s="191">
        <v>16.3</v>
      </c>
      <c r="I1140" s="198">
        <v>16.3</v>
      </c>
      <c r="L1140" s="249"/>
    </row>
    <row r="1141" spans="3:12" ht="16" x14ac:dyDescent="0.2">
      <c r="C1141" s="240">
        <v>37525</v>
      </c>
      <c r="D1141" s="185">
        <v>0.5</v>
      </c>
      <c r="E1141" s="190">
        <v>13</v>
      </c>
      <c r="F1141">
        <v>8.8000000000000007</v>
      </c>
      <c r="G1141">
        <v>97.4</v>
      </c>
      <c r="H1141" s="191">
        <v>15.9</v>
      </c>
      <c r="I1141" s="198">
        <v>15.9</v>
      </c>
      <c r="L1141" s="249"/>
    </row>
    <row r="1142" spans="3:12" ht="16" x14ac:dyDescent="0.2">
      <c r="C1142" s="240">
        <v>37525</v>
      </c>
      <c r="D1142" s="185">
        <v>0.5</v>
      </c>
      <c r="E1142" s="190">
        <v>14</v>
      </c>
      <c r="F1142">
        <v>10.3</v>
      </c>
      <c r="G1142">
        <v>104.2</v>
      </c>
      <c r="H1142" s="191">
        <v>11.7</v>
      </c>
      <c r="I1142" s="244">
        <f>AVERAGE(I1134:I1141)</f>
        <v>16.25</v>
      </c>
      <c r="L1142" s="249"/>
    </row>
    <row r="1143" spans="3:12" ht="16" x14ac:dyDescent="0.2">
      <c r="C1143" s="240">
        <v>37525</v>
      </c>
      <c r="D1143" s="185">
        <v>0.5</v>
      </c>
      <c r="E1143" s="190">
        <v>15</v>
      </c>
      <c r="F1143">
        <v>10.8</v>
      </c>
      <c r="G1143">
        <v>101.9</v>
      </c>
      <c r="H1143" s="191">
        <v>9</v>
      </c>
      <c r="I1143" s="190"/>
      <c r="L1143" s="249"/>
    </row>
    <row r="1144" spans="3:12" ht="16" x14ac:dyDescent="0.2">
      <c r="C1144" s="240">
        <v>37525</v>
      </c>
      <c r="D1144" s="185">
        <v>0.5</v>
      </c>
      <c r="E1144" s="190">
        <v>16</v>
      </c>
      <c r="F1144">
        <v>10.9</v>
      </c>
      <c r="G1144">
        <v>99.8</v>
      </c>
      <c r="H1144" s="191">
        <v>7.7</v>
      </c>
      <c r="I1144" s="190"/>
      <c r="L1144" s="249"/>
    </row>
    <row r="1145" spans="3:12" ht="16" x14ac:dyDescent="0.2">
      <c r="C1145" s="240">
        <v>37525</v>
      </c>
      <c r="D1145" s="185">
        <v>0.5</v>
      </c>
      <c r="E1145" s="190">
        <v>17</v>
      </c>
      <c r="F1145">
        <v>10.8</v>
      </c>
      <c r="G1145">
        <v>97.6</v>
      </c>
      <c r="H1145" s="191">
        <v>7.4</v>
      </c>
      <c r="I1145" s="190"/>
      <c r="L1145" s="249"/>
    </row>
    <row r="1146" spans="3:12" ht="16" x14ac:dyDescent="0.2">
      <c r="C1146" s="240">
        <v>37525</v>
      </c>
      <c r="D1146" s="185">
        <v>0.5</v>
      </c>
      <c r="E1146" s="190">
        <v>18</v>
      </c>
      <c r="F1146">
        <v>10.7</v>
      </c>
      <c r="G1146">
        <v>96.8</v>
      </c>
      <c r="H1146" s="191">
        <v>7.1</v>
      </c>
      <c r="I1146" s="190"/>
      <c r="L1146" s="249"/>
    </row>
    <row r="1147" spans="3:12" ht="16" x14ac:dyDescent="0.2">
      <c r="C1147" s="240">
        <v>37525</v>
      </c>
      <c r="D1147" s="185">
        <v>0.5</v>
      </c>
      <c r="E1147" s="190">
        <v>20</v>
      </c>
      <c r="F1147">
        <v>10.4</v>
      </c>
      <c r="G1147">
        <v>93</v>
      </c>
      <c r="H1147" s="191">
        <v>6.8</v>
      </c>
      <c r="I1147" s="190"/>
      <c r="L1147" s="249"/>
    </row>
    <row r="1148" spans="3:12" ht="16" x14ac:dyDescent="0.2">
      <c r="C1148" s="240">
        <v>37525</v>
      </c>
      <c r="D1148" s="185">
        <v>0.5</v>
      </c>
      <c r="E1148" s="190">
        <v>25</v>
      </c>
      <c r="F1148">
        <v>10.199999999999999</v>
      </c>
      <c r="G1148">
        <v>89.5</v>
      </c>
      <c r="H1148" s="191">
        <v>6.2</v>
      </c>
      <c r="I1148" s="190"/>
      <c r="L1148" s="249"/>
    </row>
    <row r="1149" spans="3:12" ht="16" x14ac:dyDescent="0.2">
      <c r="C1149" s="240">
        <v>37525</v>
      </c>
      <c r="D1149" s="185">
        <v>0.5</v>
      </c>
      <c r="E1149" s="190">
        <v>30</v>
      </c>
      <c r="F1149">
        <v>10</v>
      </c>
      <c r="G1149">
        <v>87.8</v>
      </c>
      <c r="H1149" s="191">
        <v>5.8</v>
      </c>
      <c r="I1149" s="190"/>
      <c r="L1149" s="249"/>
    </row>
    <row r="1150" spans="3:12" ht="16" x14ac:dyDescent="0.2">
      <c r="C1150" s="240">
        <v>37525</v>
      </c>
      <c r="D1150" s="185">
        <v>0.5</v>
      </c>
      <c r="E1150" s="190">
        <v>40</v>
      </c>
      <c r="F1150">
        <v>10.1</v>
      </c>
      <c r="G1150">
        <v>86.7</v>
      </c>
      <c r="H1150" s="191">
        <v>5</v>
      </c>
      <c r="I1150" s="190"/>
      <c r="L1150" s="249"/>
    </row>
    <row r="1151" spans="3:12" ht="16" x14ac:dyDescent="0.2">
      <c r="C1151" s="240">
        <v>37525</v>
      </c>
      <c r="D1151" s="185">
        <v>0.5</v>
      </c>
      <c r="E1151" s="190">
        <v>50</v>
      </c>
      <c r="F1151">
        <v>10.1</v>
      </c>
      <c r="G1151">
        <v>86.2</v>
      </c>
      <c r="H1151" s="191">
        <v>4.9000000000000004</v>
      </c>
      <c r="I1151" s="190"/>
      <c r="L1151" s="249"/>
    </row>
    <row r="1152" spans="3:12" ht="16" x14ac:dyDescent="0.2">
      <c r="C1152" s="240">
        <v>37525</v>
      </c>
      <c r="D1152" s="185">
        <v>0.5</v>
      </c>
      <c r="E1152" s="190">
        <v>60</v>
      </c>
      <c r="F1152">
        <v>10.199999999999999</v>
      </c>
      <c r="G1152">
        <v>86.2</v>
      </c>
      <c r="H1152" s="191">
        <v>4.7</v>
      </c>
      <c r="I1152" s="190"/>
      <c r="L1152" s="249"/>
    </row>
    <row r="1153" spans="2:12" ht="16" x14ac:dyDescent="0.2">
      <c r="C1153" s="240">
        <v>37525</v>
      </c>
      <c r="D1153" s="185">
        <v>0.5</v>
      </c>
      <c r="E1153" s="190">
        <v>70</v>
      </c>
      <c r="F1153">
        <v>10.3</v>
      </c>
      <c r="G1153">
        <v>86.8</v>
      </c>
      <c r="H1153" s="191">
        <v>4.4000000000000004</v>
      </c>
      <c r="I1153" s="190"/>
      <c r="L1153" s="249"/>
    </row>
    <row r="1154" spans="2:12" ht="16" x14ac:dyDescent="0.2">
      <c r="C1154" s="240">
        <v>37525</v>
      </c>
      <c r="D1154" s="185">
        <v>0.5</v>
      </c>
      <c r="E1154" s="190">
        <v>80</v>
      </c>
      <c r="F1154">
        <v>10.3</v>
      </c>
      <c r="G1154">
        <v>86.4</v>
      </c>
      <c r="H1154" s="191">
        <v>4.3</v>
      </c>
      <c r="I1154" s="190"/>
      <c r="L1154" s="249"/>
    </row>
    <row r="1155" spans="2:12" ht="16" x14ac:dyDescent="0.2">
      <c r="C1155" s="240">
        <v>37525</v>
      </c>
      <c r="D1155" s="185">
        <v>0.5</v>
      </c>
      <c r="E1155" s="190">
        <v>88</v>
      </c>
      <c r="F1155">
        <v>9.8000000000000007</v>
      </c>
      <c r="G1155">
        <v>86.1</v>
      </c>
      <c r="H1155" s="191">
        <v>4.0999999999999996</v>
      </c>
      <c r="I1155" s="190"/>
      <c r="L1155" s="249"/>
    </row>
    <row r="1156" spans="2:12" ht="16" x14ac:dyDescent="0.2">
      <c r="C1156" s="190"/>
      <c r="F1156"/>
      <c r="G1156"/>
      <c r="H1156" s="190"/>
      <c r="L1156" s="249"/>
    </row>
    <row r="1157" spans="2:12" ht="16" x14ac:dyDescent="0.2">
      <c r="B1157">
        <v>69</v>
      </c>
      <c r="C1157" s="240">
        <v>37376</v>
      </c>
      <c r="D1157" s="185">
        <v>0.625</v>
      </c>
      <c r="F1157"/>
      <c r="G1157"/>
      <c r="H1157" s="190"/>
      <c r="J1157">
        <v>8.5</v>
      </c>
      <c r="K1157">
        <v>10.8</v>
      </c>
      <c r="L1157" s="249"/>
    </row>
    <row r="1158" spans="2:12" ht="16" x14ac:dyDescent="0.2">
      <c r="C1158" s="240">
        <v>37376</v>
      </c>
      <c r="D1158" s="185">
        <v>0.625</v>
      </c>
      <c r="E1158" s="190">
        <v>0.5</v>
      </c>
      <c r="F1158">
        <v>12</v>
      </c>
      <c r="G1158">
        <v>104.9</v>
      </c>
      <c r="H1158" s="190">
        <v>5.3</v>
      </c>
      <c r="L1158" s="249"/>
    </row>
    <row r="1159" spans="2:12" ht="16" x14ac:dyDescent="0.2">
      <c r="C1159" s="240">
        <v>37376</v>
      </c>
      <c r="D1159" s="185">
        <v>0.625</v>
      </c>
      <c r="E1159" s="190">
        <v>5</v>
      </c>
      <c r="F1159">
        <v>12</v>
      </c>
      <c r="G1159">
        <v>104.9</v>
      </c>
      <c r="H1159" s="190">
        <v>5.4</v>
      </c>
      <c r="L1159" s="249"/>
    </row>
    <row r="1160" spans="2:12" ht="16" x14ac:dyDescent="0.2">
      <c r="C1160" s="240">
        <v>37376</v>
      </c>
      <c r="D1160" s="185">
        <v>0.625</v>
      </c>
      <c r="E1160" s="190">
        <v>10</v>
      </c>
      <c r="F1160">
        <v>11.8</v>
      </c>
      <c r="G1160">
        <v>102.5</v>
      </c>
      <c r="H1160" s="190">
        <v>4.9000000000000004</v>
      </c>
      <c r="L1160" s="249"/>
    </row>
    <row r="1161" spans="2:12" ht="16" x14ac:dyDescent="0.2">
      <c r="C1161" s="240">
        <v>37376</v>
      </c>
      <c r="D1161" s="185">
        <v>0.625</v>
      </c>
      <c r="E1161" s="190">
        <v>20</v>
      </c>
      <c r="F1161">
        <v>11.7</v>
      </c>
      <c r="G1161">
        <v>99.8</v>
      </c>
      <c r="H1161" s="190">
        <v>4.3</v>
      </c>
      <c r="L1161" s="249"/>
    </row>
    <row r="1162" spans="2:12" ht="16" x14ac:dyDescent="0.2">
      <c r="C1162" s="240">
        <v>37376</v>
      </c>
      <c r="D1162" s="185">
        <v>0.625</v>
      </c>
      <c r="E1162" s="190">
        <v>30</v>
      </c>
      <c r="F1162">
        <v>11.6</v>
      </c>
      <c r="G1162">
        <v>99.2</v>
      </c>
      <c r="H1162" s="190">
        <v>4.2</v>
      </c>
      <c r="L1162" s="249"/>
    </row>
    <row r="1163" spans="2:12" ht="16" x14ac:dyDescent="0.2">
      <c r="C1163" s="240">
        <v>37376</v>
      </c>
      <c r="D1163" s="185">
        <v>0.625</v>
      </c>
      <c r="E1163" s="190">
        <v>40</v>
      </c>
      <c r="F1163">
        <v>11.6</v>
      </c>
      <c r="G1163">
        <v>98.2</v>
      </c>
      <c r="H1163" s="190">
        <v>4.0999999999999996</v>
      </c>
      <c r="L1163" s="249"/>
    </row>
    <row r="1164" spans="2:12" ht="16" x14ac:dyDescent="0.2">
      <c r="C1164" s="240">
        <v>37376</v>
      </c>
      <c r="D1164" s="185">
        <v>0.625</v>
      </c>
      <c r="E1164" s="190">
        <v>50</v>
      </c>
      <c r="F1164">
        <v>11.6</v>
      </c>
      <c r="G1164">
        <v>97.8</v>
      </c>
      <c r="H1164" s="190">
        <v>4</v>
      </c>
      <c r="L1164" s="249"/>
    </row>
    <row r="1165" spans="2:12" ht="16" x14ac:dyDescent="0.2">
      <c r="C1165" s="240">
        <v>37376</v>
      </c>
      <c r="D1165" s="185">
        <v>0.625</v>
      </c>
      <c r="E1165" s="190">
        <v>60</v>
      </c>
      <c r="F1165">
        <v>11.6</v>
      </c>
      <c r="G1165">
        <v>97.4</v>
      </c>
      <c r="H1165" s="190">
        <v>4</v>
      </c>
      <c r="L1165" s="249"/>
    </row>
    <row r="1166" spans="2:12" ht="16" x14ac:dyDescent="0.2">
      <c r="C1166" s="240">
        <v>37376</v>
      </c>
      <c r="D1166" s="185">
        <v>0.625</v>
      </c>
      <c r="E1166" s="190">
        <v>68</v>
      </c>
      <c r="F1166">
        <v>11.4</v>
      </c>
      <c r="G1166">
        <v>96</v>
      </c>
      <c r="H1166" s="190">
        <v>3.4</v>
      </c>
      <c r="L1166" s="249"/>
    </row>
    <row r="1167" spans="2:12" ht="15.75" customHeight="1" x14ac:dyDescent="0.2">
      <c r="C1167" s="3"/>
      <c r="D1167" s="19"/>
      <c r="E1167" s="3"/>
      <c r="H1167" s="3"/>
      <c r="I1167" s="3"/>
      <c r="L1167" s="66"/>
    </row>
    <row r="1168" spans="2:12" ht="15.75" customHeight="1" x14ac:dyDescent="0.2">
      <c r="B1168">
        <v>83.8</v>
      </c>
      <c r="C1168" s="15">
        <v>36060</v>
      </c>
      <c r="D1168" s="12">
        <v>0.53125</v>
      </c>
      <c r="E1168" s="3"/>
      <c r="H1168" s="7"/>
      <c r="I1168" s="20"/>
      <c r="J1168">
        <v>12.2</v>
      </c>
      <c r="L1168" s="66"/>
    </row>
    <row r="1169" spans="3:12" ht="15.75" customHeight="1" x14ac:dyDescent="0.2">
      <c r="C1169" s="15">
        <v>36060</v>
      </c>
      <c r="D1169" s="12">
        <v>0.53125</v>
      </c>
      <c r="E1169" s="3">
        <v>0.5</v>
      </c>
      <c r="F1169" s="190">
        <v>8.6</v>
      </c>
      <c r="H1169" s="7">
        <v>18.899999999999999</v>
      </c>
      <c r="I1169" s="20"/>
      <c r="L1169" s="66"/>
    </row>
    <row r="1170" spans="3:12" ht="15.75" customHeight="1" x14ac:dyDescent="0.2">
      <c r="C1170" s="15">
        <v>36060</v>
      </c>
      <c r="D1170" s="12">
        <v>0.53125</v>
      </c>
      <c r="E1170" s="3">
        <v>2</v>
      </c>
      <c r="F1170" s="190">
        <v>8.5</v>
      </c>
      <c r="H1170" s="7">
        <v>19</v>
      </c>
      <c r="I1170" s="20"/>
      <c r="L1170" s="66"/>
    </row>
    <row r="1171" spans="3:12" ht="15.75" customHeight="1" x14ac:dyDescent="0.2">
      <c r="C1171" s="15">
        <v>36060</v>
      </c>
      <c r="D1171" s="12">
        <v>0.53125</v>
      </c>
      <c r="E1171" s="3">
        <v>4</v>
      </c>
      <c r="F1171" s="190">
        <v>8.5</v>
      </c>
      <c r="H1171" s="7">
        <v>19</v>
      </c>
      <c r="I1171" s="20"/>
      <c r="L1171" s="66"/>
    </row>
    <row r="1172" spans="3:12" ht="15.75" customHeight="1" x14ac:dyDescent="0.2">
      <c r="C1172" s="15">
        <v>36060</v>
      </c>
      <c r="D1172" s="12">
        <v>0.53125</v>
      </c>
      <c r="E1172" s="3">
        <v>6</v>
      </c>
      <c r="F1172" s="190">
        <v>8.5</v>
      </c>
      <c r="H1172" s="7">
        <v>18.899999999999999</v>
      </c>
      <c r="I1172" s="20"/>
      <c r="L1172" s="66"/>
    </row>
    <row r="1173" spans="3:12" ht="15.75" customHeight="1" x14ac:dyDescent="0.2">
      <c r="C1173" s="15">
        <v>36060</v>
      </c>
      <c r="D1173" s="12">
        <v>0.53125</v>
      </c>
      <c r="E1173" s="3">
        <v>8</v>
      </c>
      <c r="F1173" s="190">
        <v>8.5</v>
      </c>
      <c r="H1173" s="7">
        <v>18.899999999999999</v>
      </c>
      <c r="I1173" s="20"/>
      <c r="L1173" s="66"/>
    </row>
    <row r="1174" spans="3:12" ht="15.75" customHeight="1" x14ac:dyDescent="0.2">
      <c r="C1174" s="15">
        <v>36060</v>
      </c>
      <c r="D1174" s="12">
        <v>0.53125</v>
      </c>
      <c r="E1174" s="3">
        <v>10</v>
      </c>
      <c r="F1174" s="190">
        <v>8.4</v>
      </c>
      <c r="H1174" s="7">
        <v>18.899999999999999</v>
      </c>
      <c r="I1174" s="20"/>
      <c r="L1174" s="66"/>
    </row>
    <row r="1175" spans="3:12" ht="15.75" customHeight="1" x14ac:dyDescent="0.2">
      <c r="C1175" s="15">
        <v>36060</v>
      </c>
      <c r="D1175" s="12">
        <v>0.53125</v>
      </c>
      <c r="E1175" s="3">
        <v>11</v>
      </c>
      <c r="F1175" s="190">
        <v>9.6</v>
      </c>
      <c r="H1175" s="7">
        <v>16.3</v>
      </c>
      <c r="I1175" s="20"/>
      <c r="L1175" s="66"/>
    </row>
    <row r="1176" spans="3:12" ht="15.75" customHeight="1" x14ac:dyDescent="0.2">
      <c r="C1176" s="15">
        <v>36060</v>
      </c>
      <c r="D1176" s="12">
        <v>0.53125</v>
      </c>
      <c r="E1176" s="3">
        <v>12</v>
      </c>
      <c r="F1176" s="190">
        <v>10.1</v>
      </c>
      <c r="H1176" s="7">
        <v>13.3</v>
      </c>
      <c r="I1176" s="17"/>
      <c r="L1176" s="66"/>
    </row>
    <row r="1177" spans="3:12" ht="15.75" customHeight="1" x14ac:dyDescent="0.2">
      <c r="C1177" s="15">
        <v>36060</v>
      </c>
      <c r="D1177" s="12">
        <v>0.53125</v>
      </c>
      <c r="E1177" s="3">
        <v>13</v>
      </c>
      <c r="F1177" s="190">
        <v>10.199999999999999</v>
      </c>
      <c r="H1177" s="7">
        <v>11.3</v>
      </c>
      <c r="I1177" s="3"/>
      <c r="L1177" s="66"/>
    </row>
    <row r="1178" spans="3:12" ht="15.75" customHeight="1" x14ac:dyDescent="0.2">
      <c r="C1178" s="15">
        <v>36060</v>
      </c>
      <c r="D1178" s="12">
        <v>0.53125</v>
      </c>
      <c r="E1178" s="3">
        <v>14</v>
      </c>
      <c r="F1178" s="190">
        <v>10.4</v>
      </c>
      <c r="H1178" s="7">
        <v>9.8000000000000007</v>
      </c>
      <c r="I1178" s="3"/>
      <c r="L1178" s="66"/>
    </row>
    <row r="1179" spans="3:12" ht="15.75" customHeight="1" x14ac:dyDescent="0.2">
      <c r="C1179" s="15">
        <v>36060</v>
      </c>
      <c r="D1179" s="12">
        <v>0.53125</v>
      </c>
      <c r="E1179" s="3">
        <v>15</v>
      </c>
      <c r="F1179" s="190">
        <v>10.3</v>
      </c>
      <c r="H1179" s="7">
        <v>9.1999999999999993</v>
      </c>
      <c r="I1179" s="3"/>
      <c r="L1179" s="66"/>
    </row>
    <row r="1180" spans="3:12" ht="15.75" customHeight="1" x14ac:dyDescent="0.2">
      <c r="C1180" s="15">
        <v>36060</v>
      </c>
      <c r="D1180" s="12">
        <v>0.53125</v>
      </c>
      <c r="E1180" s="3">
        <v>16</v>
      </c>
      <c r="F1180" s="190">
        <v>10.3</v>
      </c>
      <c r="H1180" s="7">
        <v>8.6</v>
      </c>
      <c r="I1180" s="3"/>
      <c r="L1180" s="66"/>
    </row>
    <row r="1181" spans="3:12" ht="15.75" customHeight="1" x14ac:dyDescent="0.2">
      <c r="C1181" s="15">
        <v>36060</v>
      </c>
      <c r="D1181" s="12">
        <v>0.53125</v>
      </c>
      <c r="E1181" s="3">
        <v>18</v>
      </c>
      <c r="F1181" s="190">
        <v>10</v>
      </c>
      <c r="H1181" s="7">
        <v>7.4</v>
      </c>
      <c r="I1181" s="3"/>
      <c r="L1181" s="66"/>
    </row>
    <row r="1182" spans="3:12" ht="15.75" customHeight="1" x14ac:dyDescent="0.2">
      <c r="C1182" s="15">
        <v>36060</v>
      </c>
      <c r="D1182" s="12">
        <v>0.53125</v>
      </c>
      <c r="E1182" s="3">
        <v>20</v>
      </c>
      <c r="F1182" s="190">
        <v>9.6</v>
      </c>
      <c r="H1182" s="7">
        <v>6.4</v>
      </c>
      <c r="I1182" s="3"/>
      <c r="L1182" s="66"/>
    </row>
    <row r="1183" spans="3:12" ht="15.75" customHeight="1" x14ac:dyDescent="0.2">
      <c r="C1183" s="15">
        <v>36060</v>
      </c>
      <c r="D1183" s="12">
        <v>0.53125</v>
      </c>
      <c r="E1183" s="3">
        <v>30</v>
      </c>
      <c r="F1183" s="190">
        <v>9.6</v>
      </c>
      <c r="H1183" s="7">
        <v>5.5</v>
      </c>
      <c r="I1183" s="3"/>
      <c r="L1183" s="66"/>
    </row>
    <row r="1184" spans="3:12" ht="15.75" customHeight="1" x14ac:dyDescent="0.2">
      <c r="C1184" s="15">
        <v>36060</v>
      </c>
      <c r="D1184" s="12">
        <v>0.53125</v>
      </c>
      <c r="E1184" s="3">
        <v>40</v>
      </c>
      <c r="F1184" s="190">
        <v>9.6999999999999993</v>
      </c>
      <c r="H1184" s="7">
        <v>5.2</v>
      </c>
      <c r="I1184" s="3"/>
      <c r="L1184" s="66"/>
    </row>
    <row r="1185" spans="2:12" ht="15.75" customHeight="1" x14ac:dyDescent="0.2">
      <c r="C1185" s="15">
        <v>36060</v>
      </c>
      <c r="D1185" s="12">
        <v>0.53125</v>
      </c>
      <c r="E1185" s="3">
        <v>50</v>
      </c>
      <c r="F1185" s="190">
        <v>9.8000000000000007</v>
      </c>
      <c r="H1185" s="7">
        <v>4.8</v>
      </c>
      <c r="I1185" s="3"/>
      <c r="L1185" s="66"/>
    </row>
    <row r="1186" spans="2:12" ht="15.75" customHeight="1" x14ac:dyDescent="0.2">
      <c r="C1186" s="15">
        <v>36060</v>
      </c>
      <c r="D1186" s="12">
        <v>0.53125</v>
      </c>
      <c r="E1186" s="3">
        <v>60</v>
      </c>
      <c r="F1186" s="190">
        <v>9.9</v>
      </c>
      <c r="H1186" s="7">
        <v>4.5999999999999996</v>
      </c>
      <c r="I1186" s="3"/>
      <c r="L1186" s="66"/>
    </row>
    <row r="1187" spans="2:12" ht="15.75" customHeight="1" x14ac:dyDescent="0.2">
      <c r="C1187" s="15">
        <v>36060</v>
      </c>
      <c r="D1187" s="12">
        <v>0.53125</v>
      </c>
      <c r="E1187" s="3">
        <v>70</v>
      </c>
      <c r="F1187" s="190">
        <v>10.1</v>
      </c>
      <c r="H1187" s="7">
        <v>4.4000000000000004</v>
      </c>
      <c r="I1187" s="3"/>
      <c r="L1187" s="66"/>
    </row>
    <row r="1188" spans="2:12" ht="15.75" customHeight="1" x14ac:dyDescent="0.2">
      <c r="C1188" s="15">
        <v>36060</v>
      </c>
      <c r="D1188" s="12">
        <v>0.53125</v>
      </c>
      <c r="E1188" s="3">
        <v>80</v>
      </c>
      <c r="F1188" s="190">
        <v>10.1</v>
      </c>
      <c r="H1188" s="7">
        <v>4.3</v>
      </c>
      <c r="I1188" s="3"/>
      <c r="L1188" s="66"/>
    </row>
    <row r="1189" spans="2:12" ht="15.75" customHeight="1" x14ac:dyDescent="0.2">
      <c r="C1189" s="15">
        <v>36060</v>
      </c>
      <c r="D1189" s="12">
        <v>0.53125</v>
      </c>
      <c r="E1189" s="3">
        <v>83</v>
      </c>
      <c r="F1189" s="190">
        <v>9.8000000000000007</v>
      </c>
      <c r="H1189" s="7">
        <v>4.2</v>
      </c>
      <c r="I1189" s="3"/>
      <c r="L1189" s="66"/>
    </row>
    <row r="1190" spans="2:12" ht="15.75" customHeight="1" x14ac:dyDescent="0.2">
      <c r="C1190" s="3"/>
      <c r="E1190" s="3"/>
      <c r="H1190" s="3"/>
      <c r="L1190" s="66"/>
    </row>
    <row r="1191" spans="2:12" ht="15.75" customHeight="1" x14ac:dyDescent="0.2">
      <c r="B1191">
        <v>82.5</v>
      </c>
      <c r="C1191" s="15">
        <v>36012</v>
      </c>
      <c r="D1191" s="185">
        <v>0.3923611111111111</v>
      </c>
      <c r="E1191" s="3"/>
      <c r="H1191" s="3"/>
      <c r="J1191">
        <v>11.8</v>
      </c>
      <c r="L1191" s="66"/>
    </row>
    <row r="1192" spans="2:12" ht="15.75" customHeight="1" x14ac:dyDescent="0.2">
      <c r="C1192" s="15">
        <v>36012</v>
      </c>
      <c r="D1192" s="185">
        <v>0.3923611111111111</v>
      </c>
      <c r="E1192" s="3">
        <v>0.5</v>
      </c>
      <c r="F1192" s="190">
        <v>8.4</v>
      </c>
      <c r="H1192" s="3">
        <v>20.6</v>
      </c>
      <c r="L1192" s="66"/>
    </row>
    <row r="1193" spans="2:12" ht="15.75" customHeight="1" x14ac:dyDescent="0.2">
      <c r="C1193" s="15">
        <v>36012</v>
      </c>
      <c r="D1193" s="185">
        <v>0.3923611111111111</v>
      </c>
      <c r="E1193" s="3">
        <v>2</v>
      </c>
      <c r="F1193" s="190">
        <v>8.3000000000000007</v>
      </c>
      <c r="H1193" s="3">
        <v>20.6</v>
      </c>
      <c r="L1193" s="66"/>
    </row>
    <row r="1194" spans="2:12" ht="15.75" customHeight="1" x14ac:dyDescent="0.2">
      <c r="C1194" s="15">
        <v>36012</v>
      </c>
      <c r="D1194" s="185">
        <v>0.3923611111111111</v>
      </c>
      <c r="E1194" s="3">
        <v>4</v>
      </c>
      <c r="F1194" s="190">
        <v>8.1999999999999993</v>
      </c>
      <c r="H1194" s="3">
        <v>20.6</v>
      </c>
      <c r="L1194" s="66"/>
    </row>
    <row r="1195" spans="2:12" ht="15.75" customHeight="1" x14ac:dyDescent="0.2">
      <c r="C1195" s="15">
        <v>36012</v>
      </c>
      <c r="D1195" s="185">
        <v>0.3923611111111111</v>
      </c>
      <c r="E1195" s="3">
        <v>6</v>
      </c>
      <c r="F1195" s="190">
        <v>8.1999999999999993</v>
      </c>
      <c r="H1195" s="3">
        <v>20.7</v>
      </c>
      <c r="L1195" s="66"/>
    </row>
    <row r="1196" spans="2:12" ht="15.75" customHeight="1" x14ac:dyDescent="0.2">
      <c r="C1196" s="15">
        <v>36012</v>
      </c>
      <c r="D1196" s="185">
        <v>0.3923611111111111</v>
      </c>
      <c r="E1196" s="3">
        <v>7</v>
      </c>
      <c r="F1196" s="190">
        <v>8.1999999999999993</v>
      </c>
      <c r="H1196" s="3">
        <v>20.7</v>
      </c>
      <c r="L1196" s="66"/>
    </row>
    <row r="1197" spans="2:12" ht="15.75" customHeight="1" x14ac:dyDescent="0.2">
      <c r="C1197" s="15">
        <v>36012</v>
      </c>
      <c r="D1197" s="185">
        <v>0.3923611111111111</v>
      </c>
      <c r="E1197" s="3">
        <v>8</v>
      </c>
      <c r="F1197" s="190">
        <v>8.1999999999999993</v>
      </c>
      <c r="H1197" s="3">
        <v>20.7</v>
      </c>
      <c r="L1197" s="66"/>
    </row>
    <row r="1198" spans="2:12" ht="15.75" customHeight="1" x14ac:dyDescent="0.2">
      <c r="C1198" s="15">
        <v>36012</v>
      </c>
      <c r="D1198" s="185">
        <v>0.3923611111111111</v>
      </c>
      <c r="E1198" s="3">
        <v>9</v>
      </c>
      <c r="F1198" s="190">
        <v>8.1</v>
      </c>
      <c r="H1198" s="3">
        <v>20.7</v>
      </c>
      <c r="L1198" s="66"/>
    </row>
    <row r="1199" spans="2:12" ht="15.75" customHeight="1" x14ac:dyDescent="0.2">
      <c r="C1199" s="15">
        <v>36012</v>
      </c>
      <c r="D1199" s="185">
        <v>0.3923611111111111</v>
      </c>
      <c r="E1199" s="3">
        <v>10</v>
      </c>
      <c r="F1199" s="190">
        <v>9.8000000000000007</v>
      </c>
      <c r="H1199" s="3">
        <v>16</v>
      </c>
      <c r="L1199" s="66"/>
    </row>
    <row r="1200" spans="2:12" ht="15.75" customHeight="1" x14ac:dyDescent="0.2">
      <c r="C1200" s="15">
        <v>36012</v>
      </c>
      <c r="D1200" s="185">
        <v>0.3923611111111111</v>
      </c>
      <c r="E1200" s="3">
        <v>11</v>
      </c>
      <c r="F1200" s="190">
        <v>10</v>
      </c>
      <c r="H1200" s="3">
        <v>13.9</v>
      </c>
      <c r="L1200" s="66"/>
    </row>
    <row r="1201" spans="3:12" ht="15.75" customHeight="1" x14ac:dyDescent="0.2">
      <c r="C1201" s="15">
        <v>36012</v>
      </c>
      <c r="D1201" s="185">
        <v>0.3923611111111111</v>
      </c>
      <c r="E1201" s="3">
        <v>12</v>
      </c>
      <c r="F1201" s="190">
        <v>10.1</v>
      </c>
      <c r="H1201" s="3">
        <v>13.1</v>
      </c>
      <c r="L1201" s="66"/>
    </row>
    <row r="1202" spans="3:12" ht="15.75" customHeight="1" x14ac:dyDescent="0.2">
      <c r="C1202" s="15">
        <v>36012</v>
      </c>
      <c r="D1202" s="185">
        <v>0.3923611111111111</v>
      </c>
      <c r="E1202" s="3">
        <v>13</v>
      </c>
      <c r="F1202" s="190">
        <v>10.199999999999999</v>
      </c>
      <c r="H1202" s="3">
        <v>12</v>
      </c>
      <c r="L1202" s="66"/>
    </row>
    <row r="1203" spans="3:12" ht="15.75" customHeight="1" x14ac:dyDescent="0.2">
      <c r="C1203" s="15">
        <v>36012</v>
      </c>
      <c r="D1203" s="185">
        <v>0.3923611111111111</v>
      </c>
      <c r="E1203" s="3">
        <v>14</v>
      </c>
      <c r="F1203" s="190">
        <v>10.3</v>
      </c>
      <c r="H1203" s="3">
        <v>9.5</v>
      </c>
      <c r="L1203" s="66"/>
    </row>
    <row r="1204" spans="3:12" ht="15.75" customHeight="1" x14ac:dyDescent="0.2">
      <c r="C1204" s="15">
        <v>36012</v>
      </c>
      <c r="D1204" s="185">
        <v>0.3923611111111111</v>
      </c>
      <c r="E1204" s="3">
        <v>15</v>
      </c>
      <c r="F1204" s="190">
        <v>10.3</v>
      </c>
      <c r="H1204" s="3">
        <v>9</v>
      </c>
      <c r="L1204" s="66"/>
    </row>
    <row r="1205" spans="3:12" ht="15.75" customHeight="1" x14ac:dyDescent="0.2">
      <c r="C1205" s="15">
        <v>36012</v>
      </c>
      <c r="D1205" s="185">
        <v>0.3923611111111111</v>
      </c>
      <c r="E1205" s="3">
        <v>16</v>
      </c>
      <c r="F1205" s="190">
        <v>10.4</v>
      </c>
      <c r="H1205" s="3">
        <v>8.5</v>
      </c>
      <c r="L1205" s="66"/>
    </row>
    <row r="1206" spans="3:12" ht="15.75" customHeight="1" x14ac:dyDescent="0.2">
      <c r="C1206" s="15">
        <v>36012</v>
      </c>
      <c r="D1206" s="185">
        <v>0.3923611111111111</v>
      </c>
      <c r="E1206" s="3">
        <v>17</v>
      </c>
      <c r="F1206" s="190">
        <v>10.3</v>
      </c>
      <c r="H1206" s="3">
        <v>8.1</v>
      </c>
      <c r="L1206" s="66"/>
    </row>
    <row r="1207" spans="3:12" ht="15.75" customHeight="1" x14ac:dyDescent="0.2">
      <c r="C1207" s="15">
        <v>36012</v>
      </c>
      <c r="D1207" s="185">
        <v>0.3923611111111111</v>
      </c>
      <c r="E1207" s="3">
        <v>18</v>
      </c>
      <c r="F1207" s="190">
        <v>10.199999999999999</v>
      </c>
      <c r="H1207" s="3">
        <v>7.4</v>
      </c>
      <c r="L1207" s="66"/>
    </row>
    <row r="1208" spans="3:12" ht="15.75" customHeight="1" x14ac:dyDescent="0.2">
      <c r="C1208" s="15">
        <v>36012</v>
      </c>
      <c r="D1208" s="185">
        <v>0.3923611111111111</v>
      </c>
      <c r="E1208" s="3">
        <v>20</v>
      </c>
      <c r="F1208" s="190">
        <v>9.9</v>
      </c>
      <c r="H1208" s="3">
        <v>6.8</v>
      </c>
      <c r="L1208" s="66"/>
    </row>
    <row r="1209" spans="3:12" ht="15.75" customHeight="1" x14ac:dyDescent="0.2">
      <c r="C1209" s="15">
        <v>36012</v>
      </c>
      <c r="D1209" s="185">
        <v>0.3923611111111111</v>
      </c>
      <c r="E1209" s="3">
        <v>30</v>
      </c>
      <c r="F1209" s="190">
        <v>9.9</v>
      </c>
      <c r="H1209" s="3">
        <v>5.4</v>
      </c>
      <c r="L1209" s="66"/>
    </row>
    <row r="1210" spans="3:12" ht="15.75" customHeight="1" x14ac:dyDescent="0.2">
      <c r="C1210" s="15">
        <v>36012</v>
      </c>
      <c r="D1210" s="185">
        <v>0.3923611111111111</v>
      </c>
      <c r="E1210" s="3">
        <v>40</v>
      </c>
      <c r="F1210" s="190">
        <v>9.8000000000000007</v>
      </c>
      <c r="H1210" s="3">
        <v>5.0999999999999996</v>
      </c>
      <c r="L1210" s="66"/>
    </row>
    <row r="1211" spans="3:12" ht="15.75" customHeight="1" x14ac:dyDescent="0.2">
      <c r="C1211" s="15">
        <v>36012</v>
      </c>
      <c r="D1211" s="185">
        <v>0.3923611111111111</v>
      </c>
      <c r="E1211" s="3">
        <v>50</v>
      </c>
      <c r="F1211" s="190">
        <v>10.1</v>
      </c>
      <c r="H1211" s="3">
        <v>4.8</v>
      </c>
      <c r="L1211" s="66"/>
    </row>
    <row r="1212" spans="3:12" ht="15.75" customHeight="1" x14ac:dyDescent="0.2">
      <c r="C1212" s="15">
        <v>36012</v>
      </c>
      <c r="D1212" s="185">
        <v>0.3923611111111111</v>
      </c>
      <c r="E1212" s="3">
        <v>60</v>
      </c>
      <c r="F1212" s="190">
        <v>10</v>
      </c>
      <c r="H1212" s="3">
        <v>4.5</v>
      </c>
      <c r="L1212" s="66"/>
    </row>
    <row r="1213" spans="3:12" ht="15.75" customHeight="1" x14ac:dyDescent="0.2">
      <c r="C1213" s="15">
        <v>36012</v>
      </c>
      <c r="D1213" s="185">
        <v>0.3923611111111111</v>
      </c>
      <c r="E1213" s="3">
        <v>70</v>
      </c>
      <c r="F1213" s="190">
        <v>10.199999999999999</v>
      </c>
      <c r="H1213" s="3">
        <v>4.4000000000000004</v>
      </c>
      <c r="L1213" s="66"/>
    </row>
    <row r="1214" spans="3:12" ht="15.75" customHeight="1" x14ac:dyDescent="0.2">
      <c r="C1214" s="15">
        <v>36012</v>
      </c>
      <c r="D1214" s="185">
        <v>0.3923611111111111</v>
      </c>
      <c r="E1214" s="3">
        <v>80</v>
      </c>
      <c r="F1214" s="190">
        <v>10.199999999999999</v>
      </c>
      <c r="H1214" s="3">
        <v>4.3</v>
      </c>
      <c r="L1214" s="66"/>
    </row>
    <row r="1215" spans="3:12" ht="15.75" customHeight="1" x14ac:dyDescent="0.2">
      <c r="C1215" s="15">
        <v>36012</v>
      </c>
      <c r="D1215" s="185">
        <v>0.3923611111111111</v>
      </c>
      <c r="E1215" s="3">
        <v>81.5</v>
      </c>
      <c r="F1215" s="190">
        <v>10.1</v>
      </c>
      <c r="H1215" s="3">
        <v>4.2</v>
      </c>
      <c r="L1215" s="66"/>
    </row>
    <row r="1216" spans="3:12" ht="15.75" customHeight="1" x14ac:dyDescent="0.2">
      <c r="C1216" s="3"/>
      <c r="E1216" s="3"/>
      <c r="H1216" s="3"/>
      <c r="L1216" s="66"/>
    </row>
    <row r="1217" spans="2:12" ht="15.75" customHeight="1" x14ac:dyDescent="0.2">
      <c r="B1217">
        <v>85</v>
      </c>
      <c r="C1217" s="15">
        <v>36004</v>
      </c>
      <c r="D1217" s="185">
        <v>0.58333333333333337</v>
      </c>
      <c r="E1217" s="3"/>
      <c r="H1217" s="3"/>
      <c r="J1217">
        <v>10</v>
      </c>
      <c r="L1217" s="66"/>
    </row>
    <row r="1218" spans="2:12" ht="15.75" customHeight="1" x14ac:dyDescent="0.2">
      <c r="C1218" s="15">
        <v>36004</v>
      </c>
      <c r="D1218" s="185">
        <v>0.58333333333333337</v>
      </c>
      <c r="E1218" s="3">
        <v>0.5</v>
      </c>
      <c r="F1218" s="190">
        <v>8</v>
      </c>
      <c r="H1218" s="3">
        <v>25.1</v>
      </c>
      <c r="I1218" s="3">
        <v>25.1</v>
      </c>
      <c r="L1218" s="66"/>
    </row>
    <row r="1219" spans="2:12" ht="15.75" customHeight="1" x14ac:dyDescent="0.2">
      <c r="C1219" s="15">
        <v>36004</v>
      </c>
      <c r="D1219" s="185">
        <v>0.58333333333333337</v>
      </c>
      <c r="E1219" s="3">
        <v>2</v>
      </c>
      <c r="F1219" s="190">
        <v>7.9</v>
      </c>
      <c r="H1219" s="3">
        <v>25.1</v>
      </c>
      <c r="I1219" s="3">
        <v>25.1</v>
      </c>
      <c r="L1219" s="66"/>
    </row>
    <row r="1220" spans="2:12" ht="15.75" customHeight="1" x14ac:dyDescent="0.2">
      <c r="C1220" s="15">
        <v>36004</v>
      </c>
      <c r="D1220" s="185">
        <v>0.58333333333333337</v>
      </c>
      <c r="E1220" s="3">
        <v>4</v>
      </c>
      <c r="F1220" s="190">
        <v>8.4</v>
      </c>
      <c r="H1220" s="3">
        <v>23</v>
      </c>
      <c r="I1220" s="3">
        <v>23</v>
      </c>
      <c r="L1220" s="66"/>
    </row>
    <row r="1221" spans="2:12" ht="15.75" customHeight="1" x14ac:dyDescent="0.2">
      <c r="C1221" s="15">
        <v>36004</v>
      </c>
      <c r="D1221" s="185">
        <v>0.58333333333333337</v>
      </c>
      <c r="E1221" s="3">
        <v>6</v>
      </c>
      <c r="F1221" s="190">
        <v>8.9</v>
      </c>
      <c r="H1221" s="3">
        <v>20.9</v>
      </c>
      <c r="I1221" s="3">
        <v>20.9</v>
      </c>
      <c r="L1221" s="66"/>
    </row>
    <row r="1222" spans="2:12" ht="15.75" customHeight="1" x14ac:dyDescent="0.2">
      <c r="C1222" s="15">
        <v>36004</v>
      </c>
      <c r="D1222" s="185">
        <v>0.58333333333333337</v>
      </c>
      <c r="E1222" s="3">
        <v>8</v>
      </c>
      <c r="F1222" s="190">
        <v>9.1999999999999993</v>
      </c>
      <c r="H1222" s="3">
        <v>18.600000000000001</v>
      </c>
      <c r="L1222" s="66"/>
    </row>
    <row r="1223" spans="2:12" ht="15.75" customHeight="1" x14ac:dyDescent="0.2">
      <c r="C1223" s="15">
        <v>36004</v>
      </c>
      <c r="D1223" s="185">
        <v>0.58333333333333337</v>
      </c>
      <c r="E1223" s="3">
        <v>10</v>
      </c>
      <c r="F1223" s="190">
        <v>10</v>
      </c>
      <c r="H1223" s="3">
        <v>15.1</v>
      </c>
      <c r="L1223" s="66"/>
    </row>
    <row r="1224" spans="2:12" ht="15.75" customHeight="1" x14ac:dyDescent="0.2">
      <c r="C1224" s="15">
        <v>36004</v>
      </c>
      <c r="D1224" s="185">
        <v>0.58333333333333337</v>
      </c>
      <c r="E1224" s="3">
        <v>12</v>
      </c>
      <c r="F1224" s="190">
        <v>10.5</v>
      </c>
      <c r="H1224" s="3">
        <v>12</v>
      </c>
      <c r="L1224" s="66"/>
    </row>
    <row r="1225" spans="2:12" ht="15.75" customHeight="1" x14ac:dyDescent="0.2">
      <c r="C1225" s="15">
        <v>36004</v>
      </c>
      <c r="D1225" s="185">
        <v>0.58333333333333337</v>
      </c>
      <c r="E1225" s="3">
        <v>14</v>
      </c>
      <c r="F1225" s="190">
        <v>10.6</v>
      </c>
      <c r="H1225" s="3">
        <v>9.3000000000000007</v>
      </c>
      <c r="L1225" s="66"/>
    </row>
    <row r="1226" spans="2:12" ht="15.75" customHeight="1" x14ac:dyDescent="0.2">
      <c r="C1226" s="15">
        <v>36004</v>
      </c>
      <c r="D1226" s="185">
        <v>0.58333333333333337</v>
      </c>
      <c r="E1226" s="3">
        <v>16</v>
      </c>
      <c r="F1226" s="190">
        <v>10.6</v>
      </c>
      <c r="H1226" s="3">
        <v>7.5</v>
      </c>
      <c r="L1226" s="66"/>
    </row>
    <row r="1227" spans="2:12" ht="15.75" customHeight="1" x14ac:dyDescent="0.2">
      <c r="C1227" s="15">
        <v>36004</v>
      </c>
      <c r="D1227" s="185">
        <v>0.58333333333333337</v>
      </c>
      <c r="E1227" s="3">
        <v>18</v>
      </c>
      <c r="F1227" s="190">
        <v>10.5</v>
      </c>
      <c r="H1227" s="3">
        <v>7</v>
      </c>
      <c r="L1227" s="66"/>
    </row>
    <row r="1228" spans="2:12" ht="15.75" customHeight="1" x14ac:dyDescent="0.2">
      <c r="C1228" s="15">
        <v>36004</v>
      </c>
      <c r="D1228" s="185">
        <v>0.58333333333333337</v>
      </c>
      <c r="E1228" s="3">
        <v>20</v>
      </c>
      <c r="F1228" s="190">
        <v>10.4</v>
      </c>
      <c r="H1228" s="3">
        <v>6.7</v>
      </c>
      <c r="L1228" s="66"/>
    </row>
    <row r="1229" spans="2:12" ht="15.75" customHeight="1" x14ac:dyDescent="0.2">
      <c r="C1229" s="15">
        <v>36004</v>
      </c>
      <c r="D1229" s="185">
        <v>0.58333333333333337</v>
      </c>
      <c r="E1229" s="3">
        <v>30</v>
      </c>
      <c r="F1229" s="190">
        <v>10.3</v>
      </c>
      <c r="H1229" s="3">
        <v>5.5</v>
      </c>
      <c r="L1229" s="66"/>
    </row>
    <row r="1230" spans="2:12" ht="15.75" customHeight="1" x14ac:dyDescent="0.2">
      <c r="C1230" s="15">
        <v>36004</v>
      </c>
      <c r="D1230" s="185">
        <v>0.58333333333333337</v>
      </c>
      <c r="E1230" s="3">
        <v>40</v>
      </c>
      <c r="F1230" s="190">
        <v>10.3</v>
      </c>
      <c r="H1230" s="3">
        <v>5</v>
      </c>
      <c r="L1230" s="66"/>
    </row>
    <row r="1231" spans="2:12" ht="15.75" customHeight="1" x14ac:dyDescent="0.2">
      <c r="C1231" s="15">
        <v>36004</v>
      </c>
      <c r="D1231" s="185">
        <v>0.58333333333333337</v>
      </c>
      <c r="E1231" s="3">
        <v>50</v>
      </c>
      <c r="F1231" s="190">
        <v>10.4</v>
      </c>
      <c r="H1231" s="3">
        <v>4.8</v>
      </c>
      <c r="L1231" s="66"/>
    </row>
    <row r="1232" spans="2:12" ht="15.75" customHeight="1" x14ac:dyDescent="0.2">
      <c r="C1232" s="15">
        <v>36004</v>
      </c>
      <c r="D1232" s="185">
        <v>0.58333333333333337</v>
      </c>
      <c r="E1232" s="3">
        <v>60</v>
      </c>
      <c r="F1232" s="190">
        <v>10.4</v>
      </c>
      <c r="H1232" s="3">
        <v>4.5999999999999996</v>
      </c>
      <c r="L1232" s="66"/>
    </row>
    <row r="1233" spans="2:12" ht="15.75" customHeight="1" x14ac:dyDescent="0.2">
      <c r="C1233" s="15">
        <v>36004</v>
      </c>
      <c r="D1233" s="185">
        <v>0.58333333333333337</v>
      </c>
      <c r="E1233" s="3">
        <v>70</v>
      </c>
      <c r="F1233" s="190">
        <v>10.3</v>
      </c>
      <c r="H1233" s="3">
        <v>4.4000000000000004</v>
      </c>
      <c r="L1233" s="66"/>
    </row>
    <row r="1234" spans="2:12" ht="15.75" customHeight="1" x14ac:dyDescent="0.2">
      <c r="C1234" s="15">
        <v>36004</v>
      </c>
      <c r="D1234" s="185">
        <v>0.58333333333333337</v>
      </c>
      <c r="E1234" s="3">
        <v>80</v>
      </c>
      <c r="F1234" s="190">
        <v>10.5</v>
      </c>
      <c r="H1234" s="3">
        <v>4.2</v>
      </c>
      <c r="L1234" s="66"/>
    </row>
    <row r="1235" spans="2:12" ht="15.75" customHeight="1" x14ac:dyDescent="0.2">
      <c r="C1235" s="15">
        <v>36004</v>
      </c>
      <c r="D1235" s="185">
        <v>0.58333333333333337</v>
      </c>
      <c r="E1235" s="3">
        <v>84</v>
      </c>
      <c r="F1235" s="190">
        <v>10.199999999999999</v>
      </c>
      <c r="H1235" s="3">
        <v>4.2</v>
      </c>
      <c r="L1235" s="66"/>
    </row>
    <row r="1236" spans="2:12" ht="15.75" customHeight="1" x14ac:dyDescent="0.2">
      <c r="C1236" s="3"/>
      <c r="E1236" s="3"/>
      <c r="H1236" s="3"/>
      <c r="L1236" s="66"/>
    </row>
    <row r="1237" spans="2:12" ht="15.75" customHeight="1" x14ac:dyDescent="0.2">
      <c r="B1237">
        <v>86</v>
      </c>
      <c r="C1237" s="15">
        <v>35955</v>
      </c>
      <c r="D1237" s="185">
        <v>0.39583333333333331</v>
      </c>
      <c r="E1237" s="3"/>
      <c r="H1237" s="3"/>
      <c r="J1237">
        <v>7</v>
      </c>
      <c r="L1237" s="66"/>
    </row>
    <row r="1238" spans="2:12" ht="15.75" customHeight="1" x14ac:dyDescent="0.2">
      <c r="C1238" s="15">
        <v>35955</v>
      </c>
      <c r="D1238" s="185">
        <v>0.39583333333333331</v>
      </c>
      <c r="E1238" s="3">
        <v>0.5</v>
      </c>
      <c r="F1238" s="190">
        <v>10.1</v>
      </c>
      <c r="H1238" s="3">
        <v>15.1</v>
      </c>
      <c r="L1238" s="66"/>
    </row>
    <row r="1239" spans="2:12" ht="15.75" customHeight="1" x14ac:dyDescent="0.2">
      <c r="C1239" s="15">
        <v>35955</v>
      </c>
      <c r="D1239" s="185">
        <v>0.39583333333333331</v>
      </c>
      <c r="E1239" s="3">
        <v>2</v>
      </c>
      <c r="F1239" s="190">
        <v>10.4</v>
      </c>
      <c r="H1239" s="3">
        <v>13.9</v>
      </c>
      <c r="L1239" s="66"/>
    </row>
    <row r="1240" spans="2:12" ht="15.75" customHeight="1" x14ac:dyDescent="0.2">
      <c r="C1240" s="15">
        <v>35955</v>
      </c>
      <c r="D1240" s="185">
        <v>0.39583333333333331</v>
      </c>
      <c r="E1240" s="3">
        <v>4</v>
      </c>
      <c r="F1240" s="190">
        <v>10.3</v>
      </c>
      <c r="H1240" s="3">
        <v>13.4</v>
      </c>
      <c r="L1240" s="66"/>
    </row>
    <row r="1241" spans="2:12" ht="15.75" customHeight="1" x14ac:dyDescent="0.2">
      <c r="C1241" s="15">
        <v>35955</v>
      </c>
      <c r="D1241" s="185">
        <v>0.39583333333333331</v>
      </c>
      <c r="E1241" s="3">
        <v>6</v>
      </c>
      <c r="F1241" s="190">
        <v>10.3</v>
      </c>
      <c r="H1241" s="3">
        <v>12.9</v>
      </c>
      <c r="L1241" s="66"/>
    </row>
    <row r="1242" spans="2:12" ht="15.75" customHeight="1" x14ac:dyDescent="0.2">
      <c r="C1242" s="15">
        <v>35955</v>
      </c>
      <c r="D1242" s="185">
        <v>0.39583333333333331</v>
      </c>
      <c r="E1242" s="3">
        <v>8</v>
      </c>
      <c r="F1242" s="190">
        <v>10.4</v>
      </c>
      <c r="H1242" s="3">
        <v>12.6</v>
      </c>
      <c r="L1242" s="66"/>
    </row>
    <row r="1243" spans="2:12" ht="15.75" customHeight="1" x14ac:dyDescent="0.2">
      <c r="C1243" s="15">
        <v>35955</v>
      </c>
      <c r="D1243" s="185">
        <v>0.39583333333333331</v>
      </c>
      <c r="E1243" s="3">
        <v>10</v>
      </c>
      <c r="F1243" s="190">
        <v>10.5</v>
      </c>
      <c r="H1243" s="3">
        <v>11.8</v>
      </c>
      <c r="L1243" s="66"/>
    </row>
    <row r="1244" spans="2:12" ht="15.75" customHeight="1" x14ac:dyDescent="0.2">
      <c r="C1244" s="15">
        <v>35955</v>
      </c>
      <c r="D1244" s="185">
        <v>0.39583333333333331</v>
      </c>
      <c r="E1244" s="3">
        <v>12</v>
      </c>
      <c r="F1244" s="190">
        <v>10.6</v>
      </c>
      <c r="H1244" s="3">
        <v>10.6</v>
      </c>
      <c r="L1244" s="66"/>
    </row>
    <row r="1245" spans="2:12" ht="15.75" customHeight="1" x14ac:dyDescent="0.2">
      <c r="C1245" s="15">
        <v>35955</v>
      </c>
      <c r="D1245" s="185">
        <v>0.39583333333333331</v>
      </c>
      <c r="E1245" s="3">
        <v>14</v>
      </c>
      <c r="F1245" s="190">
        <v>10.7</v>
      </c>
      <c r="H1245" s="3">
        <v>8.5</v>
      </c>
      <c r="L1245" s="66"/>
    </row>
    <row r="1246" spans="2:12" ht="15.75" customHeight="1" x14ac:dyDescent="0.2">
      <c r="C1246" s="15">
        <v>35955</v>
      </c>
      <c r="D1246" s="185">
        <v>0.39583333333333331</v>
      </c>
      <c r="E1246" s="3">
        <v>16</v>
      </c>
      <c r="F1246" s="190">
        <v>10.9</v>
      </c>
      <c r="H1246" s="3">
        <v>8.1</v>
      </c>
      <c r="L1246" s="66"/>
    </row>
    <row r="1247" spans="2:12" ht="15.75" customHeight="1" x14ac:dyDescent="0.2">
      <c r="C1247" s="15">
        <v>35955</v>
      </c>
      <c r="D1247" s="185">
        <v>0.39583333333333331</v>
      </c>
      <c r="E1247" s="3">
        <v>18</v>
      </c>
      <c r="F1247" s="190">
        <v>10.9</v>
      </c>
      <c r="H1247" s="3">
        <v>6.6</v>
      </c>
      <c r="L1247" s="66"/>
    </row>
    <row r="1248" spans="2:12" ht="15.75" customHeight="1" x14ac:dyDescent="0.2">
      <c r="C1248" s="15">
        <v>35955</v>
      </c>
      <c r="D1248" s="185">
        <v>0.39583333333333331</v>
      </c>
      <c r="E1248" s="3">
        <v>20</v>
      </c>
      <c r="F1248" s="190">
        <v>10.9</v>
      </c>
      <c r="H1248" s="3">
        <v>6.1</v>
      </c>
      <c r="L1248" s="66"/>
    </row>
    <row r="1249" spans="2:12" ht="15.75" customHeight="1" x14ac:dyDescent="0.2">
      <c r="C1249" s="15">
        <v>35955</v>
      </c>
      <c r="D1249" s="185">
        <v>0.39583333333333331</v>
      </c>
      <c r="E1249" s="3">
        <v>30</v>
      </c>
      <c r="F1249" s="190">
        <v>10.9</v>
      </c>
      <c r="H1249" s="3">
        <v>5.0999999999999996</v>
      </c>
      <c r="L1249" s="66"/>
    </row>
    <row r="1250" spans="2:12" ht="15.75" customHeight="1" x14ac:dyDescent="0.2">
      <c r="C1250" s="15">
        <v>35955</v>
      </c>
      <c r="D1250" s="185">
        <v>0.39583333333333331</v>
      </c>
      <c r="E1250" s="3">
        <v>40</v>
      </c>
      <c r="F1250" s="190">
        <v>10.9</v>
      </c>
      <c r="H1250" s="3">
        <v>4.5999999999999996</v>
      </c>
      <c r="L1250" s="66"/>
    </row>
    <row r="1251" spans="2:12" ht="15.75" customHeight="1" x14ac:dyDescent="0.2">
      <c r="C1251" s="15">
        <v>35955</v>
      </c>
      <c r="D1251" s="185">
        <v>0.39583333333333331</v>
      </c>
      <c r="E1251" s="3">
        <v>50</v>
      </c>
      <c r="F1251" s="190">
        <v>10.7</v>
      </c>
      <c r="H1251" s="3">
        <v>4.3</v>
      </c>
      <c r="L1251" s="66"/>
    </row>
    <row r="1252" spans="2:12" ht="15.75" customHeight="1" x14ac:dyDescent="0.2">
      <c r="C1252" s="15">
        <v>35955</v>
      </c>
      <c r="D1252" s="185">
        <v>0.39583333333333331</v>
      </c>
      <c r="E1252" s="3">
        <v>60</v>
      </c>
      <c r="F1252" s="190">
        <v>10.7</v>
      </c>
      <c r="H1252" s="3">
        <v>4.3</v>
      </c>
      <c r="L1252" s="66"/>
    </row>
    <row r="1253" spans="2:12" ht="15.75" customHeight="1" x14ac:dyDescent="0.2">
      <c r="C1253" s="15">
        <v>35955</v>
      </c>
      <c r="D1253" s="185">
        <v>0.39583333333333331</v>
      </c>
      <c r="E1253" s="3">
        <v>70</v>
      </c>
      <c r="F1253" s="190">
        <v>10.7</v>
      </c>
      <c r="H1253" s="3">
        <v>4.2</v>
      </c>
      <c r="L1253" s="66"/>
    </row>
    <row r="1254" spans="2:12" ht="15.75" customHeight="1" x14ac:dyDescent="0.2">
      <c r="C1254" s="15">
        <v>35955</v>
      </c>
      <c r="D1254" s="185">
        <v>0.39583333333333331</v>
      </c>
      <c r="E1254" s="3">
        <v>80</v>
      </c>
      <c r="F1254" s="190">
        <v>10.6</v>
      </c>
      <c r="H1254" s="3">
        <v>4.0999999999999996</v>
      </c>
      <c r="L1254" s="66"/>
    </row>
    <row r="1255" spans="2:12" ht="15.75" customHeight="1" x14ac:dyDescent="0.2">
      <c r="C1255" s="15">
        <v>35955</v>
      </c>
      <c r="D1255" s="185">
        <v>0.39583333333333331</v>
      </c>
      <c r="E1255" s="3">
        <v>85</v>
      </c>
      <c r="F1255" s="190">
        <v>10.3</v>
      </c>
      <c r="H1255" s="3">
        <v>4</v>
      </c>
      <c r="L1255" s="66"/>
    </row>
    <row r="1256" spans="2:12" ht="15.75" customHeight="1" x14ac:dyDescent="0.2">
      <c r="C1256" s="3"/>
      <c r="E1256" s="3"/>
      <c r="H1256" s="3"/>
      <c r="L1256" s="66"/>
    </row>
    <row r="1257" spans="2:12" ht="15.75" customHeight="1" x14ac:dyDescent="0.2">
      <c r="B1257">
        <v>80.5</v>
      </c>
      <c r="C1257" s="15">
        <v>35934</v>
      </c>
      <c r="D1257" s="185">
        <v>0.39930555555555558</v>
      </c>
      <c r="E1257" s="3"/>
      <c r="H1257" s="3"/>
      <c r="J1257">
        <v>7</v>
      </c>
      <c r="L1257" s="66"/>
    </row>
    <row r="1258" spans="2:12" ht="15.75" customHeight="1" x14ac:dyDescent="0.2">
      <c r="C1258" s="15">
        <v>35934</v>
      </c>
      <c r="D1258" s="185">
        <v>0.39930555555555558</v>
      </c>
      <c r="E1258" s="3">
        <v>0.5</v>
      </c>
      <c r="F1258" s="190">
        <v>10.8</v>
      </c>
      <c r="H1258" s="3">
        <v>10.6</v>
      </c>
      <c r="L1258" s="66"/>
    </row>
    <row r="1259" spans="2:12" ht="15.75" customHeight="1" x14ac:dyDescent="0.2">
      <c r="C1259" s="15">
        <v>35934</v>
      </c>
      <c r="D1259" s="185">
        <v>0.39930555555555558</v>
      </c>
      <c r="E1259" s="3">
        <v>10</v>
      </c>
      <c r="F1259" s="190">
        <v>11.2</v>
      </c>
      <c r="H1259" s="3">
        <v>8.4</v>
      </c>
      <c r="L1259" s="66"/>
    </row>
    <row r="1260" spans="2:12" ht="15.75" customHeight="1" x14ac:dyDescent="0.2">
      <c r="C1260" s="15">
        <v>35934</v>
      </c>
      <c r="D1260" s="185">
        <v>0.39930555555555558</v>
      </c>
      <c r="E1260" s="3">
        <v>20</v>
      </c>
      <c r="F1260" s="190">
        <v>11.5</v>
      </c>
      <c r="H1260" s="3">
        <v>5.5</v>
      </c>
      <c r="L1260" s="66"/>
    </row>
    <row r="1261" spans="2:12" ht="15.75" customHeight="1" x14ac:dyDescent="0.2">
      <c r="C1261" s="15">
        <v>35934</v>
      </c>
      <c r="D1261" s="185">
        <v>0.39930555555555558</v>
      </c>
      <c r="E1261" s="3">
        <v>30</v>
      </c>
      <c r="F1261" s="190">
        <v>11.2</v>
      </c>
      <c r="H1261" s="3">
        <v>5</v>
      </c>
      <c r="L1261" s="66"/>
    </row>
    <row r="1262" spans="2:12" ht="15.75" customHeight="1" x14ac:dyDescent="0.2">
      <c r="C1262" s="15">
        <v>35934</v>
      </c>
      <c r="D1262" s="185">
        <v>0.39930555555555558</v>
      </c>
      <c r="E1262" s="3">
        <v>40</v>
      </c>
      <c r="F1262" s="190">
        <v>11.1</v>
      </c>
      <c r="H1262" s="3">
        <v>4.5999999999999996</v>
      </c>
      <c r="L1262" s="66"/>
    </row>
    <row r="1263" spans="2:12" ht="15.75" customHeight="1" x14ac:dyDescent="0.2">
      <c r="C1263" s="15">
        <v>35934</v>
      </c>
      <c r="D1263" s="185">
        <v>0.39930555555555558</v>
      </c>
      <c r="E1263" s="3">
        <v>50</v>
      </c>
      <c r="F1263" s="190">
        <v>11</v>
      </c>
      <c r="H1263" s="3">
        <v>4.3</v>
      </c>
      <c r="L1263" s="66"/>
    </row>
    <row r="1264" spans="2:12" ht="15.75" customHeight="1" x14ac:dyDescent="0.2">
      <c r="C1264" s="15">
        <v>35934</v>
      </c>
      <c r="D1264" s="185">
        <v>0.39930555555555558</v>
      </c>
      <c r="E1264" s="3">
        <v>60</v>
      </c>
      <c r="F1264" s="190">
        <v>10.8</v>
      </c>
      <c r="H1264" s="3">
        <v>4.0999999999999996</v>
      </c>
      <c r="L1264" s="66"/>
    </row>
    <row r="1265" spans="2:12" ht="15.75" customHeight="1" x14ac:dyDescent="0.2">
      <c r="C1265" s="15">
        <v>35934</v>
      </c>
      <c r="D1265" s="185">
        <v>0.39930555555555558</v>
      </c>
      <c r="E1265" s="3">
        <v>70</v>
      </c>
      <c r="F1265" s="190">
        <v>10.8</v>
      </c>
      <c r="H1265" s="3">
        <v>4</v>
      </c>
      <c r="L1265" s="66"/>
    </row>
    <row r="1266" spans="2:12" ht="15.75" customHeight="1" x14ac:dyDescent="0.2">
      <c r="C1266" s="15">
        <v>35934</v>
      </c>
      <c r="D1266" s="185">
        <v>0.39930555555555558</v>
      </c>
      <c r="E1266" s="3">
        <v>80</v>
      </c>
      <c r="F1266" s="190">
        <v>10.7</v>
      </c>
      <c r="H1266" s="3">
        <v>3.4</v>
      </c>
      <c r="L1266" s="66"/>
    </row>
    <row r="1267" spans="2:12" ht="15.75" customHeight="1" x14ac:dyDescent="0.2">
      <c r="C1267" s="3"/>
      <c r="E1267" s="3"/>
      <c r="H1267" s="3"/>
      <c r="L1267" s="66"/>
    </row>
    <row r="1268" spans="2:12" ht="15.75" customHeight="1" x14ac:dyDescent="0.2">
      <c r="B1268">
        <v>77.900000000000006</v>
      </c>
      <c r="C1268" s="15">
        <v>35913</v>
      </c>
      <c r="D1268" s="185">
        <v>0.3840277777777778</v>
      </c>
      <c r="E1268" s="3"/>
      <c r="H1268" s="3"/>
      <c r="J1268">
        <v>9.25</v>
      </c>
      <c r="L1268" s="66"/>
    </row>
    <row r="1269" spans="2:12" ht="15.75" customHeight="1" x14ac:dyDescent="0.2">
      <c r="C1269" s="15">
        <v>35913</v>
      </c>
      <c r="D1269" s="185">
        <v>0.3840277777777778</v>
      </c>
      <c r="E1269" s="3">
        <v>0.5</v>
      </c>
      <c r="F1269" s="190">
        <v>11.9</v>
      </c>
      <c r="H1269" s="3">
        <v>8.1</v>
      </c>
      <c r="L1269" s="66"/>
    </row>
    <row r="1270" spans="2:12" ht="15.75" customHeight="1" x14ac:dyDescent="0.2">
      <c r="C1270" s="15">
        <v>35913</v>
      </c>
      <c r="D1270" s="185">
        <v>0.3840277777777778</v>
      </c>
      <c r="E1270" s="3">
        <v>10</v>
      </c>
      <c r="F1270" s="190">
        <v>11.7</v>
      </c>
      <c r="H1270" s="3">
        <v>5.6</v>
      </c>
      <c r="L1270" s="66"/>
    </row>
    <row r="1271" spans="2:12" ht="15.75" customHeight="1" x14ac:dyDescent="0.2">
      <c r="C1271" s="15">
        <v>35913</v>
      </c>
      <c r="D1271" s="185">
        <v>0.3840277777777778</v>
      </c>
      <c r="E1271" s="3">
        <v>20</v>
      </c>
      <c r="F1271" s="190">
        <v>11.5</v>
      </c>
      <c r="H1271" s="3">
        <v>4.8</v>
      </c>
      <c r="L1271" s="66"/>
    </row>
    <row r="1272" spans="2:12" ht="15.75" customHeight="1" x14ac:dyDescent="0.2">
      <c r="C1272" s="15">
        <v>35913</v>
      </c>
      <c r="D1272" s="185">
        <v>0.3840277777777778</v>
      </c>
      <c r="E1272" s="3">
        <v>30</v>
      </c>
      <c r="F1272" s="190">
        <v>11.3</v>
      </c>
      <c r="H1272" s="3">
        <v>4.5</v>
      </c>
      <c r="L1272" s="66"/>
    </row>
    <row r="1273" spans="2:12" ht="15.75" customHeight="1" x14ac:dyDescent="0.2">
      <c r="C1273" s="15">
        <v>35913</v>
      </c>
      <c r="D1273" s="185">
        <v>0.3840277777777778</v>
      </c>
      <c r="E1273" s="3">
        <v>40</v>
      </c>
      <c r="F1273" s="190">
        <v>11.2</v>
      </c>
      <c r="H1273" s="3">
        <v>4.3</v>
      </c>
      <c r="L1273" s="66"/>
    </row>
    <row r="1274" spans="2:12" ht="15.75" customHeight="1" x14ac:dyDescent="0.2">
      <c r="C1274" s="15">
        <v>35913</v>
      </c>
      <c r="D1274" s="185">
        <v>0.3840277777777778</v>
      </c>
      <c r="E1274" s="3">
        <v>50</v>
      </c>
      <c r="F1274" s="190">
        <v>11.1</v>
      </c>
      <c r="H1274" s="3">
        <v>4.0999999999999996</v>
      </c>
      <c r="L1274" s="66"/>
    </row>
    <row r="1275" spans="2:12" ht="15.75" customHeight="1" x14ac:dyDescent="0.2">
      <c r="C1275" s="15">
        <v>35913</v>
      </c>
      <c r="D1275" s="185">
        <v>0.3840277777777778</v>
      </c>
      <c r="E1275" s="3">
        <v>60</v>
      </c>
      <c r="F1275" s="190">
        <v>11</v>
      </c>
      <c r="H1275" s="3">
        <v>4</v>
      </c>
      <c r="L1275" s="66"/>
    </row>
    <row r="1276" spans="2:12" ht="15.75" customHeight="1" x14ac:dyDescent="0.2">
      <c r="C1276" s="15">
        <v>35913</v>
      </c>
      <c r="D1276" s="185">
        <v>0.3840277777777778</v>
      </c>
      <c r="E1276" s="3">
        <v>70</v>
      </c>
      <c r="F1276" s="190">
        <v>10.9</v>
      </c>
      <c r="H1276" s="3">
        <v>4</v>
      </c>
      <c r="L1276" s="66"/>
    </row>
    <row r="1277" spans="2:12" ht="15.75" customHeight="1" x14ac:dyDescent="0.2">
      <c r="C1277" s="15">
        <v>35913</v>
      </c>
      <c r="D1277" s="185">
        <v>0.3840277777777778</v>
      </c>
      <c r="E1277" s="3">
        <v>80</v>
      </c>
      <c r="F1277" s="190">
        <v>10.9</v>
      </c>
      <c r="H1277" s="3">
        <v>3.9</v>
      </c>
      <c r="L1277" s="66"/>
    </row>
    <row r="1278" spans="2:12" ht="15.75" customHeight="1" x14ac:dyDescent="0.2">
      <c r="C1278" s="3"/>
      <c r="E1278" s="3"/>
      <c r="H1278" s="3"/>
      <c r="L1278" s="66"/>
    </row>
    <row r="1279" spans="2:12" ht="15.75" customHeight="1" x14ac:dyDescent="0.2">
      <c r="C1279" s="3"/>
      <c r="E1279" s="3"/>
      <c r="H1279" s="3"/>
      <c r="L1279" s="66"/>
    </row>
    <row r="1280" spans="2:12" ht="15.75" customHeight="1" x14ac:dyDescent="0.2">
      <c r="B1280" s="252" t="s">
        <v>616</v>
      </c>
      <c r="C1280" s="15">
        <v>35683</v>
      </c>
      <c r="D1280" s="185">
        <v>0.41666666666666669</v>
      </c>
      <c r="E1280" s="3"/>
      <c r="H1280" s="3"/>
      <c r="J1280">
        <v>9.6</v>
      </c>
      <c r="L1280" s="66"/>
    </row>
    <row r="1281" spans="3:12" ht="15.75" customHeight="1" x14ac:dyDescent="0.2">
      <c r="C1281" s="15">
        <v>35683</v>
      </c>
      <c r="D1281" s="185">
        <v>0.41666666666666669</v>
      </c>
      <c r="E1281" s="3">
        <v>0.5</v>
      </c>
      <c r="F1281" s="190">
        <v>7.7</v>
      </c>
      <c r="H1281" s="3">
        <v>19.3</v>
      </c>
      <c r="I1281" s="3">
        <v>19.3</v>
      </c>
      <c r="L1281" s="66"/>
    </row>
    <row r="1282" spans="3:12" ht="15.75" customHeight="1" x14ac:dyDescent="0.2">
      <c r="C1282" s="15">
        <v>35683</v>
      </c>
      <c r="D1282" s="185">
        <v>0.41666666666666669</v>
      </c>
      <c r="E1282" s="3">
        <v>2</v>
      </c>
      <c r="F1282" s="190">
        <v>7.7</v>
      </c>
      <c r="H1282" s="3">
        <v>19.3</v>
      </c>
      <c r="I1282" s="3">
        <v>19.3</v>
      </c>
      <c r="L1282" s="66"/>
    </row>
    <row r="1283" spans="3:12" ht="15.75" customHeight="1" x14ac:dyDescent="0.2">
      <c r="C1283" s="15">
        <v>35683</v>
      </c>
      <c r="D1283" s="185">
        <v>0.41666666666666669</v>
      </c>
      <c r="E1283" s="3">
        <v>4</v>
      </c>
      <c r="F1283" s="190">
        <v>7.7</v>
      </c>
      <c r="H1283" s="3">
        <v>19.2</v>
      </c>
      <c r="I1283" s="3">
        <v>19.2</v>
      </c>
      <c r="L1283" s="66"/>
    </row>
    <row r="1284" spans="3:12" ht="15.75" customHeight="1" x14ac:dyDescent="0.2">
      <c r="C1284" s="15">
        <v>35683</v>
      </c>
      <c r="D1284" s="185">
        <v>0.41666666666666669</v>
      </c>
      <c r="E1284" s="3">
        <v>6</v>
      </c>
      <c r="F1284" s="190">
        <v>7.7</v>
      </c>
      <c r="H1284" s="3">
        <v>19.100000000000001</v>
      </c>
      <c r="I1284" s="3">
        <v>19.100000000000001</v>
      </c>
      <c r="L1284" s="66"/>
    </row>
    <row r="1285" spans="3:12" ht="15.75" customHeight="1" x14ac:dyDescent="0.2">
      <c r="C1285" s="15">
        <v>35683</v>
      </c>
      <c r="D1285" s="185">
        <v>0.41666666666666669</v>
      </c>
      <c r="E1285" s="3">
        <v>8</v>
      </c>
      <c r="F1285" s="190">
        <v>7.7</v>
      </c>
      <c r="H1285" s="3">
        <v>19</v>
      </c>
      <c r="I1285" s="3">
        <v>19</v>
      </c>
      <c r="L1285" s="66"/>
    </row>
    <row r="1286" spans="3:12" ht="15.75" customHeight="1" x14ac:dyDescent="0.2">
      <c r="C1286" s="15">
        <v>35683</v>
      </c>
      <c r="D1286" s="185">
        <v>0.41666666666666669</v>
      </c>
      <c r="E1286" s="3">
        <v>10</v>
      </c>
      <c r="F1286" s="190">
        <v>8</v>
      </c>
      <c r="H1286" s="3">
        <v>17.3</v>
      </c>
      <c r="L1286" s="66"/>
    </row>
    <row r="1287" spans="3:12" ht="15.75" customHeight="1" x14ac:dyDescent="0.2">
      <c r="C1287" s="15">
        <v>35683</v>
      </c>
      <c r="D1287" s="185">
        <v>0.41666666666666669</v>
      </c>
      <c r="E1287" s="3">
        <v>11</v>
      </c>
      <c r="F1287" s="190">
        <v>8.6999999999999993</v>
      </c>
      <c r="H1287" s="3">
        <v>14</v>
      </c>
      <c r="L1287" s="66"/>
    </row>
    <row r="1288" spans="3:12" ht="15.75" customHeight="1" x14ac:dyDescent="0.2">
      <c r="C1288" s="15">
        <v>35683</v>
      </c>
      <c r="D1288" s="185">
        <v>0.41666666666666669</v>
      </c>
      <c r="E1288" s="3">
        <v>12</v>
      </c>
      <c r="F1288" s="190">
        <v>8.9</v>
      </c>
      <c r="H1288" s="3">
        <v>10.7</v>
      </c>
      <c r="L1288" s="66"/>
    </row>
    <row r="1289" spans="3:12" ht="15.75" customHeight="1" x14ac:dyDescent="0.2">
      <c r="C1289" s="15">
        <v>35683</v>
      </c>
      <c r="D1289" s="185">
        <v>0.41666666666666669</v>
      </c>
      <c r="E1289" s="3">
        <v>13</v>
      </c>
      <c r="F1289" s="190">
        <v>9</v>
      </c>
      <c r="H1289" s="3">
        <v>9.4</v>
      </c>
      <c r="L1289" s="66"/>
    </row>
    <row r="1290" spans="3:12" ht="15.75" customHeight="1" x14ac:dyDescent="0.2">
      <c r="C1290" s="15">
        <v>35683</v>
      </c>
      <c r="D1290" s="185">
        <v>0.41666666666666669</v>
      </c>
      <c r="E1290" s="3">
        <v>14</v>
      </c>
      <c r="F1290" s="190">
        <v>9.3000000000000007</v>
      </c>
      <c r="H1290" s="3">
        <v>8.1</v>
      </c>
      <c r="L1290" s="66"/>
    </row>
    <row r="1291" spans="3:12" ht="15.75" customHeight="1" x14ac:dyDescent="0.2">
      <c r="C1291" s="15">
        <v>35683</v>
      </c>
      <c r="D1291" s="185">
        <v>0.41666666666666669</v>
      </c>
      <c r="E1291" s="3">
        <v>15</v>
      </c>
      <c r="F1291" s="190">
        <v>9.1999999999999993</v>
      </c>
      <c r="H1291" s="3">
        <v>7.3</v>
      </c>
      <c r="L1291" s="66"/>
    </row>
    <row r="1292" spans="3:12" ht="15.75" customHeight="1" x14ac:dyDescent="0.2">
      <c r="C1292" s="15">
        <v>35683</v>
      </c>
      <c r="D1292" s="185">
        <v>0.41666666666666669</v>
      </c>
      <c r="E1292" s="3">
        <v>16</v>
      </c>
      <c r="F1292" s="190">
        <v>9.1</v>
      </c>
      <c r="H1292" s="3">
        <v>6.9</v>
      </c>
      <c r="L1292" s="66"/>
    </row>
    <row r="1293" spans="3:12" ht="15.75" customHeight="1" x14ac:dyDescent="0.2">
      <c r="C1293" s="15">
        <v>35683</v>
      </c>
      <c r="D1293" s="185">
        <v>0.41666666666666669</v>
      </c>
      <c r="E1293" s="3">
        <v>17</v>
      </c>
      <c r="F1293" s="190">
        <v>9</v>
      </c>
      <c r="H1293" s="3">
        <v>6.6</v>
      </c>
      <c r="L1293" s="66"/>
    </row>
    <row r="1294" spans="3:12" ht="15.75" customHeight="1" x14ac:dyDescent="0.2">
      <c r="C1294" s="15">
        <v>35683</v>
      </c>
      <c r="D1294" s="185">
        <v>0.41666666666666669</v>
      </c>
      <c r="E1294" s="3">
        <v>18</v>
      </c>
      <c r="F1294" s="190">
        <v>8.9</v>
      </c>
      <c r="H1294" s="3">
        <v>6.5</v>
      </c>
      <c r="L1294" s="66"/>
    </row>
    <row r="1295" spans="3:12" ht="15.75" customHeight="1" x14ac:dyDescent="0.2">
      <c r="C1295" s="15">
        <v>35683</v>
      </c>
      <c r="D1295" s="185">
        <v>0.41666666666666669</v>
      </c>
      <c r="E1295" s="3">
        <v>19</v>
      </c>
      <c r="F1295" s="190">
        <v>8.9</v>
      </c>
      <c r="H1295" s="3">
        <v>6.2</v>
      </c>
      <c r="L1295" s="66"/>
    </row>
    <row r="1296" spans="3:12" ht="15.75" customHeight="1" x14ac:dyDescent="0.2">
      <c r="C1296" s="15">
        <v>35683</v>
      </c>
      <c r="D1296" s="185">
        <v>0.41666666666666669</v>
      </c>
      <c r="E1296" s="3">
        <v>20</v>
      </c>
      <c r="F1296" s="190">
        <v>8.9</v>
      </c>
      <c r="H1296" s="3">
        <v>6</v>
      </c>
      <c r="L1296" s="66"/>
    </row>
    <row r="1297" spans="2:12" ht="15.75" customHeight="1" x14ac:dyDescent="0.2">
      <c r="C1297" s="15">
        <v>35683</v>
      </c>
      <c r="D1297" s="185">
        <v>0.41666666666666669</v>
      </c>
      <c r="E1297" s="3">
        <v>30</v>
      </c>
      <c r="F1297" s="190">
        <v>9</v>
      </c>
      <c r="H1297" s="3">
        <v>5.3</v>
      </c>
      <c r="L1297" s="66"/>
    </row>
    <row r="1298" spans="2:12" ht="15.75" customHeight="1" x14ac:dyDescent="0.2">
      <c r="C1298" s="15">
        <v>35683</v>
      </c>
      <c r="D1298" s="185">
        <v>0.41666666666666669</v>
      </c>
      <c r="E1298" s="3">
        <v>40</v>
      </c>
      <c r="F1298" s="190">
        <v>9</v>
      </c>
      <c r="H1298" s="3">
        <v>5</v>
      </c>
      <c r="L1298" s="66"/>
    </row>
    <row r="1299" spans="2:12" ht="15.75" customHeight="1" x14ac:dyDescent="0.2">
      <c r="C1299" s="15">
        <v>35683</v>
      </c>
      <c r="D1299" s="185">
        <v>0.41666666666666669</v>
      </c>
      <c r="E1299" s="3">
        <v>50</v>
      </c>
      <c r="F1299" s="190">
        <v>9.1</v>
      </c>
      <c r="H1299" s="3">
        <v>4.8</v>
      </c>
      <c r="L1299" s="66"/>
    </row>
    <row r="1300" spans="2:12" ht="15.75" customHeight="1" x14ac:dyDescent="0.2">
      <c r="C1300" s="15">
        <v>35683</v>
      </c>
      <c r="D1300" s="185">
        <v>0.41666666666666669</v>
      </c>
      <c r="E1300" s="3">
        <v>60</v>
      </c>
      <c r="F1300" s="190">
        <v>9.1999999999999993</v>
      </c>
      <c r="H1300" s="3">
        <v>4.5</v>
      </c>
      <c r="L1300" s="66"/>
    </row>
    <row r="1301" spans="2:12" ht="15.75" customHeight="1" x14ac:dyDescent="0.2">
      <c r="C1301" s="15">
        <v>35683</v>
      </c>
      <c r="D1301" s="185">
        <v>0.41666666666666669</v>
      </c>
      <c r="E1301" s="3">
        <v>70</v>
      </c>
      <c r="F1301" s="190">
        <v>9.1999999999999993</v>
      </c>
      <c r="H1301" s="3">
        <v>4.3</v>
      </c>
      <c r="L1301" s="66"/>
    </row>
    <row r="1302" spans="2:12" ht="15.75" customHeight="1" x14ac:dyDescent="0.2">
      <c r="C1302" s="15">
        <v>35683</v>
      </c>
      <c r="D1302" s="185">
        <v>0.41666666666666669</v>
      </c>
      <c r="E1302" s="3">
        <v>80</v>
      </c>
      <c r="F1302" s="190">
        <v>9</v>
      </c>
      <c r="H1302" s="3">
        <v>4.2</v>
      </c>
      <c r="L1302" s="66"/>
    </row>
    <row r="1303" spans="2:12" ht="15.75" customHeight="1" x14ac:dyDescent="0.2">
      <c r="C1303" s="3"/>
      <c r="E1303" s="3"/>
      <c r="H1303" s="3"/>
      <c r="L1303" s="66"/>
    </row>
    <row r="1304" spans="2:12" ht="15.75" customHeight="1" x14ac:dyDescent="0.2">
      <c r="B1304">
        <v>77.7</v>
      </c>
      <c r="C1304" s="15">
        <v>35627</v>
      </c>
      <c r="D1304" s="185">
        <v>0.41666666666666669</v>
      </c>
      <c r="E1304" s="3"/>
      <c r="H1304" s="3"/>
      <c r="J1304" s="252" t="s">
        <v>257</v>
      </c>
      <c r="L1304" s="66"/>
    </row>
    <row r="1305" spans="2:12" ht="15.75" customHeight="1" x14ac:dyDescent="0.2">
      <c r="C1305" s="15">
        <v>35627</v>
      </c>
      <c r="D1305" s="185">
        <v>0.41666666666666669</v>
      </c>
      <c r="E1305" s="3">
        <v>0.5</v>
      </c>
      <c r="F1305" s="190">
        <v>9</v>
      </c>
      <c r="H1305" s="3">
        <v>18.2</v>
      </c>
      <c r="I1305" s="3">
        <v>18.2</v>
      </c>
      <c r="L1305" s="66"/>
    </row>
    <row r="1306" spans="2:12" ht="15.75" customHeight="1" x14ac:dyDescent="0.2">
      <c r="C1306" s="15">
        <v>35627</v>
      </c>
      <c r="D1306" s="185">
        <v>0.41666666666666669</v>
      </c>
      <c r="E1306" s="3">
        <v>2</v>
      </c>
      <c r="F1306" s="190">
        <v>9.1</v>
      </c>
      <c r="H1306" s="3">
        <v>17.8</v>
      </c>
      <c r="I1306" s="3">
        <v>17.8</v>
      </c>
      <c r="L1306" s="66"/>
    </row>
    <row r="1307" spans="2:12" ht="15.75" customHeight="1" x14ac:dyDescent="0.2">
      <c r="C1307" s="15">
        <v>35627</v>
      </c>
      <c r="D1307" s="185">
        <v>0.41666666666666669</v>
      </c>
      <c r="E1307" s="3">
        <v>4</v>
      </c>
      <c r="F1307" s="190">
        <v>9.1</v>
      </c>
      <c r="H1307" s="3">
        <v>17.399999999999999</v>
      </c>
      <c r="I1307" s="3">
        <v>17.399999999999999</v>
      </c>
      <c r="L1307" s="66"/>
    </row>
    <row r="1308" spans="2:12" ht="15.75" customHeight="1" x14ac:dyDescent="0.2">
      <c r="C1308" s="15">
        <v>35627</v>
      </c>
      <c r="D1308" s="185">
        <v>0.41666666666666669</v>
      </c>
      <c r="E1308" s="3">
        <v>6</v>
      </c>
      <c r="F1308" s="190">
        <v>9.1999999999999993</v>
      </c>
      <c r="H1308" s="3">
        <v>16.5</v>
      </c>
      <c r="I1308" s="3">
        <v>16.5</v>
      </c>
      <c r="L1308" s="66"/>
    </row>
    <row r="1309" spans="2:12" ht="15.75" customHeight="1" x14ac:dyDescent="0.2">
      <c r="C1309" s="15">
        <v>35627</v>
      </c>
      <c r="D1309" s="185">
        <v>0.41666666666666669</v>
      </c>
      <c r="E1309" s="3">
        <v>7</v>
      </c>
      <c r="F1309" s="190">
        <v>9.9</v>
      </c>
      <c r="H1309" s="3">
        <v>14.4</v>
      </c>
      <c r="L1309" s="66"/>
    </row>
    <row r="1310" spans="2:12" ht="15.75" customHeight="1" x14ac:dyDescent="0.2">
      <c r="C1310" s="15">
        <v>35627</v>
      </c>
      <c r="D1310" s="185">
        <v>0.41666666666666669</v>
      </c>
      <c r="E1310" s="3">
        <v>8</v>
      </c>
      <c r="F1310" s="190">
        <v>10.1</v>
      </c>
      <c r="H1310" s="3">
        <v>13.6</v>
      </c>
      <c r="L1310" s="66"/>
    </row>
    <row r="1311" spans="2:12" ht="15.75" customHeight="1" x14ac:dyDescent="0.2">
      <c r="C1311" s="15">
        <v>35627</v>
      </c>
      <c r="D1311" s="185">
        <v>0.41666666666666669</v>
      </c>
      <c r="E1311" s="3">
        <v>9</v>
      </c>
      <c r="F1311" s="190">
        <v>10.4</v>
      </c>
      <c r="H1311" s="3">
        <v>12.8</v>
      </c>
      <c r="L1311" s="66"/>
    </row>
    <row r="1312" spans="2:12" ht="15.75" customHeight="1" x14ac:dyDescent="0.2">
      <c r="C1312" s="15">
        <v>35627</v>
      </c>
      <c r="D1312" s="185">
        <v>0.41666666666666669</v>
      </c>
      <c r="E1312" s="3">
        <v>10</v>
      </c>
      <c r="F1312" s="190">
        <v>10.8</v>
      </c>
      <c r="H1312" s="3">
        <v>10.3</v>
      </c>
      <c r="L1312" s="66"/>
    </row>
    <row r="1313" spans="2:12" ht="15.75" customHeight="1" x14ac:dyDescent="0.2">
      <c r="C1313" s="15">
        <v>35627</v>
      </c>
      <c r="D1313" s="185">
        <v>0.41666666666666669</v>
      </c>
      <c r="E1313" s="3">
        <v>11</v>
      </c>
      <c r="F1313" s="190">
        <v>11.1</v>
      </c>
      <c r="H1313" s="3">
        <v>8.9</v>
      </c>
      <c r="L1313" s="66"/>
    </row>
    <row r="1314" spans="2:12" ht="15.75" customHeight="1" x14ac:dyDescent="0.2">
      <c r="C1314" s="15">
        <v>35627</v>
      </c>
      <c r="D1314" s="185">
        <v>0.41666666666666669</v>
      </c>
      <c r="E1314" s="3">
        <v>12</v>
      </c>
      <c r="F1314" s="190">
        <v>11.2</v>
      </c>
      <c r="H1314" s="3">
        <v>8.3000000000000007</v>
      </c>
      <c r="L1314" s="66"/>
    </row>
    <row r="1315" spans="2:12" ht="15.75" customHeight="1" x14ac:dyDescent="0.2">
      <c r="C1315" s="15">
        <v>35627</v>
      </c>
      <c r="D1315" s="185">
        <v>0.41666666666666669</v>
      </c>
      <c r="E1315" s="3">
        <v>14</v>
      </c>
      <c r="F1315" s="190">
        <v>11.3</v>
      </c>
      <c r="H1315" s="3">
        <v>7.6</v>
      </c>
      <c r="L1315" s="66"/>
    </row>
    <row r="1316" spans="2:12" ht="15.75" customHeight="1" x14ac:dyDescent="0.2">
      <c r="C1316" s="15">
        <v>35627</v>
      </c>
      <c r="D1316" s="185">
        <v>0.41666666666666669</v>
      </c>
      <c r="E1316" s="3">
        <v>16</v>
      </c>
      <c r="F1316" s="190">
        <v>11.3</v>
      </c>
      <c r="H1316" s="3">
        <v>6.8</v>
      </c>
      <c r="L1316" s="66"/>
    </row>
    <row r="1317" spans="2:12" ht="15.75" customHeight="1" x14ac:dyDescent="0.2">
      <c r="C1317" s="15">
        <v>35627</v>
      </c>
      <c r="D1317" s="185">
        <v>0.41666666666666669</v>
      </c>
      <c r="E1317" s="3">
        <v>18</v>
      </c>
      <c r="F1317" s="190">
        <v>11.4</v>
      </c>
      <c r="H1317" s="3">
        <v>6</v>
      </c>
      <c r="L1317" s="66"/>
    </row>
    <row r="1318" spans="2:12" ht="15.75" customHeight="1" x14ac:dyDescent="0.2">
      <c r="C1318" s="15">
        <v>35627</v>
      </c>
      <c r="D1318" s="185">
        <v>0.41666666666666669</v>
      </c>
      <c r="E1318" s="3">
        <v>20</v>
      </c>
      <c r="F1318" s="190">
        <v>11.4</v>
      </c>
      <c r="H1318" s="3">
        <v>5.5</v>
      </c>
      <c r="L1318" s="66"/>
    </row>
    <row r="1319" spans="2:12" ht="15.75" customHeight="1" x14ac:dyDescent="0.2">
      <c r="C1319" s="15">
        <v>35627</v>
      </c>
      <c r="D1319" s="185">
        <v>0.41666666666666669</v>
      </c>
      <c r="E1319" s="3">
        <v>30</v>
      </c>
      <c r="F1319" s="190">
        <v>11.4</v>
      </c>
      <c r="H1319" s="3">
        <v>4.8</v>
      </c>
      <c r="L1319" s="66"/>
    </row>
    <row r="1320" spans="2:12" ht="15.75" customHeight="1" x14ac:dyDescent="0.2">
      <c r="C1320" s="15">
        <v>35627</v>
      </c>
      <c r="D1320" s="185">
        <v>0.41666666666666669</v>
      </c>
      <c r="E1320" s="3">
        <v>40</v>
      </c>
      <c r="F1320" s="190">
        <v>11.4</v>
      </c>
      <c r="H1320" s="3">
        <v>4.5999999999999996</v>
      </c>
      <c r="L1320" s="66"/>
    </row>
    <row r="1321" spans="2:12" ht="15.75" customHeight="1" x14ac:dyDescent="0.2">
      <c r="C1321" s="15">
        <v>35627</v>
      </c>
      <c r="D1321" s="185">
        <v>0.41666666666666669</v>
      </c>
      <c r="E1321" s="3">
        <v>50</v>
      </c>
      <c r="F1321" s="190">
        <v>11.2</v>
      </c>
      <c r="H1321" s="3">
        <v>4.5</v>
      </c>
      <c r="L1321" s="66"/>
    </row>
    <row r="1322" spans="2:12" ht="15.75" customHeight="1" x14ac:dyDescent="0.2">
      <c r="C1322" s="15">
        <v>35627</v>
      </c>
      <c r="D1322" s="185">
        <v>0.41666666666666669</v>
      </c>
      <c r="E1322" s="3">
        <v>60</v>
      </c>
      <c r="F1322" s="190">
        <v>11.2</v>
      </c>
      <c r="H1322" s="3">
        <v>4.3</v>
      </c>
      <c r="L1322" s="66"/>
    </row>
    <row r="1323" spans="2:12" ht="15.75" customHeight="1" x14ac:dyDescent="0.2">
      <c r="C1323" s="15">
        <v>35627</v>
      </c>
      <c r="D1323" s="185">
        <v>0.41666666666666669</v>
      </c>
      <c r="E1323" s="3">
        <v>70</v>
      </c>
      <c r="F1323" s="190">
        <v>11.2</v>
      </c>
      <c r="H1323" s="3">
        <v>4.2</v>
      </c>
      <c r="L1323" s="66"/>
    </row>
    <row r="1324" spans="2:12" ht="15.75" customHeight="1" x14ac:dyDescent="0.2">
      <c r="C1324" s="15">
        <v>35627</v>
      </c>
      <c r="D1324" s="185">
        <v>0.41666666666666669</v>
      </c>
      <c r="E1324" s="3">
        <v>80</v>
      </c>
      <c r="F1324" s="190">
        <v>11.2</v>
      </c>
      <c r="H1324" s="3">
        <v>4</v>
      </c>
      <c r="L1324" s="66"/>
    </row>
    <row r="1325" spans="2:12" ht="15.75" customHeight="1" x14ac:dyDescent="0.2">
      <c r="C1325" s="15"/>
      <c r="D1325" s="185"/>
      <c r="E1325" s="3"/>
      <c r="H1325" s="3"/>
      <c r="L1325" s="66"/>
    </row>
    <row r="1326" spans="2:12" ht="15.75" customHeight="1" x14ac:dyDescent="0.2">
      <c r="B1326">
        <v>75.900000000000006</v>
      </c>
      <c r="C1326" s="15">
        <v>35584</v>
      </c>
      <c r="D1326" s="185">
        <v>0.42708333333333331</v>
      </c>
      <c r="E1326" s="3"/>
      <c r="H1326" s="3"/>
      <c r="J1326">
        <v>5.6</v>
      </c>
      <c r="L1326" s="66"/>
    </row>
    <row r="1327" spans="2:12" ht="15.75" customHeight="1" x14ac:dyDescent="0.2">
      <c r="C1327" s="15">
        <v>35584</v>
      </c>
      <c r="E1327" s="3">
        <v>0.5</v>
      </c>
      <c r="F1327" s="190">
        <v>10.4</v>
      </c>
      <c r="H1327" s="3">
        <v>12.6</v>
      </c>
      <c r="L1327" s="66"/>
    </row>
    <row r="1328" spans="2:12" ht="15.75" customHeight="1" x14ac:dyDescent="0.2">
      <c r="C1328" s="15">
        <v>35584</v>
      </c>
      <c r="E1328" s="3">
        <v>10</v>
      </c>
      <c r="F1328" s="190">
        <v>11.6</v>
      </c>
      <c r="H1328" s="3">
        <v>8</v>
      </c>
      <c r="L1328" s="66"/>
    </row>
    <row r="1329" spans="2:12" ht="15.75" customHeight="1" x14ac:dyDescent="0.2">
      <c r="C1329" s="15">
        <v>35584</v>
      </c>
      <c r="D1329" s="185"/>
      <c r="E1329" s="3">
        <v>20</v>
      </c>
      <c r="F1329" s="190">
        <v>11.8</v>
      </c>
      <c r="H1329" s="3">
        <v>5.2</v>
      </c>
      <c r="L1329" s="66"/>
    </row>
    <row r="1330" spans="2:12" ht="15.75" customHeight="1" x14ac:dyDescent="0.2">
      <c r="C1330" s="15">
        <v>35584</v>
      </c>
      <c r="D1330" s="185"/>
      <c r="E1330" s="3">
        <v>30</v>
      </c>
      <c r="F1330" s="190">
        <v>11.7</v>
      </c>
      <c r="H1330" s="3">
        <v>4.8</v>
      </c>
      <c r="L1330" s="66"/>
    </row>
    <row r="1331" spans="2:12" ht="15.75" customHeight="1" x14ac:dyDescent="0.2">
      <c r="C1331" s="15">
        <v>35584</v>
      </c>
      <c r="D1331" s="185"/>
      <c r="E1331" s="3">
        <v>40</v>
      </c>
      <c r="F1331" s="190">
        <v>11.7</v>
      </c>
      <c r="H1331" s="3">
        <v>4.5</v>
      </c>
      <c r="L1331" s="66"/>
    </row>
    <row r="1332" spans="2:12" ht="15.75" customHeight="1" x14ac:dyDescent="0.2">
      <c r="C1332" s="15">
        <v>35584</v>
      </c>
      <c r="D1332" s="185"/>
      <c r="E1332" s="3">
        <v>50</v>
      </c>
      <c r="F1332" s="190">
        <v>11.8</v>
      </c>
      <c r="H1332" s="3">
        <v>4.2</v>
      </c>
      <c r="L1332" s="66"/>
    </row>
    <row r="1333" spans="2:12" ht="15.75" customHeight="1" x14ac:dyDescent="0.2">
      <c r="C1333" s="15">
        <v>35584</v>
      </c>
      <c r="D1333" s="185"/>
      <c r="E1333" s="3">
        <v>60</v>
      </c>
      <c r="F1333" s="190">
        <v>11.7</v>
      </c>
      <c r="H1333" s="3">
        <v>4</v>
      </c>
      <c r="L1333" s="66"/>
    </row>
    <row r="1334" spans="2:12" ht="15.75" customHeight="1" x14ac:dyDescent="0.2">
      <c r="C1334" s="15">
        <v>35584</v>
      </c>
      <c r="D1334" s="185"/>
      <c r="E1334" s="3">
        <v>70</v>
      </c>
      <c r="F1334" s="190">
        <v>11.6</v>
      </c>
      <c r="H1334" s="3">
        <v>3.9</v>
      </c>
      <c r="L1334" s="66"/>
    </row>
    <row r="1335" spans="2:12" ht="15.75" customHeight="1" x14ac:dyDescent="0.2">
      <c r="C1335" s="15">
        <v>35584</v>
      </c>
      <c r="D1335" s="185"/>
      <c r="E1335" s="3">
        <v>74.599999999999994</v>
      </c>
      <c r="F1335" s="190">
        <v>11.4</v>
      </c>
      <c r="H1335" s="3">
        <v>4</v>
      </c>
      <c r="L1335" s="66"/>
    </row>
    <row r="1336" spans="2:12" ht="15.75" customHeight="1" x14ac:dyDescent="0.2">
      <c r="C1336" s="15"/>
      <c r="D1336" s="185"/>
      <c r="E1336" s="3"/>
      <c r="H1336" s="3"/>
      <c r="L1336" s="66"/>
    </row>
    <row r="1337" spans="2:12" ht="15.75" customHeight="1" x14ac:dyDescent="0.2">
      <c r="B1337">
        <v>75.599999999999994</v>
      </c>
      <c r="C1337" s="15">
        <v>35605</v>
      </c>
      <c r="D1337" s="185">
        <v>0.41666666666666669</v>
      </c>
      <c r="E1337" s="3"/>
      <c r="H1337" s="3"/>
      <c r="J1337">
        <v>5.2</v>
      </c>
      <c r="L1337" s="66"/>
    </row>
    <row r="1338" spans="2:12" ht="15.75" customHeight="1" x14ac:dyDescent="0.2">
      <c r="C1338" s="15">
        <v>35605</v>
      </c>
      <c r="E1338" s="3"/>
      <c r="H1338" s="3"/>
      <c r="L1338" s="66"/>
    </row>
    <row r="1339" spans="2:12" ht="15.75" customHeight="1" x14ac:dyDescent="0.2">
      <c r="C1339" s="15">
        <v>35605</v>
      </c>
      <c r="E1339" s="3">
        <v>0.5</v>
      </c>
      <c r="F1339" s="190">
        <v>9.5</v>
      </c>
      <c r="H1339">
        <v>13</v>
      </c>
      <c r="L1339" s="66"/>
    </row>
    <row r="1340" spans="2:12" ht="15.75" customHeight="1" x14ac:dyDescent="0.2">
      <c r="C1340" s="15">
        <v>35605</v>
      </c>
      <c r="E1340" s="190">
        <v>2</v>
      </c>
      <c r="F1340" s="190">
        <v>9.4</v>
      </c>
      <c r="H1340">
        <v>13</v>
      </c>
      <c r="L1340" s="66"/>
    </row>
    <row r="1341" spans="2:12" ht="15.75" customHeight="1" x14ac:dyDescent="0.2">
      <c r="C1341" s="15">
        <v>35605</v>
      </c>
      <c r="D1341" s="185"/>
      <c r="E1341" s="190">
        <v>4</v>
      </c>
      <c r="F1341" s="190">
        <v>9.5</v>
      </c>
      <c r="H1341">
        <v>12.9</v>
      </c>
      <c r="L1341" s="66"/>
    </row>
    <row r="1342" spans="2:12" ht="15.75" customHeight="1" x14ac:dyDescent="0.2">
      <c r="C1342" s="15">
        <v>35605</v>
      </c>
      <c r="D1342" s="185"/>
      <c r="E1342" s="3">
        <v>6</v>
      </c>
      <c r="F1342" s="190">
        <v>9.6999999999999993</v>
      </c>
      <c r="H1342">
        <v>12.2</v>
      </c>
      <c r="L1342" s="66"/>
    </row>
    <row r="1343" spans="2:12" ht="15.75" customHeight="1" x14ac:dyDescent="0.2">
      <c r="C1343" s="15">
        <v>35605</v>
      </c>
      <c r="D1343" s="185"/>
      <c r="E1343" s="3">
        <v>8</v>
      </c>
      <c r="F1343" s="190">
        <v>10.7</v>
      </c>
      <c r="H1343">
        <v>8</v>
      </c>
      <c r="L1343" s="66"/>
    </row>
    <row r="1344" spans="2:12" ht="15.75" customHeight="1" x14ac:dyDescent="0.2">
      <c r="C1344" s="15">
        <v>35605</v>
      </c>
      <c r="D1344" s="185"/>
      <c r="E1344" s="3">
        <v>10</v>
      </c>
      <c r="F1344" s="190">
        <v>10.8</v>
      </c>
      <c r="H1344">
        <v>6.9</v>
      </c>
      <c r="L1344" s="66"/>
    </row>
    <row r="1345" spans="2:12" ht="15.75" customHeight="1" x14ac:dyDescent="0.2">
      <c r="C1345" s="15">
        <v>35605</v>
      </c>
      <c r="D1345" s="185"/>
      <c r="E1345" s="3">
        <v>12</v>
      </c>
      <c r="F1345" s="190">
        <v>10.9</v>
      </c>
      <c r="H1345">
        <v>6.1</v>
      </c>
      <c r="L1345" s="66"/>
    </row>
    <row r="1346" spans="2:12" ht="15.75" customHeight="1" x14ac:dyDescent="0.2">
      <c r="C1346" s="15">
        <v>35605</v>
      </c>
      <c r="D1346" s="185"/>
      <c r="E1346" s="3">
        <v>14</v>
      </c>
      <c r="F1346" s="190">
        <v>10.9</v>
      </c>
      <c r="H1346">
        <v>6</v>
      </c>
      <c r="L1346" s="66"/>
    </row>
    <row r="1347" spans="2:12" ht="15.75" customHeight="1" x14ac:dyDescent="0.2">
      <c r="C1347" s="15">
        <v>35605</v>
      </c>
      <c r="D1347" s="185"/>
      <c r="E1347" s="3">
        <v>16</v>
      </c>
      <c r="F1347" s="190">
        <v>10.9</v>
      </c>
      <c r="H1347">
        <v>5.7</v>
      </c>
      <c r="L1347" s="66"/>
    </row>
    <row r="1348" spans="2:12" ht="15.75" customHeight="1" x14ac:dyDescent="0.2">
      <c r="C1348" s="15">
        <v>35605</v>
      </c>
      <c r="D1348" s="185"/>
      <c r="E1348" s="3">
        <v>18</v>
      </c>
      <c r="F1348" s="190">
        <v>10.9</v>
      </c>
      <c r="H1348">
        <v>5.4</v>
      </c>
      <c r="L1348" s="66"/>
    </row>
    <row r="1349" spans="2:12" ht="15.75" customHeight="1" x14ac:dyDescent="0.2">
      <c r="C1349" s="15">
        <v>35605</v>
      </c>
      <c r="D1349" s="185"/>
      <c r="E1349" s="3">
        <v>20</v>
      </c>
      <c r="F1349" s="190">
        <v>10.9</v>
      </c>
      <c r="H1349">
        <v>5.3</v>
      </c>
      <c r="L1349" s="66"/>
    </row>
    <row r="1350" spans="2:12" ht="15.75" customHeight="1" x14ac:dyDescent="0.2">
      <c r="C1350" s="15">
        <v>35605</v>
      </c>
      <c r="D1350" s="185"/>
      <c r="E1350" s="3">
        <v>30</v>
      </c>
      <c r="F1350" s="190">
        <v>10.8</v>
      </c>
      <c r="H1350">
        <v>5.3</v>
      </c>
      <c r="L1350" s="66"/>
    </row>
    <row r="1351" spans="2:12" ht="15.75" customHeight="1" x14ac:dyDescent="0.2">
      <c r="C1351" s="15">
        <v>35605</v>
      </c>
      <c r="D1351" s="185"/>
      <c r="E1351" s="3">
        <v>40</v>
      </c>
      <c r="F1351" s="190">
        <v>10.8</v>
      </c>
      <c r="H1351">
        <v>4.5</v>
      </c>
      <c r="L1351" s="66"/>
    </row>
    <row r="1352" spans="2:12" ht="15.75" customHeight="1" x14ac:dyDescent="0.2">
      <c r="C1352" s="15">
        <v>35605</v>
      </c>
      <c r="D1352" s="185"/>
      <c r="E1352" s="3">
        <v>50</v>
      </c>
      <c r="F1352" s="190">
        <v>10.8</v>
      </c>
      <c r="H1352">
        <v>4.4000000000000004</v>
      </c>
      <c r="L1352" s="66"/>
    </row>
    <row r="1353" spans="2:12" ht="15.75" customHeight="1" x14ac:dyDescent="0.2">
      <c r="C1353" s="15">
        <v>35605</v>
      </c>
      <c r="D1353" s="185"/>
      <c r="E1353" s="3">
        <v>60</v>
      </c>
      <c r="F1353" s="190">
        <v>10.8</v>
      </c>
      <c r="H1353">
        <v>4.2</v>
      </c>
      <c r="L1353" s="66"/>
    </row>
    <row r="1354" spans="2:12" ht="15.75" customHeight="1" x14ac:dyDescent="0.2">
      <c r="C1354" s="15">
        <v>35605</v>
      </c>
      <c r="D1354" s="185"/>
      <c r="E1354" s="3">
        <v>70</v>
      </c>
      <c r="F1354" s="190">
        <v>10.8</v>
      </c>
      <c r="H1354">
        <v>4.2</v>
      </c>
      <c r="L1354" s="66"/>
    </row>
    <row r="1355" spans="2:12" ht="15.75" customHeight="1" x14ac:dyDescent="0.2">
      <c r="C1355" s="15">
        <v>35605</v>
      </c>
      <c r="D1355" s="185"/>
      <c r="E1355" s="3">
        <v>80</v>
      </c>
      <c r="F1355" s="190">
        <v>10.7</v>
      </c>
      <c r="H1355">
        <v>4.2</v>
      </c>
      <c r="L1355" s="66"/>
    </row>
    <row r="1356" spans="2:12" ht="15.75" customHeight="1" x14ac:dyDescent="0.2">
      <c r="C1356" s="15"/>
      <c r="D1356" s="185"/>
      <c r="E1356" s="3"/>
      <c r="H1356" s="3"/>
      <c r="L1356" s="66"/>
    </row>
    <row r="1357" spans="2:12" ht="15.75" customHeight="1" x14ac:dyDescent="0.2">
      <c r="B1357">
        <v>74.599999999999994</v>
      </c>
      <c r="C1357" s="15">
        <v>35562</v>
      </c>
      <c r="D1357" s="185">
        <v>0.41666666666666669</v>
      </c>
      <c r="E1357" s="3"/>
      <c r="H1357" s="3"/>
      <c r="J1357">
        <v>7.5</v>
      </c>
      <c r="L1357" s="66"/>
    </row>
    <row r="1358" spans="2:12" ht="15.75" customHeight="1" x14ac:dyDescent="0.2">
      <c r="C1358" s="15">
        <v>35562</v>
      </c>
      <c r="D1358" s="185"/>
      <c r="E1358" s="3">
        <v>0.5</v>
      </c>
      <c r="F1358" s="190">
        <v>11.01</v>
      </c>
      <c r="H1358" s="3">
        <v>8.8800000000000008</v>
      </c>
      <c r="L1358" s="66"/>
    </row>
    <row r="1359" spans="2:12" ht="15.75" customHeight="1" x14ac:dyDescent="0.2">
      <c r="C1359" s="15">
        <v>35562</v>
      </c>
      <c r="D1359" s="185"/>
      <c r="E1359" s="3">
        <v>10</v>
      </c>
      <c r="F1359" s="190">
        <v>11.11</v>
      </c>
      <c r="H1359" s="3">
        <v>5.79</v>
      </c>
      <c r="L1359" s="66"/>
    </row>
    <row r="1360" spans="2:12" ht="15.75" customHeight="1" x14ac:dyDescent="0.2">
      <c r="C1360" s="15">
        <v>35562</v>
      </c>
      <c r="D1360" s="185"/>
      <c r="E1360" s="3">
        <v>20</v>
      </c>
      <c r="F1360" s="190">
        <v>11.17</v>
      </c>
      <c r="H1360" s="3">
        <v>4.8899999999999997</v>
      </c>
      <c r="L1360" s="66"/>
    </row>
    <row r="1361" spans="2:12" ht="15.75" customHeight="1" x14ac:dyDescent="0.2">
      <c r="C1361" s="15">
        <v>35562</v>
      </c>
      <c r="D1361" s="185"/>
      <c r="E1361" s="3">
        <v>30</v>
      </c>
      <c r="F1361" s="190">
        <v>11.12</v>
      </c>
      <c r="H1361" s="3">
        <v>4.7</v>
      </c>
      <c r="L1361" s="66"/>
    </row>
    <row r="1362" spans="2:12" ht="15.75" customHeight="1" x14ac:dyDescent="0.2">
      <c r="C1362" s="15">
        <v>35562</v>
      </c>
      <c r="D1362" s="185"/>
      <c r="E1362" s="3">
        <v>40</v>
      </c>
      <c r="F1362" s="190">
        <v>11.06</v>
      </c>
      <c r="H1362" s="3">
        <v>4.45</v>
      </c>
      <c r="L1362" s="66"/>
    </row>
    <row r="1363" spans="2:12" ht="15.75" customHeight="1" x14ac:dyDescent="0.2">
      <c r="C1363" s="15">
        <v>35562</v>
      </c>
      <c r="D1363" s="185"/>
      <c r="E1363" s="3">
        <v>50</v>
      </c>
      <c r="F1363" s="190">
        <v>11.16</v>
      </c>
      <c r="H1363" s="3">
        <v>4.2699999999999996</v>
      </c>
      <c r="L1363" s="66"/>
    </row>
    <row r="1364" spans="2:12" ht="15.75" customHeight="1" x14ac:dyDescent="0.2">
      <c r="C1364" s="15">
        <v>35562</v>
      </c>
      <c r="D1364" s="185"/>
      <c r="E1364" s="3">
        <v>60</v>
      </c>
      <c r="F1364" s="250" t="s">
        <v>617</v>
      </c>
      <c r="H1364" s="3">
        <v>4.1399999999999997</v>
      </c>
      <c r="L1364" s="66"/>
    </row>
    <row r="1365" spans="2:12" ht="15.75" customHeight="1" x14ac:dyDescent="0.2">
      <c r="C1365" s="15">
        <v>35562</v>
      </c>
      <c r="D1365" s="185"/>
      <c r="E1365" s="3">
        <v>70</v>
      </c>
      <c r="F1365" s="190">
        <v>11.26</v>
      </c>
      <c r="H1365" s="3">
        <v>3.94</v>
      </c>
      <c r="L1365" s="66"/>
    </row>
    <row r="1366" spans="2:12" ht="15.75" customHeight="1" x14ac:dyDescent="0.2">
      <c r="C1366" s="15">
        <v>35562</v>
      </c>
      <c r="D1366" s="185"/>
      <c r="E1366" s="3">
        <v>74.599999999999994</v>
      </c>
      <c r="F1366" s="190">
        <v>10.98</v>
      </c>
      <c r="H1366" s="3">
        <v>3.92</v>
      </c>
      <c r="L1366" s="66"/>
    </row>
    <row r="1367" spans="2:12" ht="15.75" customHeight="1" x14ac:dyDescent="0.2">
      <c r="C1367" s="15"/>
      <c r="D1367" s="185"/>
      <c r="E1367" s="3"/>
      <c r="H1367" s="3"/>
      <c r="L1367" s="66"/>
    </row>
    <row r="1368" spans="2:12" ht="15.75" customHeight="1" x14ac:dyDescent="0.2">
      <c r="B1368">
        <v>74.2</v>
      </c>
      <c r="C1368" s="15">
        <v>35544</v>
      </c>
      <c r="D1368" s="185">
        <v>0.43402777777777779</v>
      </c>
      <c r="E1368" s="3"/>
      <c r="H1368" s="3"/>
      <c r="J1368">
        <v>10.7</v>
      </c>
      <c r="L1368" s="66"/>
    </row>
    <row r="1369" spans="2:12" ht="15.75" customHeight="1" x14ac:dyDescent="0.2">
      <c r="C1369" s="15">
        <v>35544</v>
      </c>
      <c r="D1369" s="185">
        <v>0.43402777777777779</v>
      </c>
      <c r="E1369" s="3">
        <v>0.5</v>
      </c>
      <c r="F1369" s="190">
        <v>11.32</v>
      </c>
      <c r="H1369" s="3">
        <v>4.2</v>
      </c>
      <c r="L1369" s="66"/>
    </row>
    <row r="1370" spans="2:12" ht="15.75" customHeight="1" x14ac:dyDescent="0.2">
      <c r="C1370" s="15">
        <v>35544</v>
      </c>
      <c r="D1370" s="185">
        <v>0.43402777777777779</v>
      </c>
      <c r="E1370" s="3">
        <v>10</v>
      </c>
      <c r="F1370" s="190">
        <v>11.28</v>
      </c>
      <c r="H1370" s="3">
        <v>3.9</v>
      </c>
      <c r="L1370" s="66"/>
    </row>
    <row r="1371" spans="2:12" ht="15.75" customHeight="1" x14ac:dyDescent="0.2">
      <c r="C1371" s="15">
        <v>35544</v>
      </c>
      <c r="D1371" s="185">
        <v>0.43402777777777779</v>
      </c>
      <c r="E1371" s="3">
        <v>20</v>
      </c>
      <c r="F1371" s="190">
        <v>11.4</v>
      </c>
      <c r="H1371" s="3">
        <v>3.88</v>
      </c>
      <c r="L1371" s="66"/>
    </row>
    <row r="1372" spans="2:12" ht="15.75" customHeight="1" x14ac:dyDescent="0.2">
      <c r="C1372" s="15">
        <v>35544</v>
      </c>
      <c r="D1372" s="185">
        <v>0.43402777777777779</v>
      </c>
      <c r="E1372" s="3">
        <v>30</v>
      </c>
      <c r="F1372" s="190">
        <v>11.46</v>
      </c>
      <c r="H1372" s="3">
        <v>3.88</v>
      </c>
      <c r="L1372" s="66"/>
    </row>
    <row r="1373" spans="2:12" ht="15.75" customHeight="1" x14ac:dyDescent="0.2">
      <c r="C1373" s="15">
        <v>35544</v>
      </c>
      <c r="D1373" s="185">
        <v>0.43402777777777779</v>
      </c>
      <c r="E1373" s="3">
        <v>40</v>
      </c>
      <c r="F1373" s="190">
        <v>11.5</v>
      </c>
      <c r="H1373" s="3">
        <v>3.85</v>
      </c>
      <c r="L1373" s="66"/>
    </row>
    <row r="1374" spans="2:12" ht="15.75" customHeight="1" x14ac:dyDescent="0.2">
      <c r="C1374" s="15">
        <v>35544</v>
      </c>
      <c r="D1374" s="185">
        <v>0.43402777777777779</v>
      </c>
      <c r="E1374" s="3">
        <v>50</v>
      </c>
      <c r="F1374" s="190">
        <v>11.51</v>
      </c>
      <c r="H1374" s="3">
        <v>3.86</v>
      </c>
      <c r="L1374" s="66"/>
    </row>
    <row r="1375" spans="2:12" ht="15.75" customHeight="1" x14ac:dyDescent="0.2">
      <c r="C1375" s="15">
        <v>35544</v>
      </c>
      <c r="D1375" s="185">
        <v>0.43402777777777779</v>
      </c>
      <c r="E1375" s="3">
        <v>60</v>
      </c>
      <c r="F1375" s="190">
        <v>11.51</v>
      </c>
      <c r="H1375" s="3">
        <v>3.85</v>
      </c>
      <c r="L1375" s="66"/>
    </row>
    <row r="1376" spans="2:12" ht="15.75" customHeight="1" x14ac:dyDescent="0.2">
      <c r="C1376" s="15">
        <v>35544</v>
      </c>
      <c r="D1376" s="185">
        <v>0.43402777777777779</v>
      </c>
      <c r="E1376" s="3">
        <v>70</v>
      </c>
      <c r="F1376" s="190">
        <v>11.51</v>
      </c>
      <c r="H1376" s="3">
        <v>3.85</v>
      </c>
      <c r="L1376" s="66"/>
    </row>
    <row r="1377" spans="2:12" ht="15.75" customHeight="1" x14ac:dyDescent="0.2">
      <c r="C1377" s="15">
        <v>35544</v>
      </c>
      <c r="D1377" s="185">
        <v>0.43402777777777779</v>
      </c>
      <c r="E1377" s="3">
        <v>73</v>
      </c>
      <c r="F1377" s="250">
        <v>11.6</v>
      </c>
      <c r="H1377" s="3">
        <v>3.85</v>
      </c>
      <c r="L1377" s="66"/>
    </row>
    <row r="1378" spans="2:12" ht="15.75" customHeight="1" x14ac:dyDescent="0.2">
      <c r="C1378" s="3"/>
      <c r="E1378" s="3"/>
      <c r="H1378" s="3"/>
      <c r="L1378" s="66"/>
    </row>
    <row r="1379" spans="2:12" ht="15.75" customHeight="1" x14ac:dyDescent="0.2">
      <c r="B1379">
        <v>85</v>
      </c>
      <c r="C1379" s="15">
        <v>34996</v>
      </c>
      <c r="D1379" s="185">
        <v>0.41666666666666669</v>
      </c>
      <c r="E1379" s="3"/>
      <c r="H1379" s="3"/>
      <c r="J1379">
        <v>12.3</v>
      </c>
      <c r="L1379" s="66"/>
    </row>
    <row r="1380" spans="2:12" ht="15.75" customHeight="1" x14ac:dyDescent="0.2">
      <c r="C1380" s="15">
        <v>34996</v>
      </c>
      <c r="D1380" s="185">
        <v>0.41666666666666669</v>
      </c>
      <c r="E1380" s="3">
        <v>0.5</v>
      </c>
      <c r="F1380" s="190">
        <v>10.6</v>
      </c>
      <c r="G1380" s="190">
        <v>106</v>
      </c>
      <c r="H1380" s="3">
        <v>11.3</v>
      </c>
      <c r="L1380" s="66"/>
    </row>
    <row r="1381" spans="2:12" ht="15.75" customHeight="1" x14ac:dyDescent="0.2">
      <c r="C1381" s="15">
        <v>34996</v>
      </c>
      <c r="D1381" s="185">
        <v>0.41666666666666669</v>
      </c>
      <c r="E1381" s="3">
        <v>5</v>
      </c>
      <c r="F1381" s="190">
        <v>10.4</v>
      </c>
      <c r="G1381" s="190">
        <v>104</v>
      </c>
      <c r="H1381" s="3">
        <v>11.3</v>
      </c>
      <c r="L1381" s="66"/>
    </row>
    <row r="1382" spans="2:12" ht="15.75" customHeight="1" x14ac:dyDescent="0.2">
      <c r="C1382" s="15">
        <v>34996</v>
      </c>
      <c r="D1382" s="185">
        <v>0.41666666666666669</v>
      </c>
      <c r="E1382" s="3">
        <v>10</v>
      </c>
      <c r="F1382" s="190">
        <v>10.4</v>
      </c>
      <c r="G1382" s="190">
        <v>104</v>
      </c>
      <c r="H1382" s="3">
        <v>11.3</v>
      </c>
      <c r="L1382" s="66"/>
    </row>
    <row r="1383" spans="2:12" ht="15.75" customHeight="1" x14ac:dyDescent="0.2">
      <c r="C1383" s="15">
        <v>34996</v>
      </c>
      <c r="D1383" s="185">
        <v>0.41666666666666669</v>
      </c>
      <c r="E1383" s="3">
        <v>15</v>
      </c>
      <c r="F1383" s="190">
        <v>10.3</v>
      </c>
      <c r="G1383" s="190">
        <v>103</v>
      </c>
      <c r="H1383" s="3">
        <v>11.3</v>
      </c>
      <c r="L1383" s="66"/>
    </row>
    <row r="1384" spans="2:12" ht="15.75" customHeight="1" x14ac:dyDescent="0.2">
      <c r="C1384" s="15">
        <v>34996</v>
      </c>
      <c r="D1384" s="185">
        <v>0.41666666666666669</v>
      </c>
      <c r="E1384" s="3">
        <v>20</v>
      </c>
      <c r="F1384" s="190">
        <v>11</v>
      </c>
      <c r="G1384" s="190">
        <v>101</v>
      </c>
      <c r="H1384" s="3">
        <v>7.8</v>
      </c>
      <c r="L1384" s="66"/>
    </row>
    <row r="1385" spans="2:12" ht="15.75" customHeight="1" x14ac:dyDescent="0.2">
      <c r="C1385" s="15">
        <v>34996</v>
      </c>
      <c r="D1385" s="185">
        <v>0.41666666666666669</v>
      </c>
      <c r="E1385" s="3">
        <v>30</v>
      </c>
      <c r="F1385" s="190">
        <v>10.8</v>
      </c>
      <c r="G1385" s="190">
        <v>95</v>
      </c>
      <c r="H1385" s="3">
        <v>6.7</v>
      </c>
      <c r="L1385" s="66"/>
    </row>
    <row r="1386" spans="2:12" ht="15.75" customHeight="1" x14ac:dyDescent="0.2">
      <c r="C1386" s="15">
        <v>34996</v>
      </c>
      <c r="D1386" s="185">
        <v>0.41666666666666669</v>
      </c>
      <c r="E1386" s="3">
        <v>40</v>
      </c>
      <c r="F1386" s="190">
        <v>10.6</v>
      </c>
      <c r="G1386" s="190">
        <v>93</v>
      </c>
      <c r="H1386" s="3">
        <v>5.8</v>
      </c>
      <c r="L1386" s="66"/>
    </row>
    <row r="1387" spans="2:12" ht="15.75" customHeight="1" x14ac:dyDescent="0.2">
      <c r="C1387" s="15">
        <v>34996</v>
      </c>
      <c r="D1387" s="185">
        <v>0.41666666666666669</v>
      </c>
      <c r="E1387" s="3">
        <v>50</v>
      </c>
      <c r="F1387" s="190">
        <v>10.6</v>
      </c>
      <c r="G1387" s="190">
        <v>92</v>
      </c>
      <c r="H1387" s="3">
        <v>5.3</v>
      </c>
      <c r="L1387" s="66"/>
    </row>
    <row r="1388" spans="2:12" ht="15.75" customHeight="1" x14ac:dyDescent="0.2">
      <c r="C1388" s="15">
        <v>34996</v>
      </c>
      <c r="D1388" s="185">
        <v>0.41666666666666669</v>
      </c>
      <c r="E1388" s="3">
        <v>60</v>
      </c>
      <c r="F1388" s="190">
        <v>10.5</v>
      </c>
      <c r="G1388" s="190">
        <v>90</v>
      </c>
      <c r="H1388" s="3">
        <v>5</v>
      </c>
      <c r="L1388" s="66"/>
    </row>
    <row r="1389" spans="2:12" ht="15.75" customHeight="1" x14ac:dyDescent="0.2">
      <c r="C1389" s="15">
        <v>34996</v>
      </c>
      <c r="D1389" s="185">
        <v>0.41666666666666669</v>
      </c>
      <c r="E1389" s="3">
        <v>70</v>
      </c>
      <c r="F1389" s="190">
        <v>10.5</v>
      </c>
      <c r="G1389" s="190">
        <v>90</v>
      </c>
      <c r="H1389" s="3">
        <v>4.7</v>
      </c>
      <c r="L1389" s="66"/>
    </row>
    <row r="1390" spans="2:12" ht="15.75" customHeight="1" x14ac:dyDescent="0.2">
      <c r="C1390" s="15">
        <v>34996</v>
      </c>
      <c r="D1390" s="185">
        <v>0.41666666666666669</v>
      </c>
      <c r="E1390" s="3">
        <v>80</v>
      </c>
      <c r="F1390" s="190">
        <v>10.199999999999999</v>
      </c>
      <c r="G1390" s="190">
        <v>86</v>
      </c>
      <c r="H1390" s="3">
        <v>4.4000000000000004</v>
      </c>
      <c r="L1390" s="66"/>
    </row>
    <row r="1391" spans="2:12" ht="15.75" customHeight="1" x14ac:dyDescent="0.2">
      <c r="C1391" s="15">
        <v>34996</v>
      </c>
      <c r="D1391" s="185">
        <v>0.41666666666666669</v>
      </c>
      <c r="E1391" s="3">
        <v>84</v>
      </c>
      <c r="F1391" s="190">
        <v>9.8000000000000007</v>
      </c>
      <c r="G1391" s="190">
        <v>84</v>
      </c>
      <c r="H1391" s="3">
        <v>4.3</v>
      </c>
      <c r="L1391" s="66"/>
    </row>
    <row r="1392" spans="2:12" ht="15.75" customHeight="1" x14ac:dyDescent="0.2">
      <c r="C1392" s="3"/>
      <c r="E1392" s="3"/>
      <c r="H1392" s="3"/>
      <c r="L1392" s="66"/>
    </row>
    <row r="1393" spans="2:12" ht="15.75" customHeight="1" x14ac:dyDescent="0.2">
      <c r="B1393">
        <v>76</v>
      </c>
      <c r="C1393" s="15">
        <v>34962</v>
      </c>
      <c r="D1393" s="185">
        <v>0.46875</v>
      </c>
      <c r="E1393" s="3"/>
      <c r="H1393" s="3"/>
      <c r="J1393">
        <v>12.5</v>
      </c>
      <c r="L1393" s="66"/>
    </row>
    <row r="1394" spans="2:12" ht="15.75" customHeight="1" x14ac:dyDescent="0.2">
      <c r="C1394" s="15">
        <v>34962</v>
      </c>
      <c r="D1394" s="185">
        <v>0.46875</v>
      </c>
      <c r="E1394" s="3">
        <v>0.5</v>
      </c>
      <c r="F1394" s="190">
        <v>8.6999999999999993</v>
      </c>
      <c r="H1394" s="3">
        <v>18.5</v>
      </c>
      <c r="L1394" s="66"/>
    </row>
    <row r="1395" spans="2:12" ht="15.75" customHeight="1" x14ac:dyDescent="0.2">
      <c r="C1395" s="15">
        <v>34962</v>
      </c>
      <c r="D1395" s="185">
        <v>0.46875</v>
      </c>
      <c r="E1395" s="3">
        <v>2</v>
      </c>
      <c r="F1395" s="190">
        <v>8.6</v>
      </c>
      <c r="H1395" s="3">
        <v>18.5</v>
      </c>
      <c r="L1395" s="66"/>
    </row>
    <row r="1396" spans="2:12" ht="15.75" customHeight="1" x14ac:dyDescent="0.2">
      <c r="C1396" s="15">
        <v>34962</v>
      </c>
      <c r="D1396" s="185">
        <v>0.46875</v>
      </c>
      <c r="E1396" s="3">
        <v>4</v>
      </c>
      <c r="F1396" s="190">
        <v>8.6</v>
      </c>
      <c r="H1396" s="3">
        <v>18.399999999999999</v>
      </c>
      <c r="L1396" s="66"/>
    </row>
    <row r="1397" spans="2:12" ht="15.75" customHeight="1" x14ac:dyDescent="0.2">
      <c r="C1397" s="15">
        <v>34962</v>
      </c>
      <c r="D1397" s="185">
        <v>0.46875</v>
      </c>
      <c r="E1397" s="3">
        <v>6</v>
      </c>
      <c r="F1397" s="190">
        <v>8.5</v>
      </c>
      <c r="H1397" s="3">
        <v>18.3</v>
      </c>
      <c r="L1397" s="66"/>
    </row>
    <row r="1398" spans="2:12" ht="15.75" customHeight="1" x14ac:dyDescent="0.2">
      <c r="C1398" s="15">
        <v>34962</v>
      </c>
      <c r="D1398" s="185">
        <v>0.46875</v>
      </c>
      <c r="E1398" s="3">
        <v>8</v>
      </c>
      <c r="F1398" s="190">
        <v>8.5</v>
      </c>
      <c r="H1398" s="3">
        <v>18.3</v>
      </c>
      <c r="L1398" s="66"/>
    </row>
    <row r="1399" spans="2:12" ht="15.75" customHeight="1" x14ac:dyDescent="0.2">
      <c r="C1399" s="15">
        <v>34962</v>
      </c>
      <c r="D1399" s="185">
        <v>0.46875</v>
      </c>
      <c r="E1399" s="3">
        <v>10</v>
      </c>
      <c r="F1399" s="190">
        <v>8.5</v>
      </c>
      <c r="H1399" s="3">
        <v>18.3</v>
      </c>
      <c r="L1399" s="66"/>
    </row>
    <row r="1400" spans="2:12" ht="15.75" customHeight="1" x14ac:dyDescent="0.2">
      <c r="C1400" s="15">
        <v>34962</v>
      </c>
      <c r="D1400" s="185">
        <v>0.46875</v>
      </c>
      <c r="E1400" s="3">
        <v>12</v>
      </c>
      <c r="F1400" s="190">
        <v>8.9</v>
      </c>
      <c r="H1400" s="3">
        <v>16.399999999999999</v>
      </c>
      <c r="L1400" s="66"/>
    </row>
    <row r="1401" spans="2:12" ht="15.75" customHeight="1" x14ac:dyDescent="0.2">
      <c r="C1401" s="15">
        <v>34962</v>
      </c>
      <c r="D1401" s="185">
        <v>0.46875</v>
      </c>
      <c r="E1401" s="3">
        <v>14</v>
      </c>
      <c r="F1401" s="190">
        <v>10</v>
      </c>
      <c r="H1401" s="3">
        <v>11.3</v>
      </c>
      <c r="L1401" s="66"/>
    </row>
    <row r="1402" spans="2:12" ht="15.75" customHeight="1" x14ac:dyDescent="0.2">
      <c r="C1402" s="15">
        <v>34962</v>
      </c>
      <c r="D1402" s="185">
        <v>0.46875</v>
      </c>
      <c r="E1402" s="3">
        <v>16</v>
      </c>
      <c r="F1402" s="190">
        <v>10.5</v>
      </c>
      <c r="H1402" s="3">
        <v>8.6</v>
      </c>
      <c r="L1402" s="66"/>
    </row>
    <row r="1403" spans="2:12" ht="15.75" customHeight="1" x14ac:dyDescent="0.2">
      <c r="C1403" s="15">
        <v>34962</v>
      </c>
      <c r="D1403" s="185">
        <v>0.46875</v>
      </c>
      <c r="E1403" s="3">
        <v>18</v>
      </c>
      <c r="F1403" s="190">
        <v>10.1</v>
      </c>
      <c r="H1403" s="3">
        <v>7.7</v>
      </c>
      <c r="L1403" s="66"/>
    </row>
    <row r="1404" spans="2:12" ht="15.75" customHeight="1" x14ac:dyDescent="0.2">
      <c r="C1404" s="15">
        <v>34962</v>
      </c>
      <c r="D1404" s="185">
        <v>0.46875</v>
      </c>
      <c r="E1404" s="3">
        <v>20</v>
      </c>
      <c r="F1404" s="190">
        <v>9.8000000000000007</v>
      </c>
      <c r="H1404" s="3">
        <v>7.2</v>
      </c>
      <c r="L1404" s="66"/>
    </row>
    <row r="1405" spans="2:12" ht="15.75" customHeight="1" x14ac:dyDescent="0.2">
      <c r="C1405" s="15">
        <v>34962</v>
      </c>
      <c r="D1405" s="185">
        <v>0.46875</v>
      </c>
      <c r="E1405" s="3">
        <v>30</v>
      </c>
      <c r="F1405" s="190">
        <v>9.6999999999999993</v>
      </c>
      <c r="H1405" s="3">
        <v>6.1</v>
      </c>
      <c r="L1405" s="66"/>
    </row>
    <row r="1406" spans="2:12" ht="15.75" customHeight="1" x14ac:dyDescent="0.2">
      <c r="C1406" s="15">
        <v>34962</v>
      </c>
      <c r="D1406" s="185">
        <v>0.46875</v>
      </c>
      <c r="E1406" s="3">
        <v>40</v>
      </c>
      <c r="F1406" s="190">
        <v>9.6</v>
      </c>
      <c r="H1406" s="3">
        <v>5.7</v>
      </c>
      <c r="L1406" s="66"/>
    </row>
    <row r="1407" spans="2:12" ht="15.75" customHeight="1" x14ac:dyDescent="0.2">
      <c r="C1407" s="15">
        <v>34962</v>
      </c>
      <c r="D1407" s="185">
        <v>0.46875</v>
      </c>
      <c r="E1407" s="3">
        <v>50</v>
      </c>
      <c r="F1407" s="190">
        <v>9.6</v>
      </c>
      <c r="H1407" s="3">
        <v>5.3</v>
      </c>
      <c r="L1407" s="66"/>
    </row>
    <row r="1408" spans="2:12" ht="15.75" customHeight="1" x14ac:dyDescent="0.2">
      <c r="C1408" s="15">
        <v>34962</v>
      </c>
      <c r="D1408" s="185">
        <v>0.46875</v>
      </c>
      <c r="E1408" s="3">
        <v>60</v>
      </c>
      <c r="F1408" s="190">
        <v>9.6999999999999993</v>
      </c>
      <c r="H1408" s="3">
        <v>4.9000000000000004</v>
      </c>
      <c r="L1408" s="66"/>
    </row>
    <row r="1409" spans="2:12" ht="15.75" customHeight="1" x14ac:dyDescent="0.2">
      <c r="C1409" s="15">
        <v>34962</v>
      </c>
      <c r="D1409" s="185">
        <v>0.46875</v>
      </c>
      <c r="E1409" s="3">
        <v>70</v>
      </c>
      <c r="F1409" s="190">
        <v>9.6</v>
      </c>
      <c r="H1409" s="3">
        <v>4.7</v>
      </c>
      <c r="L1409" s="66"/>
    </row>
    <row r="1410" spans="2:12" ht="15.75" customHeight="1" x14ac:dyDescent="0.2">
      <c r="C1410" s="15">
        <v>34962</v>
      </c>
      <c r="D1410" s="185">
        <v>0.46875</v>
      </c>
      <c r="E1410" s="3">
        <v>75</v>
      </c>
      <c r="F1410" s="190">
        <v>9.6</v>
      </c>
      <c r="H1410" s="3">
        <v>4.5999999999999996</v>
      </c>
      <c r="L1410" s="66"/>
    </row>
    <row r="1411" spans="2:12" ht="15.75" customHeight="1" x14ac:dyDescent="0.2">
      <c r="C1411" s="3"/>
      <c r="E1411" s="3"/>
      <c r="H1411" s="3"/>
      <c r="L1411" s="66"/>
    </row>
    <row r="1412" spans="2:12" ht="15.75" customHeight="1" x14ac:dyDescent="0.2">
      <c r="B1412">
        <v>82.7</v>
      </c>
      <c r="C1412" s="15">
        <v>34933</v>
      </c>
      <c r="D1412" s="185">
        <v>0.52083333333333337</v>
      </c>
      <c r="E1412" s="3"/>
      <c r="H1412" s="3"/>
      <c r="J1412">
        <v>12.5</v>
      </c>
      <c r="L1412" s="66"/>
    </row>
    <row r="1413" spans="2:12" ht="15.75" customHeight="1" x14ac:dyDescent="0.2">
      <c r="C1413" s="15">
        <v>34933</v>
      </c>
      <c r="D1413" s="185">
        <v>0.52083333333333337</v>
      </c>
      <c r="E1413" s="3">
        <v>0.5</v>
      </c>
      <c r="F1413" s="190">
        <v>9.1999999999999993</v>
      </c>
      <c r="H1413" s="3">
        <v>19.2</v>
      </c>
      <c r="L1413" s="66"/>
    </row>
    <row r="1414" spans="2:12" ht="15.75" customHeight="1" x14ac:dyDescent="0.2">
      <c r="C1414" s="15">
        <v>34933</v>
      </c>
      <c r="D1414" s="185">
        <v>0.52083333333333337</v>
      </c>
      <c r="E1414" s="3">
        <v>2</v>
      </c>
      <c r="F1414" s="190">
        <v>8.9</v>
      </c>
      <c r="H1414" s="3">
        <v>18.100000000000001</v>
      </c>
      <c r="L1414" s="66"/>
    </row>
    <row r="1415" spans="2:12" ht="15.75" customHeight="1" x14ac:dyDescent="0.2">
      <c r="C1415" s="15">
        <v>34933</v>
      </c>
      <c r="D1415" s="185">
        <v>0.52083333333333337</v>
      </c>
      <c r="E1415" s="3">
        <v>4</v>
      </c>
      <c r="F1415" s="190">
        <v>8.8000000000000007</v>
      </c>
      <c r="H1415" s="3">
        <v>18</v>
      </c>
      <c r="L1415" s="66"/>
    </row>
    <row r="1416" spans="2:12" ht="15.75" customHeight="1" x14ac:dyDescent="0.2">
      <c r="C1416" s="15">
        <v>34933</v>
      </c>
      <c r="D1416" s="185">
        <v>0.52083333333333337</v>
      </c>
      <c r="E1416" s="3">
        <v>6</v>
      </c>
      <c r="F1416" s="190">
        <v>8.6999999999999993</v>
      </c>
      <c r="H1416" s="3">
        <v>17.899999999999999</v>
      </c>
      <c r="L1416" s="66"/>
    </row>
    <row r="1417" spans="2:12" ht="15.75" customHeight="1" x14ac:dyDescent="0.2">
      <c r="C1417" s="15">
        <v>34933</v>
      </c>
      <c r="D1417" s="185">
        <v>0.52083333333333337</v>
      </c>
      <c r="E1417" s="3">
        <v>8</v>
      </c>
      <c r="F1417" s="190">
        <v>8.6</v>
      </c>
      <c r="H1417" s="3">
        <v>17.899999999999999</v>
      </c>
      <c r="L1417" s="66"/>
    </row>
    <row r="1418" spans="2:12" ht="15.75" customHeight="1" x14ac:dyDescent="0.2">
      <c r="C1418" s="15">
        <v>34933</v>
      </c>
      <c r="D1418" s="185">
        <v>0.52083333333333337</v>
      </c>
      <c r="E1418" s="3">
        <v>10</v>
      </c>
      <c r="F1418" s="190">
        <v>8.6</v>
      </c>
      <c r="H1418" s="3">
        <v>17.8</v>
      </c>
      <c r="L1418" s="66"/>
    </row>
    <row r="1419" spans="2:12" ht="15.75" customHeight="1" x14ac:dyDescent="0.2">
      <c r="C1419" s="15">
        <v>34933</v>
      </c>
      <c r="D1419" s="185">
        <v>0.52083333333333337</v>
      </c>
      <c r="E1419" s="3">
        <v>12</v>
      </c>
      <c r="F1419" s="190">
        <v>8.9</v>
      </c>
      <c r="H1419" s="3">
        <v>17.399999999999999</v>
      </c>
      <c r="L1419" s="66"/>
    </row>
    <row r="1420" spans="2:12" ht="15.75" customHeight="1" x14ac:dyDescent="0.2">
      <c r="C1420" s="15">
        <v>34933</v>
      </c>
      <c r="D1420" s="185">
        <v>0.52083333333333337</v>
      </c>
      <c r="E1420" s="3">
        <v>13</v>
      </c>
      <c r="F1420" s="190">
        <v>9.9</v>
      </c>
      <c r="H1420" s="3">
        <v>16</v>
      </c>
      <c r="L1420" s="66"/>
    </row>
    <row r="1421" spans="2:12" ht="15.75" customHeight="1" x14ac:dyDescent="0.2">
      <c r="C1421" s="15">
        <v>34933</v>
      </c>
      <c r="D1421" s="185">
        <v>0.52083333333333337</v>
      </c>
      <c r="E1421" s="3">
        <v>14</v>
      </c>
      <c r="F1421" s="190">
        <v>10</v>
      </c>
      <c r="H1421" s="3">
        <v>12.4</v>
      </c>
      <c r="L1421" s="66"/>
    </row>
    <row r="1422" spans="2:12" ht="15.75" customHeight="1" x14ac:dyDescent="0.2">
      <c r="C1422" s="15">
        <v>34933</v>
      </c>
      <c r="D1422" s="185">
        <v>0.52083333333333337</v>
      </c>
      <c r="E1422" s="3">
        <v>16</v>
      </c>
      <c r="F1422" s="190">
        <v>10.199999999999999</v>
      </c>
      <c r="H1422" s="3">
        <v>9.5</v>
      </c>
      <c r="L1422" s="66"/>
    </row>
    <row r="1423" spans="2:12" ht="15.75" customHeight="1" x14ac:dyDescent="0.2">
      <c r="C1423" s="15">
        <v>34933</v>
      </c>
      <c r="D1423" s="185">
        <v>0.52083333333333337</v>
      </c>
      <c r="E1423" s="3">
        <v>18</v>
      </c>
      <c r="F1423" s="190">
        <v>10.199999999999999</v>
      </c>
      <c r="H1423" s="3">
        <v>8.1</v>
      </c>
      <c r="L1423" s="66"/>
    </row>
    <row r="1424" spans="2:12" ht="15.75" customHeight="1" x14ac:dyDescent="0.2">
      <c r="C1424" s="15">
        <v>34933</v>
      </c>
      <c r="D1424" s="185">
        <v>0.52083333333333337</v>
      </c>
      <c r="E1424" s="3">
        <v>20</v>
      </c>
      <c r="F1424" s="190">
        <v>10</v>
      </c>
      <c r="H1424" s="3">
        <v>7.2</v>
      </c>
      <c r="L1424" s="66"/>
    </row>
    <row r="1425" spans="2:12" ht="15.75" customHeight="1" x14ac:dyDescent="0.2">
      <c r="C1425" s="15">
        <v>34933</v>
      </c>
      <c r="D1425" s="185">
        <v>0.52083333333333337</v>
      </c>
      <c r="E1425" s="3">
        <v>30</v>
      </c>
      <c r="F1425" s="190">
        <v>9.9</v>
      </c>
      <c r="H1425" s="3">
        <v>6</v>
      </c>
      <c r="L1425" s="66"/>
    </row>
    <row r="1426" spans="2:12" ht="15.75" customHeight="1" x14ac:dyDescent="0.2">
      <c r="C1426" s="15">
        <v>34933</v>
      </c>
      <c r="D1426" s="185">
        <v>0.52083333333333337</v>
      </c>
      <c r="E1426" s="3">
        <v>40</v>
      </c>
      <c r="F1426" s="190">
        <v>9.6999999999999993</v>
      </c>
      <c r="H1426" s="3">
        <v>5.6</v>
      </c>
      <c r="L1426" s="66"/>
    </row>
    <row r="1427" spans="2:12" ht="15.75" customHeight="1" x14ac:dyDescent="0.2">
      <c r="C1427" s="15">
        <v>34933</v>
      </c>
      <c r="D1427" s="185">
        <v>0.52083333333333337</v>
      </c>
      <c r="E1427" s="3">
        <v>50</v>
      </c>
      <c r="F1427" s="190">
        <v>9.6</v>
      </c>
      <c r="H1427" s="3">
        <v>5.3</v>
      </c>
      <c r="L1427" s="66"/>
    </row>
    <row r="1428" spans="2:12" ht="15.75" customHeight="1" x14ac:dyDescent="0.2">
      <c r="C1428" s="15">
        <v>34933</v>
      </c>
      <c r="D1428" s="185">
        <v>0.52083333333333337</v>
      </c>
      <c r="E1428" s="3">
        <v>60</v>
      </c>
      <c r="F1428" s="190">
        <v>9.6999999999999993</v>
      </c>
      <c r="H1428" s="3">
        <v>5</v>
      </c>
      <c r="L1428" s="66"/>
    </row>
    <row r="1429" spans="2:12" ht="15.75" customHeight="1" x14ac:dyDescent="0.2">
      <c r="C1429" s="15">
        <v>34933</v>
      </c>
      <c r="D1429" s="185">
        <v>0.52083333333333337</v>
      </c>
      <c r="E1429" s="3">
        <v>70</v>
      </c>
      <c r="F1429" s="190">
        <v>9.6999999999999993</v>
      </c>
      <c r="H1429" s="3">
        <v>4.9000000000000004</v>
      </c>
      <c r="L1429" s="66"/>
    </row>
    <row r="1430" spans="2:12" ht="15.75" customHeight="1" x14ac:dyDescent="0.2">
      <c r="C1430" s="15">
        <v>34933</v>
      </c>
      <c r="D1430" s="185">
        <v>0.52083333333333337</v>
      </c>
      <c r="E1430" s="3">
        <v>80</v>
      </c>
      <c r="F1430" s="190">
        <v>9.6</v>
      </c>
      <c r="H1430" s="3">
        <v>4.8</v>
      </c>
      <c r="L1430" s="66"/>
    </row>
    <row r="1431" spans="2:12" ht="15.75" customHeight="1" x14ac:dyDescent="0.2">
      <c r="C1431" s="15">
        <v>34933</v>
      </c>
      <c r="D1431" s="185">
        <v>0.52083333333333337</v>
      </c>
      <c r="E1431" s="3">
        <v>82</v>
      </c>
      <c r="F1431" s="190">
        <v>9.6</v>
      </c>
      <c r="H1431" s="3">
        <v>4.7</v>
      </c>
      <c r="L1431" s="66"/>
    </row>
    <row r="1432" spans="2:12" ht="15.75" customHeight="1" x14ac:dyDescent="0.2">
      <c r="C1432" s="3"/>
      <c r="E1432" s="3"/>
      <c r="H1432" s="3"/>
      <c r="L1432" s="66"/>
    </row>
    <row r="1433" spans="2:12" ht="15.75" customHeight="1" x14ac:dyDescent="0.2">
      <c r="B1433" s="252" t="s">
        <v>618</v>
      </c>
      <c r="C1433" s="15">
        <v>34907</v>
      </c>
      <c r="D1433" s="185">
        <v>0.58333333333333337</v>
      </c>
      <c r="E1433" s="3"/>
      <c r="H1433" s="3"/>
      <c r="J1433">
        <v>11.5</v>
      </c>
      <c r="L1433" s="66" t="s">
        <v>619</v>
      </c>
    </row>
    <row r="1434" spans="2:12" ht="15.75" customHeight="1" x14ac:dyDescent="0.2">
      <c r="C1434" s="15">
        <v>34907</v>
      </c>
      <c r="D1434" s="185">
        <v>0.58333333333333337</v>
      </c>
      <c r="E1434" s="3">
        <v>0.5</v>
      </c>
      <c r="F1434" s="190">
        <v>9.5</v>
      </c>
      <c r="H1434" s="3">
        <v>20.100000000000001</v>
      </c>
      <c r="L1434" s="66"/>
    </row>
    <row r="1435" spans="2:12" ht="15.75" customHeight="1" x14ac:dyDescent="0.2">
      <c r="C1435" s="15">
        <v>34907</v>
      </c>
      <c r="D1435" s="185">
        <v>0.58333333333333337</v>
      </c>
      <c r="E1435" s="3">
        <v>2</v>
      </c>
      <c r="F1435" s="190">
        <v>9.1</v>
      </c>
      <c r="H1435" s="3">
        <v>20.100000000000001</v>
      </c>
      <c r="L1435" s="66"/>
    </row>
    <row r="1436" spans="2:12" ht="15.75" customHeight="1" x14ac:dyDescent="0.2">
      <c r="C1436" s="15">
        <v>34907</v>
      </c>
      <c r="D1436" s="185">
        <v>0.58333333333333337</v>
      </c>
      <c r="E1436" s="3">
        <v>4</v>
      </c>
      <c r="F1436" s="190">
        <v>9</v>
      </c>
      <c r="H1436" s="3">
        <v>20.100000000000001</v>
      </c>
      <c r="L1436" s="66"/>
    </row>
    <row r="1437" spans="2:12" ht="15.75" customHeight="1" x14ac:dyDescent="0.2">
      <c r="C1437" s="15">
        <v>34907</v>
      </c>
      <c r="D1437" s="185">
        <v>0.58333333333333337</v>
      </c>
      <c r="E1437" s="3">
        <v>6</v>
      </c>
      <c r="F1437" s="190">
        <v>9</v>
      </c>
      <c r="H1437" s="3">
        <v>19.7</v>
      </c>
      <c r="L1437" s="66"/>
    </row>
    <row r="1438" spans="2:12" ht="15.75" customHeight="1" x14ac:dyDescent="0.2">
      <c r="C1438" s="15">
        <v>34907</v>
      </c>
      <c r="D1438" s="185">
        <v>0.58333333333333337</v>
      </c>
      <c r="E1438" s="3">
        <v>8</v>
      </c>
      <c r="F1438" s="190">
        <v>10</v>
      </c>
      <c r="H1438" s="3">
        <v>15.7</v>
      </c>
      <c r="L1438" s="66"/>
    </row>
    <row r="1439" spans="2:12" ht="15.75" customHeight="1" x14ac:dyDescent="0.2">
      <c r="C1439" s="15">
        <v>34907</v>
      </c>
      <c r="D1439" s="185">
        <v>0.58333333333333337</v>
      </c>
      <c r="E1439" s="3">
        <v>10</v>
      </c>
      <c r="F1439" s="190">
        <v>10.5</v>
      </c>
      <c r="H1439" s="3">
        <v>12.8</v>
      </c>
      <c r="L1439" s="66"/>
    </row>
    <row r="1440" spans="2:12" ht="15.75" customHeight="1" x14ac:dyDescent="0.2">
      <c r="C1440" s="15">
        <v>34907</v>
      </c>
      <c r="D1440" s="185">
        <v>0.58333333333333337</v>
      </c>
      <c r="E1440" s="3">
        <v>12</v>
      </c>
      <c r="F1440" s="190">
        <v>10.6</v>
      </c>
      <c r="H1440" s="3">
        <v>11.5</v>
      </c>
      <c r="L1440" s="66"/>
    </row>
    <row r="1441" spans="2:12" ht="15.75" customHeight="1" x14ac:dyDescent="0.2">
      <c r="C1441" s="15">
        <v>34907</v>
      </c>
      <c r="D1441" s="185">
        <v>0.58333333333333337</v>
      </c>
      <c r="E1441" s="3">
        <v>14</v>
      </c>
      <c r="F1441" s="190">
        <v>10.7</v>
      </c>
      <c r="H1441" s="3">
        <v>10.1</v>
      </c>
      <c r="L1441" s="66"/>
    </row>
    <row r="1442" spans="2:12" ht="15.75" customHeight="1" x14ac:dyDescent="0.2">
      <c r="C1442" s="15">
        <v>34907</v>
      </c>
      <c r="D1442" s="185">
        <v>0.58333333333333337</v>
      </c>
      <c r="E1442" s="3">
        <v>16</v>
      </c>
      <c r="F1442" s="190">
        <v>10.4</v>
      </c>
      <c r="H1442" s="3">
        <v>9.6</v>
      </c>
      <c r="L1442" s="66"/>
    </row>
    <row r="1443" spans="2:12" ht="15.75" customHeight="1" x14ac:dyDescent="0.2">
      <c r="C1443" s="15">
        <v>34907</v>
      </c>
      <c r="D1443" s="185">
        <v>0.58333333333333337</v>
      </c>
      <c r="E1443" s="3">
        <v>18</v>
      </c>
      <c r="F1443" s="190">
        <v>10.8</v>
      </c>
      <c r="H1443" s="3">
        <v>7.2</v>
      </c>
      <c r="L1443" s="66"/>
    </row>
    <row r="1444" spans="2:12" ht="15.75" customHeight="1" x14ac:dyDescent="0.2">
      <c r="C1444" s="15">
        <v>34907</v>
      </c>
      <c r="D1444" s="185">
        <v>0.58333333333333337</v>
      </c>
      <c r="E1444" s="3">
        <v>20</v>
      </c>
      <c r="F1444" s="190">
        <v>10.6</v>
      </c>
      <c r="H1444" s="3">
        <v>6.9</v>
      </c>
      <c r="L1444" s="66"/>
    </row>
    <row r="1445" spans="2:12" ht="15.75" customHeight="1" x14ac:dyDescent="0.2">
      <c r="C1445" s="3"/>
      <c r="E1445" s="3"/>
      <c r="H1445" s="3"/>
      <c r="L1445" s="66"/>
    </row>
    <row r="1446" spans="2:12" ht="15.75" customHeight="1" x14ac:dyDescent="0.2">
      <c r="B1446" s="252" t="s">
        <v>620</v>
      </c>
      <c r="C1446" s="15">
        <v>34886</v>
      </c>
      <c r="D1446" s="185">
        <v>0.5</v>
      </c>
      <c r="E1446" s="3"/>
      <c r="H1446" s="3"/>
      <c r="J1446">
        <v>8.3000000000000007</v>
      </c>
      <c r="L1446" s="66"/>
    </row>
    <row r="1447" spans="2:12" ht="15.75" customHeight="1" x14ac:dyDescent="0.2">
      <c r="C1447" s="15">
        <v>34886</v>
      </c>
      <c r="D1447" s="185">
        <v>0.5</v>
      </c>
      <c r="E1447" s="3">
        <v>0.5</v>
      </c>
      <c r="F1447" s="190">
        <v>9.6</v>
      </c>
      <c r="H1447" s="3">
        <v>18.600000000000001</v>
      </c>
      <c r="L1447" s="66"/>
    </row>
    <row r="1448" spans="2:12" ht="15.75" customHeight="1" x14ac:dyDescent="0.2">
      <c r="C1448" s="15">
        <v>34886</v>
      </c>
      <c r="D1448" s="185">
        <v>0.5</v>
      </c>
      <c r="E1448" s="3">
        <v>2</v>
      </c>
      <c r="F1448" s="190">
        <v>9.6</v>
      </c>
      <c r="H1448" s="3">
        <v>17.7</v>
      </c>
      <c r="L1448" s="66"/>
    </row>
    <row r="1449" spans="2:12" ht="15.75" customHeight="1" x14ac:dyDescent="0.2">
      <c r="C1449" s="15">
        <v>34886</v>
      </c>
      <c r="D1449" s="185">
        <v>0.5</v>
      </c>
      <c r="E1449" s="3">
        <v>4</v>
      </c>
      <c r="F1449" s="190">
        <v>9.5</v>
      </c>
      <c r="H1449" s="3">
        <v>17.600000000000001</v>
      </c>
      <c r="L1449" s="66"/>
    </row>
    <row r="1450" spans="2:12" ht="15.75" customHeight="1" x14ac:dyDescent="0.2">
      <c r="C1450" s="15">
        <v>34886</v>
      </c>
      <c r="D1450" s="185">
        <v>0.5</v>
      </c>
      <c r="E1450" s="3">
        <v>6</v>
      </c>
      <c r="F1450" s="190">
        <v>9.9</v>
      </c>
      <c r="H1450" s="3">
        <v>15.9</v>
      </c>
      <c r="L1450" s="66"/>
    </row>
    <row r="1451" spans="2:12" ht="15.75" customHeight="1" x14ac:dyDescent="0.2">
      <c r="C1451" s="15">
        <v>34886</v>
      </c>
      <c r="D1451" s="185">
        <v>0.5</v>
      </c>
      <c r="E1451" s="3">
        <v>8</v>
      </c>
      <c r="F1451" s="190">
        <v>10.3</v>
      </c>
      <c r="H1451" s="3">
        <v>14.1</v>
      </c>
      <c r="L1451" s="66"/>
    </row>
    <row r="1452" spans="2:12" ht="15.75" customHeight="1" x14ac:dyDescent="0.2">
      <c r="C1452" s="15">
        <v>34886</v>
      </c>
      <c r="D1452" s="185">
        <v>0.5</v>
      </c>
      <c r="E1452" s="3">
        <v>10</v>
      </c>
      <c r="F1452" s="190">
        <v>10.3</v>
      </c>
      <c r="H1452" s="3">
        <v>13.3</v>
      </c>
      <c r="L1452" s="66"/>
    </row>
    <row r="1453" spans="2:12" ht="15.75" customHeight="1" x14ac:dyDescent="0.2">
      <c r="C1453" s="15">
        <v>34886</v>
      </c>
      <c r="D1453" s="185">
        <v>0.5</v>
      </c>
      <c r="E1453" s="3">
        <v>12</v>
      </c>
      <c r="F1453" s="190">
        <v>10.5</v>
      </c>
      <c r="H1453" s="3">
        <v>12.2</v>
      </c>
      <c r="L1453" s="66"/>
    </row>
    <row r="1454" spans="2:12" ht="15.75" customHeight="1" x14ac:dyDescent="0.2">
      <c r="C1454" s="15">
        <v>34886</v>
      </c>
      <c r="D1454" s="185">
        <v>0.5</v>
      </c>
      <c r="E1454" s="3">
        <v>14</v>
      </c>
      <c r="F1454" s="190">
        <v>10.8</v>
      </c>
      <c r="H1454" s="3">
        <v>10.5</v>
      </c>
      <c r="L1454" s="66"/>
    </row>
    <row r="1455" spans="2:12" ht="15.75" customHeight="1" x14ac:dyDescent="0.2">
      <c r="C1455" s="15">
        <v>34886</v>
      </c>
      <c r="D1455" s="185">
        <v>0.5</v>
      </c>
      <c r="E1455" s="3">
        <v>16</v>
      </c>
      <c r="F1455" s="190">
        <v>10.9</v>
      </c>
      <c r="H1455" s="3">
        <v>9</v>
      </c>
      <c r="L1455" s="66"/>
    </row>
    <row r="1456" spans="2:12" ht="15.75" customHeight="1" x14ac:dyDescent="0.2">
      <c r="C1456" s="15">
        <v>34886</v>
      </c>
      <c r="D1456" s="185">
        <v>0.5</v>
      </c>
      <c r="E1456" s="3">
        <v>18</v>
      </c>
      <c r="F1456" s="190">
        <v>11</v>
      </c>
      <c r="H1456" s="3">
        <v>7.9</v>
      </c>
      <c r="L1456" s="66"/>
    </row>
    <row r="1457" spans="2:12" ht="15.75" customHeight="1" x14ac:dyDescent="0.2">
      <c r="C1457" s="15">
        <v>34886</v>
      </c>
      <c r="D1457" s="185">
        <v>0.5</v>
      </c>
      <c r="E1457" s="3">
        <v>20</v>
      </c>
      <c r="F1457" s="190">
        <v>10.9</v>
      </c>
      <c r="H1457" s="3">
        <v>7.2</v>
      </c>
      <c r="L1457" s="66"/>
    </row>
    <row r="1458" spans="2:12" ht="15.75" customHeight="1" x14ac:dyDescent="0.2">
      <c r="C1458" s="15">
        <v>34886</v>
      </c>
      <c r="D1458" s="185">
        <v>0.5</v>
      </c>
      <c r="E1458" s="3">
        <v>30</v>
      </c>
      <c r="F1458" s="190">
        <v>10.8</v>
      </c>
      <c r="H1458" s="3">
        <v>6.2</v>
      </c>
      <c r="L1458" s="66"/>
    </row>
    <row r="1459" spans="2:12" ht="15.75" customHeight="1" x14ac:dyDescent="0.2">
      <c r="C1459" s="15">
        <v>34886</v>
      </c>
      <c r="D1459" s="185">
        <v>0.5</v>
      </c>
      <c r="E1459" s="3">
        <v>40</v>
      </c>
      <c r="F1459" s="190">
        <v>10.9</v>
      </c>
      <c r="H1459" s="3">
        <v>5.4</v>
      </c>
      <c r="L1459" s="66"/>
    </row>
    <row r="1460" spans="2:12" ht="15.75" customHeight="1" x14ac:dyDescent="0.2">
      <c r="C1460" s="15">
        <v>34886</v>
      </c>
      <c r="D1460" s="185">
        <v>0.5</v>
      </c>
      <c r="E1460" s="3">
        <v>50</v>
      </c>
      <c r="F1460" s="190">
        <v>10.8</v>
      </c>
      <c r="H1460" s="3">
        <v>5.2</v>
      </c>
      <c r="L1460" s="66"/>
    </row>
    <row r="1461" spans="2:12" ht="15.75" customHeight="1" x14ac:dyDescent="0.2">
      <c r="C1461" s="15">
        <v>34886</v>
      </c>
      <c r="D1461" s="185">
        <v>0.5</v>
      </c>
      <c r="E1461" s="3">
        <v>60</v>
      </c>
      <c r="F1461" s="190">
        <v>10.8</v>
      </c>
      <c r="H1461" s="3">
        <v>4.8</v>
      </c>
      <c r="L1461" s="66"/>
    </row>
    <row r="1462" spans="2:12" ht="15.75" customHeight="1" x14ac:dyDescent="0.2">
      <c r="C1462" s="15">
        <v>34886</v>
      </c>
      <c r="D1462" s="185">
        <v>0.5</v>
      </c>
      <c r="E1462" s="3">
        <v>70</v>
      </c>
      <c r="F1462" s="190">
        <v>10.7</v>
      </c>
      <c r="H1462" s="3">
        <v>4.5999999999999996</v>
      </c>
      <c r="L1462" s="66"/>
    </row>
    <row r="1463" spans="2:12" ht="15.75" customHeight="1" x14ac:dyDescent="0.2">
      <c r="C1463" s="15">
        <v>34886</v>
      </c>
      <c r="D1463" s="185">
        <v>0.5</v>
      </c>
      <c r="E1463" s="3">
        <v>80</v>
      </c>
      <c r="F1463" s="190">
        <v>10.7</v>
      </c>
      <c r="H1463" s="3">
        <v>4.5</v>
      </c>
      <c r="L1463" s="66"/>
    </row>
    <row r="1464" spans="2:12" ht="15.75" customHeight="1" x14ac:dyDescent="0.2">
      <c r="C1464" s="15">
        <v>34886</v>
      </c>
      <c r="D1464" s="185">
        <v>0.5</v>
      </c>
      <c r="E1464" s="3">
        <v>90</v>
      </c>
      <c r="F1464" s="190">
        <v>10.6</v>
      </c>
      <c r="H1464" s="3">
        <v>4.4000000000000004</v>
      </c>
      <c r="L1464" s="66"/>
    </row>
    <row r="1465" spans="2:12" ht="15.75" customHeight="1" x14ac:dyDescent="0.2">
      <c r="C1465" s="3"/>
      <c r="E1465" s="3"/>
      <c r="H1465" s="3"/>
      <c r="L1465" s="66"/>
    </row>
    <row r="1466" spans="2:12" ht="15.75" customHeight="1" x14ac:dyDescent="0.2">
      <c r="B1466">
        <v>100</v>
      </c>
      <c r="C1466" s="15">
        <v>34863</v>
      </c>
      <c r="D1466" s="252" t="s">
        <v>611</v>
      </c>
      <c r="E1466" s="3"/>
      <c r="H1466" s="3"/>
      <c r="J1466">
        <v>6</v>
      </c>
      <c r="L1466" s="66"/>
    </row>
    <row r="1467" spans="2:12" ht="15.75" customHeight="1" x14ac:dyDescent="0.2">
      <c r="C1467" s="15">
        <v>34863</v>
      </c>
      <c r="D1467" s="252" t="s">
        <v>611</v>
      </c>
      <c r="E1467" s="3">
        <v>0.5</v>
      </c>
      <c r="F1467" s="190">
        <v>10.9</v>
      </c>
      <c r="H1467" s="3">
        <v>14.5</v>
      </c>
      <c r="L1467" s="66"/>
    </row>
    <row r="1468" spans="2:12" ht="15.75" customHeight="1" x14ac:dyDescent="0.2">
      <c r="C1468" s="15">
        <v>34863</v>
      </c>
      <c r="D1468" s="252" t="s">
        <v>611</v>
      </c>
      <c r="E1468" s="3">
        <v>10</v>
      </c>
      <c r="F1468" s="190">
        <v>11.6</v>
      </c>
      <c r="H1468" s="3">
        <v>11.3</v>
      </c>
      <c r="L1468" s="66"/>
    </row>
    <row r="1469" spans="2:12" ht="15.75" customHeight="1" x14ac:dyDescent="0.2">
      <c r="C1469" s="15">
        <v>34863</v>
      </c>
      <c r="D1469" s="252" t="s">
        <v>611</v>
      </c>
      <c r="E1469" s="3">
        <v>20</v>
      </c>
      <c r="F1469" s="190">
        <v>12.4</v>
      </c>
      <c r="H1469" s="3">
        <v>6</v>
      </c>
      <c r="L1469" s="66"/>
    </row>
    <row r="1470" spans="2:12" ht="15.75" customHeight="1" x14ac:dyDescent="0.2">
      <c r="C1470" s="15">
        <v>34863</v>
      </c>
      <c r="D1470" s="252" t="s">
        <v>611</v>
      </c>
      <c r="E1470" s="3">
        <v>30</v>
      </c>
      <c r="F1470" s="190">
        <v>12.1</v>
      </c>
      <c r="H1470" s="3">
        <v>5.4</v>
      </c>
      <c r="L1470" s="66"/>
    </row>
    <row r="1471" spans="2:12" ht="15.75" customHeight="1" x14ac:dyDescent="0.2">
      <c r="C1471" s="15">
        <v>34863</v>
      </c>
      <c r="D1471" s="252" t="s">
        <v>611</v>
      </c>
      <c r="E1471" s="3">
        <v>40</v>
      </c>
      <c r="F1471" s="190">
        <v>12</v>
      </c>
      <c r="H1471" s="3">
        <v>4.9000000000000004</v>
      </c>
      <c r="L1471" s="66"/>
    </row>
    <row r="1472" spans="2:12" ht="15.75" customHeight="1" x14ac:dyDescent="0.2">
      <c r="C1472" s="15">
        <v>34863</v>
      </c>
      <c r="D1472" s="252" t="s">
        <v>611</v>
      </c>
      <c r="E1472" s="3">
        <v>50</v>
      </c>
      <c r="F1472" s="190">
        <v>11.5</v>
      </c>
      <c r="H1472" s="3">
        <v>4.5999999999999996</v>
      </c>
      <c r="L1472" s="66"/>
    </row>
    <row r="1473" spans="2:12" ht="15.75" customHeight="1" x14ac:dyDescent="0.2">
      <c r="C1473" s="15">
        <v>34863</v>
      </c>
      <c r="D1473" s="252" t="s">
        <v>611</v>
      </c>
      <c r="E1473" s="3">
        <v>60</v>
      </c>
      <c r="F1473" s="190">
        <v>11.7</v>
      </c>
      <c r="H1473" s="3">
        <v>4.4000000000000004</v>
      </c>
      <c r="L1473" s="66"/>
    </row>
    <row r="1474" spans="2:12" ht="15.75" customHeight="1" x14ac:dyDescent="0.2">
      <c r="C1474" s="15">
        <v>34863</v>
      </c>
      <c r="D1474" s="252" t="s">
        <v>611</v>
      </c>
      <c r="E1474" s="3">
        <v>70</v>
      </c>
      <c r="F1474" s="190">
        <v>11.7</v>
      </c>
      <c r="H1474" s="3">
        <v>4.3</v>
      </c>
      <c r="L1474" s="66"/>
    </row>
    <row r="1475" spans="2:12" ht="15.75" customHeight="1" x14ac:dyDescent="0.2">
      <c r="C1475" s="15">
        <v>34863</v>
      </c>
      <c r="D1475" s="252" t="s">
        <v>611</v>
      </c>
      <c r="E1475" s="3">
        <v>82.8</v>
      </c>
      <c r="F1475" s="190">
        <v>11.5</v>
      </c>
      <c r="H1475" s="3">
        <v>4.0999999999999996</v>
      </c>
      <c r="I1475" s="252" t="s">
        <v>71</v>
      </c>
      <c r="L1475" s="66"/>
    </row>
    <row r="1476" spans="2:12" ht="15.75" customHeight="1" x14ac:dyDescent="0.2">
      <c r="C1476" s="15"/>
      <c r="D1476" s="252"/>
      <c r="E1476" s="3"/>
      <c r="H1476" s="3"/>
      <c r="I1476" s="252"/>
      <c r="L1476" s="66"/>
    </row>
    <row r="1477" spans="2:12" ht="15.75" customHeight="1" x14ac:dyDescent="0.2">
      <c r="B1477" s="252" t="s">
        <v>257</v>
      </c>
      <c r="C1477" s="15">
        <v>34842</v>
      </c>
      <c r="D1477" s="185">
        <v>0.46527777777777779</v>
      </c>
      <c r="E1477" s="3"/>
      <c r="H1477" s="3"/>
      <c r="J1477">
        <v>6.5</v>
      </c>
      <c r="L1477" s="66"/>
    </row>
    <row r="1478" spans="2:12" ht="15.75" customHeight="1" x14ac:dyDescent="0.2">
      <c r="C1478" s="15">
        <v>34842</v>
      </c>
      <c r="D1478" s="185">
        <v>0.46527777777777779</v>
      </c>
      <c r="E1478" s="3">
        <v>0.5</v>
      </c>
      <c r="F1478" s="190">
        <v>11.1</v>
      </c>
      <c r="H1478" s="3">
        <v>12.7</v>
      </c>
      <c r="L1478" s="66"/>
    </row>
    <row r="1479" spans="2:12" ht="15.75" customHeight="1" x14ac:dyDescent="0.2">
      <c r="C1479" s="15">
        <v>34842</v>
      </c>
      <c r="D1479" s="185">
        <v>0.46527777777777779</v>
      </c>
      <c r="E1479" s="3">
        <v>10</v>
      </c>
      <c r="F1479" s="190">
        <v>11.8</v>
      </c>
      <c r="H1479" s="3">
        <v>9.5</v>
      </c>
      <c r="L1479" s="66"/>
    </row>
    <row r="1480" spans="2:12" ht="15.75" customHeight="1" x14ac:dyDescent="0.2">
      <c r="C1480" s="15">
        <v>34842</v>
      </c>
      <c r="D1480" s="185">
        <v>0.46527777777777779</v>
      </c>
      <c r="E1480" s="3">
        <v>20</v>
      </c>
      <c r="F1480" s="190">
        <v>12.1</v>
      </c>
      <c r="H1480" s="3">
        <v>6.2</v>
      </c>
      <c r="L1480" s="66"/>
    </row>
    <row r="1481" spans="2:12" ht="15.75" customHeight="1" x14ac:dyDescent="0.2">
      <c r="C1481" s="15">
        <v>34842</v>
      </c>
      <c r="D1481" s="185">
        <v>0.46527777777777779</v>
      </c>
      <c r="E1481" s="3">
        <v>30</v>
      </c>
      <c r="F1481" s="190">
        <v>11.8</v>
      </c>
      <c r="H1481" s="3">
        <v>5.3</v>
      </c>
      <c r="L1481" s="66"/>
    </row>
    <row r="1482" spans="2:12" ht="15.75" customHeight="1" x14ac:dyDescent="0.2">
      <c r="C1482" s="15">
        <v>34842</v>
      </c>
      <c r="D1482" s="185">
        <v>0.46527777777777779</v>
      </c>
      <c r="E1482" s="3">
        <v>40</v>
      </c>
      <c r="F1482" s="190">
        <v>11.5</v>
      </c>
      <c r="H1482" s="3">
        <v>4.8</v>
      </c>
      <c r="L1482" s="66"/>
    </row>
    <row r="1483" spans="2:12" ht="15.75" customHeight="1" x14ac:dyDescent="0.2">
      <c r="C1483" s="15">
        <v>34842</v>
      </c>
      <c r="D1483" s="185">
        <v>0.46527777777777779</v>
      </c>
      <c r="E1483" s="3">
        <v>50</v>
      </c>
      <c r="F1483" s="190">
        <v>11.4</v>
      </c>
      <c r="H1483" s="3">
        <v>4.5999999999999996</v>
      </c>
      <c r="L1483" s="66"/>
    </row>
    <row r="1484" spans="2:12" ht="15.75" customHeight="1" x14ac:dyDescent="0.2">
      <c r="C1484" s="15">
        <v>34842</v>
      </c>
      <c r="D1484" s="185">
        <v>0.46527777777777779</v>
      </c>
      <c r="E1484" s="3">
        <v>60</v>
      </c>
      <c r="F1484" s="190">
        <v>11.4</v>
      </c>
      <c r="H1484" s="3">
        <v>4.3</v>
      </c>
      <c r="L1484" s="66"/>
    </row>
    <row r="1485" spans="2:12" ht="15.75" customHeight="1" x14ac:dyDescent="0.2">
      <c r="C1485" s="15">
        <v>34842</v>
      </c>
      <c r="D1485" s="185">
        <v>0.46527777777777779</v>
      </c>
      <c r="E1485" s="3">
        <v>70</v>
      </c>
      <c r="F1485" s="190">
        <v>11.4</v>
      </c>
      <c r="H1485" s="3">
        <v>4.2</v>
      </c>
      <c r="L1485" s="66"/>
    </row>
    <row r="1486" spans="2:12" ht="15.75" customHeight="1" x14ac:dyDescent="0.2">
      <c r="C1486" s="15">
        <v>34842</v>
      </c>
      <c r="D1486" s="185">
        <v>0.46527777777777779</v>
      </c>
      <c r="E1486" s="3">
        <v>80</v>
      </c>
      <c r="F1486" s="190">
        <v>11.2</v>
      </c>
      <c r="H1486" s="3">
        <v>4.0999999999999996</v>
      </c>
      <c r="L1486" s="66"/>
    </row>
    <row r="1487" spans="2:12" ht="15.75" customHeight="1" x14ac:dyDescent="0.2">
      <c r="C1487" s="15">
        <v>34842</v>
      </c>
      <c r="D1487" s="185">
        <v>0.46527777777777779</v>
      </c>
      <c r="E1487" s="3">
        <v>90</v>
      </c>
      <c r="F1487" s="190">
        <v>10.9</v>
      </c>
      <c r="H1487" s="3">
        <v>4</v>
      </c>
      <c r="L1487" s="66"/>
    </row>
    <row r="1488" spans="2:12" ht="15.75" customHeight="1" x14ac:dyDescent="0.2">
      <c r="C1488" s="3"/>
      <c r="E1488" s="3"/>
      <c r="H1488" s="3"/>
      <c r="L1488" s="66"/>
    </row>
    <row r="1489" spans="2:12" ht="15.75" customHeight="1" x14ac:dyDescent="0.2">
      <c r="B1489" s="252" t="s">
        <v>621</v>
      </c>
      <c r="C1489" s="15">
        <v>34823</v>
      </c>
      <c r="D1489" s="185">
        <v>0.39583333333333331</v>
      </c>
      <c r="E1489" s="3"/>
      <c r="H1489" s="3"/>
      <c r="J1489" s="252" t="s">
        <v>257</v>
      </c>
      <c r="L1489" s="66"/>
    </row>
    <row r="1490" spans="2:12" ht="15.75" customHeight="1" x14ac:dyDescent="0.2">
      <c r="C1490" s="15">
        <v>34823</v>
      </c>
      <c r="D1490" s="185">
        <v>0.39583333333333331</v>
      </c>
      <c r="E1490" s="3">
        <v>0.5</v>
      </c>
      <c r="F1490" s="190">
        <v>12.5</v>
      </c>
      <c r="H1490" s="3">
        <v>7.1</v>
      </c>
      <c r="L1490" s="66"/>
    </row>
    <row r="1491" spans="2:12" ht="15.75" customHeight="1" x14ac:dyDescent="0.2">
      <c r="C1491" s="15">
        <v>34823</v>
      </c>
      <c r="D1491" s="185">
        <v>0.39583333333333331</v>
      </c>
      <c r="E1491" s="3">
        <v>10</v>
      </c>
      <c r="F1491" s="190">
        <v>12.2</v>
      </c>
      <c r="H1491" s="3">
        <v>6.7</v>
      </c>
      <c r="L1491" s="66"/>
    </row>
    <row r="1492" spans="2:12" ht="15.75" customHeight="1" x14ac:dyDescent="0.2">
      <c r="C1492" s="15">
        <v>34823</v>
      </c>
      <c r="D1492" s="185">
        <v>0.39583333333333331</v>
      </c>
      <c r="E1492" s="3">
        <v>20</v>
      </c>
      <c r="F1492" s="190">
        <v>12.2</v>
      </c>
      <c r="H1492" s="3">
        <v>5.0999999999999996</v>
      </c>
      <c r="L1492" s="66"/>
    </row>
    <row r="1493" spans="2:12" ht="15.75" customHeight="1" x14ac:dyDescent="0.2">
      <c r="C1493" s="15">
        <v>34823</v>
      </c>
      <c r="D1493" s="185">
        <v>0.39583333333333331</v>
      </c>
      <c r="E1493" s="3">
        <v>30</v>
      </c>
      <c r="F1493" s="190">
        <v>12.1</v>
      </c>
      <c r="H1493" s="3">
        <v>4.5999999999999996</v>
      </c>
      <c r="L1493" s="66"/>
    </row>
    <row r="1494" spans="2:12" ht="15.75" customHeight="1" x14ac:dyDescent="0.2">
      <c r="C1494" s="15">
        <v>34823</v>
      </c>
      <c r="D1494" s="185">
        <v>0.39583333333333331</v>
      </c>
      <c r="E1494" s="3">
        <v>40</v>
      </c>
      <c r="F1494" s="190">
        <v>12</v>
      </c>
      <c r="H1494" s="3">
        <v>4.3</v>
      </c>
      <c r="L1494" s="66"/>
    </row>
    <row r="1495" spans="2:12" ht="15.75" customHeight="1" x14ac:dyDescent="0.2">
      <c r="C1495" s="15">
        <v>34823</v>
      </c>
      <c r="D1495" s="185">
        <v>0.39583333333333331</v>
      </c>
      <c r="E1495" s="3">
        <v>50</v>
      </c>
      <c r="F1495" s="190">
        <v>11.9</v>
      </c>
      <c r="H1495" s="3">
        <v>4.0999999999999996</v>
      </c>
      <c r="L1495" s="66"/>
    </row>
    <row r="1496" spans="2:12" ht="15.75" customHeight="1" x14ac:dyDescent="0.2">
      <c r="C1496" s="15">
        <v>34823</v>
      </c>
      <c r="D1496" s="185">
        <v>0.39583333333333331</v>
      </c>
      <c r="E1496" s="3">
        <v>60</v>
      </c>
      <c r="F1496" s="190">
        <v>11.8</v>
      </c>
      <c r="H1496" s="3">
        <v>4</v>
      </c>
      <c r="L1496" s="66"/>
    </row>
    <row r="1497" spans="2:12" ht="15.75" customHeight="1" x14ac:dyDescent="0.2">
      <c r="C1497" s="15">
        <v>34823</v>
      </c>
      <c r="D1497" s="185">
        <v>0.39583333333333331</v>
      </c>
      <c r="E1497" s="3">
        <v>70</v>
      </c>
      <c r="F1497" s="190">
        <v>11.8</v>
      </c>
      <c r="H1497" s="3">
        <v>3.9</v>
      </c>
      <c r="L1497" s="66"/>
    </row>
    <row r="1498" spans="2:12" ht="15.75" customHeight="1" x14ac:dyDescent="0.2">
      <c r="C1498" s="15">
        <v>34823</v>
      </c>
      <c r="D1498" s="185">
        <v>0.39583333333333331</v>
      </c>
      <c r="E1498" s="3">
        <v>80</v>
      </c>
      <c r="F1498" s="190">
        <v>11.8</v>
      </c>
      <c r="H1498" s="3">
        <v>3.9</v>
      </c>
      <c r="L1498" s="66"/>
    </row>
    <row r="1499" spans="2:12" ht="15.75" customHeight="1" x14ac:dyDescent="0.2">
      <c r="C1499" s="15">
        <v>34823</v>
      </c>
      <c r="D1499" s="185">
        <v>0.39583333333333331</v>
      </c>
      <c r="E1499" s="3">
        <v>90</v>
      </c>
      <c r="F1499" s="190">
        <v>11.7</v>
      </c>
      <c r="H1499" s="3">
        <v>3.9</v>
      </c>
      <c r="L1499" s="66"/>
    </row>
    <row r="1500" spans="2:12" ht="15.75" customHeight="1" x14ac:dyDescent="0.2">
      <c r="C1500" s="3"/>
      <c r="E1500" s="3"/>
      <c r="H1500" s="3"/>
      <c r="L1500" s="66"/>
    </row>
    <row r="1501" spans="2:12" ht="15.75" customHeight="1" x14ac:dyDescent="0.2">
      <c r="B1501" s="252" t="s">
        <v>257</v>
      </c>
      <c r="C1501" s="15">
        <v>34802</v>
      </c>
      <c r="D1501" s="185">
        <v>0.375</v>
      </c>
      <c r="E1501" s="3"/>
      <c r="H1501" s="3"/>
      <c r="J1501">
        <v>8</v>
      </c>
      <c r="L1501" s="66"/>
    </row>
    <row r="1502" spans="2:12" ht="15.75" customHeight="1" x14ac:dyDescent="0.2">
      <c r="C1502" s="15">
        <v>34802</v>
      </c>
      <c r="D1502" s="185">
        <v>0.375</v>
      </c>
      <c r="E1502" s="3">
        <v>0.5</v>
      </c>
      <c r="F1502" s="190">
        <v>13.1</v>
      </c>
      <c r="H1502" s="3">
        <v>3.9</v>
      </c>
      <c r="L1502" s="66"/>
    </row>
    <row r="1503" spans="2:12" ht="15.75" customHeight="1" x14ac:dyDescent="0.2">
      <c r="C1503" s="15">
        <v>34802</v>
      </c>
      <c r="D1503" s="185">
        <v>0.375</v>
      </c>
      <c r="E1503" s="3">
        <v>10</v>
      </c>
      <c r="F1503" s="190">
        <v>12.5</v>
      </c>
      <c r="H1503" s="3">
        <v>3.9</v>
      </c>
      <c r="L1503" s="66"/>
    </row>
    <row r="1504" spans="2:12" ht="15.75" customHeight="1" x14ac:dyDescent="0.2">
      <c r="C1504" s="3"/>
      <c r="E1504" s="3"/>
      <c r="H1504" s="3"/>
      <c r="L1504" s="66"/>
    </row>
    <row r="1505" spans="2:12" ht="15.75" customHeight="1" x14ac:dyDescent="0.2">
      <c r="B1505" s="252" t="s">
        <v>622</v>
      </c>
      <c r="C1505" s="15">
        <v>34781</v>
      </c>
      <c r="D1505" s="185">
        <v>0.36458333333333331</v>
      </c>
      <c r="E1505" s="3"/>
      <c r="H1505" s="3"/>
      <c r="J1505">
        <v>11.5</v>
      </c>
      <c r="L1505" s="66"/>
    </row>
    <row r="1506" spans="2:12" ht="15.75" customHeight="1" x14ac:dyDescent="0.2">
      <c r="C1506" s="3"/>
      <c r="D1506" s="252" t="s">
        <v>603</v>
      </c>
      <c r="E1506" s="3"/>
      <c r="H1506" s="3"/>
      <c r="L1506" s="66"/>
    </row>
    <row r="1507" spans="2:12" ht="15.75" customHeight="1" x14ac:dyDescent="0.2">
      <c r="C1507" s="3"/>
      <c r="E1507" s="3"/>
      <c r="H1507" s="3"/>
      <c r="L1507" s="66"/>
    </row>
    <row r="1508" spans="2:12" ht="15.75" customHeight="1" x14ac:dyDescent="0.2">
      <c r="B1508" s="252" t="s">
        <v>624</v>
      </c>
      <c r="C1508" s="15">
        <v>34758</v>
      </c>
      <c r="D1508" s="185">
        <v>0.46875</v>
      </c>
      <c r="E1508" s="3"/>
      <c r="H1508" s="3"/>
      <c r="J1508">
        <v>13</v>
      </c>
      <c r="L1508" s="66"/>
    </row>
    <row r="1509" spans="2:12" ht="15.75" customHeight="1" x14ac:dyDescent="0.2">
      <c r="C1509" s="15">
        <v>34758</v>
      </c>
      <c r="D1509" s="185">
        <v>0.46875</v>
      </c>
      <c r="E1509" s="3">
        <v>0.5</v>
      </c>
      <c r="F1509" s="190">
        <v>12</v>
      </c>
      <c r="H1509" s="3">
        <v>2.6</v>
      </c>
      <c r="L1509" s="66"/>
    </row>
    <row r="1510" spans="2:12" ht="15.75" customHeight="1" x14ac:dyDescent="0.2">
      <c r="C1510" s="3"/>
      <c r="E1510" s="3" t="s">
        <v>623</v>
      </c>
      <c r="H1510" s="3"/>
      <c r="L1510" s="66"/>
    </row>
    <row r="1511" spans="2:12" ht="15.75" customHeight="1" x14ac:dyDescent="0.2">
      <c r="C1511" s="3"/>
      <c r="E1511" s="3"/>
      <c r="H1511" s="3"/>
      <c r="L1511" s="66"/>
    </row>
    <row r="1512" spans="2:12" ht="15.75" customHeight="1" x14ac:dyDescent="0.2">
      <c r="B1512">
        <v>95.5</v>
      </c>
      <c r="C1512" s="15">
        <v>34612</v>
      </c>
      <c r="D1512" s="185">
        <v>0.61111111111111116</v>
      </c>
      <c r="E1512" s="3"/>
      <c r="H1512" s="3"/>
      <c r="J1512">
        <v>11.2</v>
      </c>
      <c r="L1512" s="66"/>
    </row>
    <row r="1513" spans="2:12" ht="15.75" customHeight="1" x14ac:dyDescent="0.2">
      <c r="C1513" s="15">
        <v>34612</v>
      </c>
      <c r="D1513" s="185">
        <v>0.61111111111111116</v>
      </c>
      <c r="E1513" s="3">
        <v>0.5</v>
      </c>
      <c r="F1513" s="190">
        <v>9.6999999999999993</v>
      </c>
      <c r="H1513" s="3">
        <v>16.600000000000001</v>
      </c>
      <c r="L1513" s="66"/>
    </row>
    <row r="1514" spans="2:12" ht="15.75" customHeight="1" x14ac:dyDescent="0.2">
      <c r="C1514" s="15">
        <v>34612</v>
      </c>
      <c r="D1514" s="185">
        <v>0.61111111111111116</v>
      </c>
      <c r="E1514" s="3">
        <v>2</v>
      </c>
      <c r="F1514" s="190">
        <v>9.3000000000000007</v>
      </c>
      <c r="H1514" s="3">
        <v>16.600000000000001</v>
      </c>
      <c r="L1514" s="66"/>
    </row>
    <row r="1515" spans="2:12" ht="15.75" customHeight="1" x14ac:dyDescent="0.2">
      <c r="C1515" s="15">
        <v>34612</v>
      </c>
      <c r="D1515" s="185">
        <v>0.61111111111111116</v>
      </c>
      <c r="E1515" s="3">
        <v>4</v>
      </c>
      <c r="F1515" s="190">
        <v>9.1999999999999993</v>
      </c>
      <c r="H1515" s="3">
        <v>16.5</v>
      </c>
      <c r="L1515" s="66"/>
    </row>
    <row r="1516" spans="2:12" ht="15.75" customHeight="1" x14ac:dyDescent="0.2">
      <c r="C1516" s="15">
        <v>34612</v>
      </c>
      <c r="D1516" s="185">
        <v>0.61111111111111116</v>
      </c>
      <c r="E1516" s="3">
        <v>6</v>
      </c>
      <c r="F1516" s="190">
        <v>9.1</v>
      </c>
      <c r="H1516" s="3">
        <v>16.5</v>
      </c>
      <c r="L1516" s="66"/>
    </row>
    <row r="1517" spans="2:12" ht="15.75" customHeight="1" x14ac:dyDescent="0.2">
      <c r="C1517" s="15">
        <v>34612</v>
      </c>
      <c r="D1517" s="185">
        <v>0.61111111111111116</v>
      </c>
      <c r="E1517" s="3">
        <v>8</v>
      </c>
      <c r="F1517" s="190">
        <v>9</v>
      </c>
      <c r="H1517" s="3">
        <v>16.5</v>
      </c>
      <c r="L1517" s="66"/>
    </row>
    <row r="1518" spans="2:12" ht="15.75" customHeight="1" x14ac:dyDescent="0.2">
      <c r="C1518" s="15">
        <v>34612</v>
      </c>
      <c r="D1518" s="185">
        <v>0.61111111111111116</v>
      </c>
      <c r="E1518" s="3">
        <v>10</v>
      </c>
      <c r="F1518" s="190">
        <v>9</v>
      </c>
      <c r="H1518" s="3">
        <v>16.399999999999999</v>
      </c>
      <c r="L1518" s="66"/>
    </row>
    <row r="1519" spans="2:12" ht="15.75" customHeight="1" x14ac:dyDescent="0.2">
      <c r="C1519" s="15">
        <v>34612</v>
      </c>
      <c r="D1519" s="185">
        <v>0.61111111111111116</v>
      </c>
      <c r="E1519" s="3">
        <v>12</v>
      </c>
      <c r="F1519" s="190">
        <v>9</v>
      </c>
      <c r="H1519" s="3">
        <v>16.399999999999999</v>
      </c>
      <c r="L1519" s="66"/>
    </row>
    <row r="1520" spans="2:12" ht="15.75" customHeight="1" x14ac:dyDescent="0.2">
      <c r="C1520" s="15">
        <v>34612</v>
      </c>
      <c r="D1520" s="185">
        <v>0.61111111111111116</v>
      </c>
      <c r="E1520" s="3">
        <v>13</v>
      </c>
      <c r="F1520" s="190">
        <v>8.9</v>
      </c>
      <c r="H1520" s="3">
        <v>16.100000000000001</v>
      </c>
      <c r="L1520" s="66"/>
    </row>
    <row r="1521" spans="2:12" ht="15.75" customHeight="1" x14ac:dyDescent="0.2">
      <c r="C1521" s="15">
        <v>34612</v>
      </c>
      <c r="D1521" s="185">
        <v>0.61111111111111116</v>
      </c>
      <c r="E1521" s="3">
        <v>14</v>
      </c>
      <c r="F1521" s="190">
        <v>10.4</v>
      </c>
      <c r="H1521" s="3">
        <v>12.4</v>
      </c>
      <c r="L1521" s="66"/>
    </row>
    <row r="1522" spans="2:12" ht="15.75" customHeight="1" x14ac:dyDescent="0.2">
      <c r="C1522" s="15">
        <v>34612</v>
      </c>
      <c r="D1522" s="185">
        <v>0.61111111111111116</v>
      </c>
      <c r="E1522" s="3">
        <v>16</v>
      </c>
      <c r="F1522" s="190">
        <v>11.1</v>
      </c>
      <c r="H1522" s="3">
        <v>9.1</v>
      </c>
      <c r="L1522" s="66"/>
    </row>
    <row r="1523" spans="2:12" ht="15.75" customHeight="1" x14ac:dyDescent="0.2">
      <c r="C1523" s="15">
        <v>34612</v>
      </c>
      <c r="D1523" s="185">
        <v>0.61111111111111116</v>
      </c>
      <c r="E1523" s="3">
        <v>18</v>
      </c>
      <c r="F1523" s="190">
        <v>11</v>
      </c>
      <c r="H1523" s="3">
        <v>7.8</v>
      </c>
      <c r="L1523" s="66"/>
    </row>
    <row r="1524" spans="2:12" ht="15.75" customHeight="1" x14ac:dyDescent="0.2">
      <c r="C1524" s="15">
        <v>34612</v>
      </c>
      <c r="D1524" s="185">
        <v>0.61111111111111116</v>
      </c>
      <c r="E1524" s="3">
        <v>20</v>
      </c>
      <c r="F1524" s="190">
        <v>10.6</v>
      </c>
      <c r="H1524" s="3">
        <v>6.9</v>
      </c>
      <c r="L1524" s="66"/>
    </row>
    <row r="1525" spans="2:12" ht="15.75" customHeight="1" x14ac:dyDescent="0.2">
      <c r="C1525" s="15">
        <v>34612</v>
      </c>
      <c r="D1525" s="185">
        <v>0.61111111111111116</v>
      </c>
      <c r="E1525" s="3">
        <v>30</v>
      </c>
      <c r="F1525" s="190">
        <v>10.199999999999999</v>
      </c>
      <c r="H1525" s="3">
        <v>5.5</v>
      </c>
      <c r="L1525" s="66"/>
    </row>
    <row r="1526" spans="2:12" ht="15.75" customHeight="1" x14ac:dyDescent="0.2">
      <c r="C1526" s="15">
        <v>34612</v>
      </c>
      <c r="D1526" s="185">
        <v>0.61111111111111116</v>
      </c>
      <c r="E1526" s="3">
        <v>40</v>
      </c>
      <c r="F1526" s="190">
        <v>10</v>
      </c>
      <c r="H1526" s="3">
        <v>5.3</v>
      </c>
      <c r="L1526" s="66"/>
    </row>
    <row r="1527" spans="2:12" ht="15.75" customHeight="1" x14ac:dyDescent="0.2">
      <c r="C1527" s="15">
        <v>34612</v>
      </c>
      <c r="D1527" s="185">
        <v>0.61111111111111116</v>
      </c>
      <c r="E1527" s="3">
        <v>50</v>
      </c>
      <c r="F1527" s="190">
        <v>9.8000000000000007</v>
      </c>
      <c r="H1527" s="3">
        <v>5</v>
      </c>
      <c r="L1527" s="66"/>
    </row>
    <row r="1528" spans="2:12" ht="15.75" customHeight="1" x14ac:dyDescent="0.2">
      <c r="C1528" s="15">
        <v>34612</v>
      </c>
      <c r="D1528" s="185">
        <v>0.61111111111111116</v>
      </c>
      <c r="E1528" s="3">
        <v>60</v>
      </c>
      <c r="F1528" s="190">
        <v>10</v>
      </c>
      <c r="H1528" s="3">
        <v>4.5999999999999996</v>
      </c>
      <c r="L1528" s="66"/>
    </row>
    <row r="1529" spans="2:12" ht="15.75" customHeight="1" x14ac:dyDescent="0.2">
      <c r="C1529" s="15">
        <v>34612</v>
      </c>
      <c r="D1529" s="185">
        <v>0.61111111111111116</v>
      </c>
      <c r="E1529" s="3">
        <v>70</v>
      </c>
      <c r="F1529" s="190">
        <v>10.1</v>
      </c>
      <c r="H1529" s="3">
        <v>4.4000000000000004</v>
      </c>
      <c r="L1529" s="66"/>
    </row>
    <row r="1530" spans="2:12" ht="15.75" customHeight="1" x14ac:dyDescent="0.2">
      <c r="C1530" s="15">
        <v>34612</v>
      </c>
      <c r="D1530" s="185">
        <v>0.61111111111111116</v>
      </c>
      <c r="E1530" s="3">
        <v>80</v>
      </c>
      <c r="F1530" s="190">
        <v>10.3</v>
      </c>
      <c r="H1530" s="3">
        <v>4.3</v>
      </c>
      <c r="L1530" s="66"/>
    </row>
    <row r="1531" spans="2:12" ht="15.75" customHeight="1" x14ac:dyDescent="0.2">
      <c r="C1531" s="15">
        <v>34612</v>
      </c>
      <c r="D1531" s="185">
        <v>0.61111111111111116</v>
      </c>
      <c r="E1531" s="3">
        <v>90</v>
      </c>
      <c r="F1531" s="190">
        <v>9.9</v>
      </c>
      <c r="H1531" s="3">
        <v>4.2</v>
      </c>
      <c r="L1531" s="66"/>
    </row>
    <row r="1532" spans="2:12" ht="15.75" customHeight="1" x14ac:dyDescent="0.2">
      <c r="C1532" s="3"/>
      <c r="E1532" s="3"/>
      <c r="H1532" s="3"/>
      <c r="L1532" s="66"/>
    </row>
    <row r="1533" spans="2:12" ht="15.75" customHeight="1" x14ac:dyDescent="0.2">
      <c r="B1533">
        <v>92</v>
      </c>
      <c r="C1533" s="15">
        <v>34585</v>
      </c>
      <c r="D1533" s="185">
        <v>0.39583333333333331</v>
      </c>
      <c r="E1533" s="3"/>
      <c r="H1533" s="3"/>
      <c r="J1533">
        <v>12.2</v>
      </c>
      <c r="L1533" s="66"/>
    </row>
    <row r="1534" spans="2:12" ht="15.75" customHeight="1" x14ac:dyDescent="0.2">
      <c r="C1534" s="15">
        <v>34585</v>
      </c>
      <c r="D1534" s="185">
        <v>0.39583333333333331</v>
      </c>
      <c r="E1534" s="3">
        <v>0.5</v>
      </c>
      <c r="F1534" s="190">
        <v>9.1</v>
      </c>
      <c r="H1534" s="3">
        <v>19.2</v>
      </c>
      <c r="L1534" s="66"/>
    </row>
    <row r="1535" spans="2:12" ht="15.75" customHeight="1" x14ac:dyDescent="0.2">
      <c r="C1535" s="15">
        <v>34585</v>
      </c>
      <c r="D1535" s="185">
        <v>0.39583333333333331</v>
      </c>
      <c r="E1535" s="3">
        <v>2</v>
      </c>
      <c r="F1535" s="190">
        <v>8.9</v>
      </c>
      <c r="H1535" s="3">
        <v>19.2</v>
      </c>
      <c r="L1535" s="66"/>
    </row>
    <row r="1536" spans="2:12" ht="15.75" customHeight="1" x14ac:dyDescent="0.2">
      <c r="C1536" s="15">
        <v>34585</v>
      </c>
      <c r="D1536" s="185">
        <v>0.39583333333333331</v>
      </c>
      <c r="E1536" s="3">
        <v>4</v>
      </c>
      <c r="F1536" s="190">
        <v>8.6999999999999993</v>
      </c>
      <c r="H1536" s="3">
        <v>19.100000000000001</v>
      </c>
      <c r="L1536" s="66"/>
    </row>
    <row r="1537" spans="3:12" ht="15.75" customHeight="1" x14ac:dyDescent="0.2">
      <c r="C1537" s="15">
        <v>34585</v>
      </c>
      <c r="D1537" s="185">
        <v>0.39583333333333331</v>
      </c>
      <c r="E1537" s="3">
        <v>6</v>
      </c>
      <c r="F1537" s="190">
        <v>8.6999999999999993</v>
      </c>
      <c r="H1537" s="3">
        <v>19.100000000000001</v>
      </c>
      <c r="L1537" s="66"/>
    </row>
    <row r="1538" spans="3:12" ht="15.75" customHeight="1" x14ac:dyDescent="0.2">
      <c r="C1538" s="15">
        <v>34585</v>
      </c>
      <c r="D1538" s="185">
        <v>0.39583333333333331</v>
      </c>
      <c r="E1538" s="3">
        <v>8</v>
      </c>
      <c r="F1538" s="190">
        <v>8.6999999999999993</v>
      </c>
      <c r="H1538" s="3">
        <v>19</v>
      </c>
      <c r="L1538" s="66"/>
    </row>
    <row r="1539" spans="3:12" ht="15.75" customHeight="1" x14ac:dyDescent="0.2">
      <c r="C1539" s="15">
        <v>34585</v>
      </c>
      <c r="D1539" s="185">
        <v>0.39583333333333331</v>
      </c>
      <c r="E1539" s="3">
        <v>10</v>
      </c>
      <c r="F1539" s="190">
        <v>8.6999999999999993</v>
      </c>
      <c r="H1539" s="3">
        <v>18.600000000000001</v>
      </c>
      <c r="L1539" s="66"/>
    </row>
    <row r="1540" spans="3:12" ht="15.75" customHeight="1" x14ac:dyDescent="0.2">
      <c r="C1540" s="15">
        <v>34585</v>
      </c>
      <c r="D1540" s="185">
        <v>0.39583333333333331</v>
      </c>
      <c r="E1540" s="3">
        <v>11</v>
      </c>
      <c r="F1540" s="190">
        <v>9</v>
      </c>
      <c r="H1540" s="3">
        <v>18.100000000000001</v>
      </c>
      <c r="L1540" s="66"/>
    </row>
    <row r="1541" spans="3:12" ht="15.75" customHeight="1" x14ac:dyDescent="0.2">
      <c r="C1541" s="15">
        <v>34585</v>
      </c>
      <c r="D1541" s="185">
        <v>0.39583333333333331</v>
      </c>
      <c r="E1541" s="3">
        <v>12</v>
      </c>
      <c r="F1541" s="190">
        <v>10.4</v>
      </c>
      <c r="H1541" s="3">
        <v>15.3</v>
      </c>
      <c r="L1541" s="66"/>
    </row>
    <row r="1542" spans="3:12" ht="15.75" customHeight="1" x14ac:dyDescent="0.2">
      <c r="C1542" s="15">
        <v>34585</v>
      </c>
      <c r="D1542" s="185">
        <v>0.39583333333333331</v>
      </c>
      <c r="E1542" s="3">
        <v>14</v>
      </c>
      <c r="F1542" s="190">
        <v>11</v>
      </c>
      <c r="H1542" s="3">
        <v>11.6</v>
      </c>
      <c r="L1542" s="66"/>
    </row>
    <row r="1543" spans="3:12" ht="15.75" customHeight="1" x14ac:dyDescent="0.2">
      <c r="C1543" s="15">
        <v>34585</v>
      </c>
      <c r="D1543" s="185">
        <v>0.39583333333333331</v>
      </c>
      <c r="E1543" s="3">
        <v>16</v>
      </c>
      <c r="F1543" s="190">
        <v>11.2</v>
      </c>
      <c r="H1543" s="3">
        <v>9.1999999999999993</v>
      </c>
      <c r="L1543" s="66"/>
    </row>
    <row r="1544" spans="3:12" ht="15.75" customHeight="1" x14ac:dyDescent="0.2">
      <c r="C1544" s="15">
        <v>34585</v>
      </c>
      <c r="D1544" s="185">
        <v>0.39583333333333331</v>
      </c>
      <c r="E1544" s="3">
        <v>17</v>
      </c>
      <c r="F1544" s="190">
        <v>11.2</v>
      </c>
      <c r="H1544" s="3">
        <v>8.1999999999999993</v>
      </c>
      <c r="L1544" s="66"/>
    </row>
    <row r="1545" spans="3:12" ht="15.75" customHeight="1" x14ac:dyDescent="0.2">
      <c r="C1545" s="15">
        <v>34585</v>
      </c>
      <c r="D1545" s="185">
        <v>0.39583333333333331</v>
      </c>
      <c r="E1545" s="3">
        <v>18</v>
      </c>
      <c r="F1545" s="190">
        <v>11.1</v>
      </c>
      <c r="H1545" s="3">
        <v>7.7</v>
      </c>
      <c r="L1545" s="66"/>
    </row>
    <row r="1546" spans="3:12" ht="15.75" customHeight="1" x14ac:dyDescent="0.2">
      <c r="C1546" s="15">
        <v>34585</v>
      </c>
      <c r="D1546" s="185">
        <v>0.39583333333333331</v>
      </c>
      <c r="E1546" s="3">
        <v>20</v>
      </c>
      <c r="F1546" s="190">
        <v>11</v>
      </c>
      <c r="H1546" s="3">
        <v>7.1</v>
      </c>
      <c r="L1546" s="66"/>
    </row>
    <row r="1547" spans="3:12" ht="15.75" customHeight="1" x14ac:dyDescent="0.2">
      <c r="C1547" s="15">
        <v>34585</v>
      </c>
      <c r="D1547" s="185">
        <v>0.39583333333333331</v>
      </c>
      <c r="E1547" s="3">
        <v>30</v>
      </c>
      <c r="F1547" s="190">
        <v>10.5</v>
      </c>
      <c r="H1547" s="3">
        <v>5.5</v>
      </c>
      <c r="L1547" s="66"/>
    </row>
    <row r="1548" spans="3:12" ht="15.75" customHeight="1" x14ac:dyDescent="0.2">
      <c r="C1548" s="15">
        <v>34585</v>
      </c>
      <c r="D1548" s="185">
        <v>0.39583333333333331</v>
      </c>
      <c r="E1548" s="3">
        <v>40</v>
      </c>
      <c r="F1548" s="250" t="s">
        <v>625</v>
      </c>
      <c r="H1548" s="3">
        <v>5.2</v>
      </c>
      <c r="L1548" s="66"/>
    </row>
    <row r="1549" spans="3:12" ht="15.75" customHeight="1" x14ac:dyDescent="0.2">
      <c r="C1549" s="15">
        <v>34585</v>
      </c>
      <c r="D1549" s="185">
        <v>0.39583333333333331</v>
      </c>
      <c r="E1549" s="3">
        <v>50</v>
      </c>
      <c r="F1549" s="190">
        <v>10.199999999999999</v>
      </c>
      <c r="H1549" s="3">
        <v>4.9000000000000004</v>
      </c>
      <c r="L1549" s="66"/>
    </row>
    <row r="1550" spans="3:12" ht="15.75" customHeight="1" x14ac:dyDescent="0.2">
      <c r="C1550" s="15">
        <v>34585</v>
      </c>
      <c r="D1550" s="185">
        <v>0.39583333333333331</v>
      </c>
      <c r="E1550" s="3">
        <v>60</v>
      </c>
      <c r="F1550" s="190">
        <v>10.199999999999999</v>
      </c>
      <c r="H1550" s="3">
        <v>4.7</v>
      </c>
      <c r="L1550" s="66"/>
    </row>
    <row r="1551" spans="3:12" ht="15.75" customHeight="1" x14ac:dyDescent="0.2">
      <c r="C1551" s="15">
        <v>34585</v>
      </c>
      <c r="D1551" s="185">
        <v>0.39583333333333331</v>
      </c>
      <c r="E1551" s="3">
        <v>70</v>
      </c>
      <c r="F1551" s="190">
        <v>10.3</v>
      </c>
      <c r="H1551" s="3">
        <v>4.5999999999999996</v>
      </c>
      <c r="L1551" s="66"/>
    </row>
    <row r="1552" spans="3:12" ht="15.75" customHeight="1" x14ac:dyDescent="0.2">
      <c r="C1552" s="15">
        <v>34585</v>
      </c>
      <c r="D1552" s="185">
        <v>0.39583333333333331</v>
      </c>
      <c r="E1552" s="3">
        <v>80</v>
      </c>
      <c r="F1552" s="190">
        <v>10.4</v>
      </c>
      <c r="H1552" s="3">
        <v>4.4000000000000004</v>
      </c>
      <c r="L1552" s="66"/>
    </row>
    <row r="1553" spans="2:12" ht="15.75" customHeight="1" x14ac:dyDescent="0.2">
      <c r="C1553" s="15">
        <v>34585</v>
      </c>
      <c r="D1553" s="185">
        <v>0.39583333333333331</v>
      </c>
      <c r="E1553" s="3">
        <v>90</v>
      </c>
      <c r="F1553" s="250" t="s">
        <v>626</v>
      </c>
      <c r="H1553" s="3">
        <v>4.2</v>
      </c>
      <c r="L1553" s="66"/>
    </row>
    <row r="1554" spans="2:12" ht="15.75" customHeight="1" x14ac:dyDescent="0.2">
      <c r="C1554" s="3"/>
      <c r="E1554" s="3"/>
      <c r="H1554" s="3"/>
      <c r="L1554" s="66"/>
    </row>
    <row r="1555" spans="2:12" ht="15.75" customHeight="1" x14ac:dyDescent="0.2">
      <c r="B1555">
        <v>90.9</v>
      </c>
      <c r="C1555" s="15">
        <v>34555</v>
      </c>
      <c r="D1555" s="253">
        <v>0.5625</v>
      </c>
      <c r="E1555" s="3"/>
      <c r="H1555" s="3"/>
      <c r="J1555">
        <v>11.5</v>
      </c>
      <c r="L1555" s="66"/>
    </row>
    <row r="1556" spans="2:12" ht="15.75" customHeight="1" x14ac:dyDescent="0.2">
      <c r="C1556" s="15">
        <v>34555</v>
      </c>
      <c r="D1556" s="253">
        <v>0.5625</v>
      </c>
      <c r="E1556" s="3">
        <v>0.5</v>
      </c>
      <c r="F1556" s="190">
        <v>8.4</v>
      </c>
      <c r="H1556" s="3">
        <v>22.5</v>
      </c>
      <c r="L1556" s="66"/>
    </row>
    <row r="1557" spans="2:12" ht="15.75" customHeight="1" x14ac:dyDescent="0.2">
      <c r="C1557" s="15">
        <v>34555</v>
      </c>
      <c r="D1557" s="253">
        <v>0.5625</v>
      </c>
      <c r="E1557" s="3">
        <v>2</v>
      </c>
      <c r="F1557" s="190">
        <v>8.1999999999999993</v>
      </c>
      <c r="H1557" s="3">
        <v>22.5</v>
      </c>
      <c r="L1557" s="66"/>
    </row>
    <row r="1558" spans="2:12" ht="15.75" customHeight="1" x14ac:dyDescent="0.2">
      <c r="C1558" s="15">
        <v>34555</v>
      </c>
      <c r="D1558" s="253">
        <v>0.5625</v>
      </c>
      <c r="E1558" s="3">
        <v>4</v>
      </c>
      <c r="F1558" s="190">
        <v>8.1</v>
      </c>
      <c r="H1558" s="3">
        <v>22.4</v>
      </c>
      <c r="L1558" s="66"/>
    </row>
    <row r="1559" spans="2:12" ht="15.75" customHeight="1" x14ac:dyDescent="0.2">
      <c r="C1559" s="15">
        <v>34555</v>
      </c>
      <c r="D1559" s="253">
        <v>0.5625</v>
      </c>
      <c r="E1559" s="3">
        <v>6</v>
      </c>
      <c r="F1559" s="190">
        <v>8.1</v>
      </c>
      <c r="H1559" s="3">
        <v>22.3</v>
      </c>
      <c r="L1559" s="66"/>
    </row>
    <row r="1560" spans="2:12" ht="15.75" customHeight="1" x14ac:dyDescent="0.2">
      <c r="C1560" s="15">
        <v>34555</v>
      </c>
      <c r="D1560" s="253">
        <v>0.5625</v>
      </c>
      <c r="E1560" s="3">
        <v>7</v>
      </c>
      <c r="F1560" s="190">
        <v>9.1</v>
      </c>
      <c r="H1560" s="3">
        <v>20.399999999999999</v>
      </c>
      <c r="L1560" s="66"/>
    </row>
    <row r="1561" spans="2:12" ht="15.75" customHeight="1" x14ac:dyDescent="0.2">
      <c r="C1561" s="15">
        <v>34555</v>
      </c>
      <c r="D1561" s="253">
        <v>0.5625</v>
      </c>
      <c r="E1561" s="3">
        <v>8</v>
      </c>
      <c r="F1561" s="190">
        <v>9.8000000000000007</v>
      </c>
      <c r="H1561" s="3">
        <v>18.3</v>
      </c>
      <c r="L1561" s="66"/>
    </row>
    <row r="1562" spans="2:12" ht="15.75" customHeight="1" x14ac:dyDescent="0.2">
      <c r="C1562" s="15">
        <v>34555</v>
      </c>
      <c r="D1562" s="253">
        <v>0.5625</v>
      </c>
      <c r="E1562" s="3">
        <v>10</v>
      </c>
      <c r="F1562" s="190">
        <v>10</v>
      </c>
      <c r="H1562" s="3">
        <v>16.8</v>
      </c>
      <c r="L1562" s="66"/>
    </row>
    <row r="1563" spans="2:12" ht="15.75" customHeight="1" x14ac:dyDescent="0.2">
      <c r="C1563" s="15">
        <v>34555</v>
      </c>
      <c r="D1563" s="253">
        <v>0.5625</v>
      </c>
      <c r="E1563" s="3">
        <v>12</v>
      </c>
      <c r="F1563" s="190">
        <v>9.9</v>
      </c>
      <c r="H1563" s="3">
        <v>16.5</v>
      </c>
      <c r="L1563" s="66"/>
    </row>
    <row r="1564" spans="2:12" ht="15.75" customHeight="1" x14ac:dyDescent="0.2">
      <c r="C1564" s="15">
        <v>34555</v>
      </c>
      <c r="D1564" s="253">
        <v>0.5625</v>
      </c>
      <c r="E1564" s="3">
        <v>14</v>
      </c>
      <c r="F1564" s="190">
        <v>11.1</v>
      </c>
      <c r="H1564" s="3">
        <v>10.1</v>
      </c>
      <c r="L1564" s="66"/>
    </row>
    <row r="1565" spans="2:12" ht="15.75" customHeight="1" x14ac:dyDescent="0.2">
      <c r="C1565" s="15">
        <v>34555</v>
      </c>
      <c r="D1565" s="253">
        <v>0.5625</v>
      </c>
      <c r="E1565" s="3">
        <v>16</v>
      </c>
      <c r="F1565" s="190">
        <v>11.2</v>
      </c>
      <c r="H1565" s="3">
        <v>8.9</v>
      </c>
      <c r="L1565" s="66"/>
    </row>
    <row r="1566" spans="2:12" ht="15.75" customHeight="1" x14ac:dyDescent="0.2">
      <c r="C1566" s="15">
        <v>34555</v>
      </c>
      <c r="D1566" s="253">
        <v>0.5625</v>
      </c>
      <c r="E1566" s="3">
        <v>18</v>
      </c>
      <c r="F1566" s="190">
        <v>11.1</v>
      </c>
      <c r="H1566" s="3">
        <v>7.5</v>
      </c>
      <c r="L1566" s="66"/>
    </row>
    <row r="1567" spans="2:12" ht="15.75" customHeight="1" x14ac:dyDescent="0.2">
      <c r="C1567" s="15">
        <v>34555</v>
      </c>
      <c r="D1567" s="253">
        <v>0.5625</v>
      </c>
      <c r="E1567" s="3">
        <v>20</v>
      </c>
      <c r="F1567" s="190">
        <v>11</v>
      </c>
      <c r="H1567" s="3">
        <v>6.9</v>
      </c>
      <c r="L1567" s="66"/>
    </row>
    <row r="1568" spans="2:12" ht="15.75" customHeight="1" x14ac:dyDescent="0.2">
      <c r="C1568" s="15">
        <v>34555</v>
      </c>
      <c r="D1568" s="253">
        <v>0.5625</v>
      </c>
      <c r="E1568" s="3">
        <v>30</v>
      </c>
      <c r="F1568" s="190">
        <v>10.7</v>
      </c>
      <c r="H1568" s="3">
        <v>5.5</v>
      </c>
      <c r="L1568" s="66"/>
    </row>
    <row r="1569" spans="2:12" ht="15.75" customHeight="1" x14ac:dyDescent="0.2">
      <c r="C1569" s="15">
        <v>34555</v>
      </c>
      <c r="D1569" s="253">
        <v>0.5625</v>
      </c>
      <c r="E1569" s="3">
        <v>40</v>
      </c>
      <c r="F1569" s="190">
        <v>10.5</v>
      </c>
      <c r="H1569" s="3">
        <v>5</v>
      </c>
      <c r="L1569" s="66"/>
    </row>
    <row r="1570" spans="2:12" ht="15.75" customHeight="1" x14ac:dyDescent="0.2">
      <c r="C1570" s="15">
        <v>34555</v>
      </c>
      <c r="D1570" s="253">
        <v>0.5625</v>
      </c>
      <c r="E1570" s="3">
        <v>50</v>
      </c>
      <c r="F1570" s="190">
        <v>10.3</v>
      </c>
      <c r="H1570" s="3">
        <v>4.8</v>
      </c>
      <c r="L1570" s="66"/>
    </row>
    <row r="1571" spans="2:12" ht="15.75" customHeight="1" x14ac:dyDescent="0.2">
      <c r="C1571" s="15">
        <v>34555</v>
      </c>
      <c r="D1571" s="253">
        <v>0.5625</v>
      </c>
      <c r="E1571" s="3">
        <v>60</v>
      </c>
      <c r="F1571" s="190">
        <v>10.4</v>
      </c>
      <c r="H1571" s="3">
        <v>4.5999999999999996</v>
      </c>
      <c r="L1571" s="66"/>
    </row>
    <row r="1572" spans="2:12" ht="15.75" customHeight="1" x14ac:dyDescent="0.2">
      <c r="C1572" s="15">
        <v>34555</v>
      </c>
      <c r="D1572" s="253">
        <v>0.5625</v>
      </c>
      <c r="E1572" s="3">
        <v>70</v>
      </c>
      <c r="F1572" s="190">
        <v>10.4</v>
      </c>
      <c r="H1572" s="3">
        <v>4.4000000000000004</v>
      </c>
      <c r="L1572" s="66"/>
    </row>
    <row r="1573" spans="2:12" ht="15.75" customHeight="1" x14ac:dyDescent="0.2">
      <c r="C1573" s="15">
        <v>34555</v>
      </c>
      <c r="D1573" s="253">
        <v>0.5625</v>
      </c>
      <c r="E1573" s="3">
        <v>80</v>
      </c>
      <c r="F1573" s="190">
        <v>10.4</v>
      </c>
      <c r="H1573" s="3">
        <v>4.3</v>
      </c>
      <c r="L1573" s="66"/>
    </row>
    <row r="1574" spans="2:12" ht="15.75" customHeight="1" x14ac:dyDescent="0.2">
      <c r="C1574" s="15">
        <v>34555</v>
      </c>
      <c r="D1574" s="253">
        <v>0.5625</v>
      </c>
      <c r="E1574" s="3">
        <v>90</v>
      </c>
      <c r="F1574" s="190">
        <v>10.3</v>
      </c>
      <c r="H1574" s="3">
        <v>4.2</v>
      </c>
      <c r="L1574" s="66"/>
    </row>
    <row r="1575" spans="2:12" ht="15.75" customHeight="1" x14ac:dyDescent="0.2">
      <c r="C1575" s="3"/>
      <c r="E1575" s="3"/>
      <c r="H1575" s="3"/>
      <c r="L1575" s="66"/>
    </row>
    <row r="1576" spans="2:12" ht="15.75" customHeight="1" x14ac:dyDescent="0.2">
      <c r="B1576">
        <v>81.400000000000006</v>
      </c>
      <c r="C1576" s="15">
        <v>34528</v>
      </c>
      <c r="D1576" s="185">
        <v>0.54166666666666663</v>
      </c>
      <c r="E1576" s="3"/>
      <c r="H1576" s="3"/>
      <c r="J1576">
        <v>12.2</v>
      </c>
      <c r="L1576" s="66"/>
    </row>
    <row r="1577" spans="2:12" ht="15.75" customHeight="1" x14ac:dyDescent="0.2">
      <c r="C1577" s="15">
        <v>34528</v>
      </c>
      <c r="D1577" s="185">
        <v>0.54166666666666663</v>
      </c>
      <c r="E1577" s="3">
        <v>0.5</v>
      </c>
      <c r="F1577" s="190">
        <v>9.4</v>
      </c>
      <c r="H1577" s="3">
        <v>20.9</v>
      </c>
      <c r="L1577" s="66"/>
    </row>
    <row r="1578" spans="2:12" ht="15.75" customHeight="1" x14ac:dyDescent="0.2">
      <c r="C1578" s="15">
        <v>34528</v>
      </c>
      <c r="D1578" s="185">
        <v>0.54166666666666663</v>
      </c>
      <c r="E1578" s="3">
        <v>2</v>
      </c>
      <c r="F1578" s="190">
        <v>9.1999999999999993</v>
      </c>
      <c r="H1578" s="3">
        <v>19.7</v>
      </c>
      <c r="L1578" s="66"/>
    </row>
    <row r="1579" spans="2:12" ht="15.75" customHeight="1" x14ac:dyDescent="0.2">
      <c r="C1579" s="15">
        <v>34528</v>
      </c>
      <c r="D1579" s="185">
        <v>0.54166666666666663</v>
      </c>
      <c r="E1579" s="3">
        <v>4</v>
      </c>
      <c r="F1579" s="190">
        <v>9.1</v>
      </c>
      <c r="H1579" s="3">
        <v>19.399999999999999</v>
      </c>
      <c r="L1579" s="66"/>
    </row>
    <row r="1580" spans="2:12" ht="15.75" customHeight="1" x14ac:dyDescent="0.2">
      <c r="C1580" s="15">
        <v>34528</v>
      </c>
      <c r="D1580" s="185">
        <v>0.54166666666666663</v>
      </c>
      <c r="E1580" s="3">
        <v>6</v>
      </c>
      <c r="F1580" s="190">
        <v>9.1999999999999993</v>
      </c>
      <c r="H1580" s="3">
        <v>18.3</v>
      </c>
      <c r="L1580" s="66"/>
    </row>
    <row r="1581" spans="2:12" ht="15.75" customHeight="1" x14ac:dyDescent="0.2">
      <c r="C1581" s="15">
        <v>34528</v>
      </c>
      <c r="D1581" s="185">
        <v>0.54166666666666663</v>
      </c>
      <c r="E1581" s="3">
        <v>8</v>
      </c>
      <c r="F1581" s="190">
        <v>9.4</v>
      </c>
      <c r="H1581" s="3">
        <v>16.899999999999999</v>
      </c>
      <c r="L1581" s="66"/>
    </row>
    <row r="1582" spans="2:12" ht="15.75" customHeight="1" x14ac:dyDescent="0.2">
      <c r="C1582" s="15">
        <v>34528</v>
      </c>
      <c r="D1582" s="185">
        <v>0.54166666666666663</v>
      </c>
      <c r="E1582" s="3">
        <v>9</v>
      </c>
      <c r="H1582" s="3">
        <v>16.399999999999999</v>
      </c>
      <c r="L1582" s="66"/>
    </row>
    <row r="1583" spans="2:12" ht="15.75" customHeight="1" x14ac:dyDescent="0.2">
      <c r="C1583" s="15">
        <v>34528</v>
      </c>
      <c r="D1583" s="185">
        <v>0.54166666666666663</v>
      </c>
      <c r="E1583" s="3">
        <v>10</v>
      </c>
      <c r="F1583" s="190">
        <v>9.6999999999999993</v>
      </c>
      <c r="H1583" s="3">
        <v>15.9</v>
      </c>
      <c r="L1583" s="66"/>
    </row>
    <row r="1584" spans="2:12" ht="15.75" customHeight="1" x14ac:dyDescent="0.2">
      <c r="C1584" s="15">
        <v>34528</v>
      </c>
      <c r="D1584" s="185">
        <v>0.54166666666666663</v>
      </c>
      <c r="E1584" s="3">
        <v>12</v>
      </c>
      <c r="F1584" s="190">
        <v>10.199999999999999</v>
      </c>
      <c r="H1584" s="3">
        <v>13.3</v>
      </c>
      <c r="L1584" s="66"/>
    </row>
    <row r="1585" spans="2:12" ht="15.75" customHeight="1" x14ac:dyDescent="0.2">
      <c r="C1585" s="15">
        <v>34528</v>
      </c>
      <c r="D1585" s="185">
        <v>0.54166666666666663</v>
      </c>
      <c r="E1585" s="3">
        <v>14</v>
      </c>
      <c r="F1585" s="190">
        <v>10.8</v>
      </c>
      <c r="H1585" s="3">
        <v>10.5</v>
      </c>
      <c r="L1585" s="66"/>
    </row>
    <row r="1586" spans="2:12" ht="15.75" customHeight="1" x14ac:dyDescent="0.2">
      <c r="C1586" s="15">
        <v>34528</v>
      </c>
      <c r="D1586" s="185">
        <v>0.54166666666666663</v>
      </c>
      <c r="E1586" s="3">
        <v>16</v>
      </c>
      <c r="F1586" s="190">
        <v>11</v>
      </c>
      <c r="H1586" s="3">
        <v>8.3000000000000007</v>
      </c>
      <c r="L1586" s="66"/>
    </row>
    <row r="1587" spans="2:12" ht="15.75" customHeight="1" x14ac:dyDescent="0.2">
      <c r="C1587" s="15">
        <v>34528</v>
      </c>
      <c r="D1587" s="185">
        <v>0.54166666666666663</v>
      </c>
      <c r="E1587" s="3">
        <v>18</v>
      </c>
      <c r="F1587" s="190">
        <v>10.9</v>
      </c>
      <c r="H1587" s="3">
        <v>7.4</v>
      </c>
      <c r="L1587" s="66"/>
    </row>
    <row r="1588" spans="2:12" ht="15.75" customHeight="1" x14ac:dyDescent="0.2">
      <c r="C1588" s="15">
        <v>34528</v>
      </c>
      <c r="D1588" s="185">
        <v>0.54166666666666663</v>
      </c>
      <c r="E1588" s="3">
        <v>20</v>
      </c>
      <c r="F1588" s="190">
        <v>10.9</v>
      </c>
      <c r="H1588" s="3">
        <v>6.6</v>
      </c>
      <c r="L1588" s="66"/>
    </row>
    <row r="1589" spans="2:12" ht="15.75" customHeight="1" x14ac:dyDescent="0.2">
      <c r="C1589" s="15">
        <v>34528</v>
      </c>
      <c r="D1589" s="185">
        <v>0.54166666666666663</v>
      </c>
      <c r="E1589" s="3">
        <v>30</v>
      </c>
      <c r="F1589" s="190">
        <v>10.8</v>
      </c>
      <c r="H1589" s="3">
        <v>5.4</v>
      </c>
      <c r="L1589" s="66"/>
    </row>
    <row r="1590" spans="2:12" ht="15.75" customHeight="1" x14ac:dyDescent="0.2">
      <c r="C1590" s="15">
        <v>34528</v>
      </c>
      <c r="D1590" s="185">
        <v>0.54166666666666663</v>
      </c>
      <c r="E1590" s="3">
        <v>40</v>
      </c>
      <c r="F1590" s="190">
        <v>10.8</v>
      </c>
      <c r="H1590" s="3">
        <v>5</v>
      </c>
      <c r="L1590" s="66"/>
    </row>
    <row r="1591" spans="2:12" ht="15.75" customHeight="1" x14ac:dyDescent="0.2">
      <c r="C1591" s="15">
        <v>34528</v>
      </c>
      <c r="D1591" s="185">
        <v>0.54166666666666663</v>
      </c>
      <c r="E1591" s="3">
        <v>50</v>
      </c>
      <c r="F1591" s="190">
        <v>10.7</v>
      </c>
      <c r="H1591" s="3">
        <v>4.7</v>
      </c>
      <c r="L1591" s="66"/>
    </row>
    <row r="1592" spans="2:12" ht="15.75" customHeight="1" x14ac:dyDescent="0.2">
      <c r="C1592" s="15">
        <v>34528</v>
      </c>
      <c r="D1592" s="185">
        <v>0.54166666666666663</v>
      </c>
      <c r="E1592" s="3">
        <v>60</v>
      </c>
      <c r="F1592" s="190">
        <v>10.7</v>
      </c>
      <c r="H1592" s="3">
        <v>4.5</v>
      </c>
      <c r="L1592" s="66"/>
    </row>
    <row r="1593" spans="2:12" ht="15.75" customHeight="1" x14ac:dyDescent="0.2">
      <c r="C1593" s="15">
        <v>34528</v>
      </c>
      <c r="D1593" s="185">
        <v>0.54166666666666663</v>
      </c>
      <c r="E1593" s="3">
        <v>70</v>
      </c>
      <c r="F1593" s="190">
        <v>10.6</v>
      </c>
      <c r="H1593" s="3">
        <v>4.4000000000000004</v>
      </c>
      <c r="L1593" s="66"/>
    </row>
    <row r="1594" spans="2:12" ht="15.75" customHeight="1" x14ac:dyDescent="0.2">
      <c r="C1594" s="15">
        <v>34528</v>
      </c>
      <c r="D1594" s="185">
        <v>0.54166666666666663</v>
      </c>
      <c r="E1594" s="3">
        <v>80</v>
      </c>
      <c r="F1594" s="190">
        <v>10.5</v>
      </c>
      <c r="H1594" s="3">
        <v>4.2</v>
      </c>
      <c r="L1594" s="66"/>
    </row>
    <row r="1595" spans="2:12" ht="15.75" customHeight="1" x14ac:dyDescent="0.2">
      <c r="C1595" s="3"/>
      <c r="E1595" s="3"/>
      <c r="H1595" s="3"/>
      <c r="L1595" s="66"/>
    </row>
    <row r="1596" spans="2:12" ht="15.75" customHeight="1" x14ac:dyDescent="0.2">
      <c r="B1596">
        <v>83.6</v>
      </c>
      <c r="C1596" s="15">
        <v>34507</v>
      </c>
      <c r="D1596" s="185">
        <v>0.52083333333333337</v>
      </c>
      <c r="E1596" s="3"/>
      <c r="H1596" s="3"/>
      <c r="J1596">
        <v>9.6</v>
      </c>
      <c r="L1596" s="66"/>
    </row>
    <row r="1597" spans="2:12" ht="15.75" customHeight="1" x14ac:dyDescent="0.2">
      <c r="C1597" s="15">
        <v>34507</v>
      </c>
      <c r="D1597" s="185">
        <v>0.52083333333333337</v>
      </c>
      <c r="E1597" s="3">
        <v>0.5</v>
      </c>
      <c r="F1597" s="190">
        <v>9.9</v>
      </c>
      <c r="H1597" s="3">
        <v>18</v>
      </c>
      <c r="L1597" s="66"/>
    </row>
    <row r="1598" spans="2:12" ht="15.75" customHeight="1" x14ac:dyDescent="0.2">
      <c r="C1598" s="15">
        <v>34507</v>
      </c>
      <c r="D1598" s="185">
        <v>0.52083333333333337</v>
      </c>
      <c r="E1598" s="3">
        <v>2</v>
      </c>
      <c r="F1598" s="190">
        <v>10.1</v>
      </c>
      <c r="H1598" s="3">
        <v>16</v>
      </c>
      <c r="L1598" s="66"/>
    </row>
    <row r="1599" spans="2:12" ht="15.75" customHeight="1" x14ac:dyDescent="0.2">
      <c r="C1599" s="15">
        <v>34507</v>
      </c>
      <c r="D1599" s="185">
        <v>0.52083333333333337</v>
      </c>
      <c r="E1599" s="3">
        <v>4</v>
      </c>
      <c r="F1599" s="190">
        <v>10.1</v>
      </c>
      <c r="H1599" s="3">
        <v>15</v>
      </c>
      <c r="L1599" s="66"/>
    </row>
    <row r="1600" spans="2:12" ht="15.75" customHeight="1" x14ac:dyDescent="0.2">
      <c r="C1600" s="15">
        <v>34507</v>
      </c>
      <c r="D1600" s="185">
        <v>0.52083333333333337</v>
      </c>
      <c r="E1600" s="3">
        <v>6</v>
      </c>
      <c r="F1600" s="190">
        <v>10.1</v>
      </c>
      <c r="H1600" s="3">
        <v>14.2</v>
      </c>
      <c r="L1600" s="66"/>
    </row>
    <row r="1601" spans="2:12" ht="15.75" customHeight="1" x14ac:dyDescent="0.2">
      <c r="C1601" s="15">
        <v>34507</v>
      </c>
      <c r="D1601" s="185">
        <v>0.52083333333333337</v>
      </c>
      <c r="E1601" s="3">
        <v>8</v>
      </c>
      <c r="F1601" s="190">
        <v>10.1</v>
      </c>
      <c r="H1601" s="3">
        <v>13.6</v>
      </c>
      <c r="L1601" s="66"/>
    </row>
    <row r="1602" spans="2:12" ht="15.75" customHeight="1" x14ac:dyDescent="0.2">
      <c r="C1602" s="15">
        <v>34507</v>
      </c>
      <c r="D1602" s="185">
        <v>0.52083333333333337</v>
      </c>
      <c r="E1602" s="3">
        <v>10</v>
      </c>
      <c r="F1602" s="190">
        <v>10.4</v>
      </c>
      <c r="H1602" s="3">
        <v>12.1</v>
      </c>
      <c r="L1602" s="66"/>
    </row>
    <row r="1603" spans="2:12" ht="15.75" customHeight="1" x14ac:dyDescent="0.2">
      <c r="C1603" s="15">
        <v>34507</v>
      </c>
      <c r="D1603" s="185">
        <v>0.52083333333333337</v>
      </c>
      <c r="E1603" s="3">
        <v>12</v>
      </c>
      <c r="F1603" s="190">
        <v>10.5</v>
      </c>
      <c r="H1603" s="3">
        <v>10.9</v>
      </c>
      <c r="L1603" s="66"/>
    </row>
    <row r="1604" spans="2:12" ht="15.75" customHeight="1" x14ac:dyDescent="0.2">
      <c r="C1604" s="15">
        <v>34507</v>
      </c>
      <c r="D1604" s="185">
        <v>0.52083333333333337</v>
      </c>
      <c r="E1604" s="3">
        <v>14</v>
      </c>
      <c r="F1604" s="190">
        <v>11</v>
      </c>
      <c r="H1604" s="3">
        <v>8.8000000000000007</v>
      </c>
      <c r="L1604" s="66"/>
    </row>
    <row r="1605" spans="2:12" ht="15.75" customHeight="1" x14ac:dyDescent="0.2">
      <c r="C1605" s="15">
        <v>34507</v>
      </c>
      <c r="D1605" s="185">
        <v>0.52083333333333337</v>
      </c>
      <c r="E1605" s="3">
        <v>16</v>
      </c>
      <c r="F1605" s="190">
        <v>11.1</v>
      </c>
      <c r="H1605" s="3">
        <v>7.9</v>
      </c>
      <c r="L1605" s="66"/>
    </row>
    <row r="1606" spans="2:12" ht="15.75" customHeight="1" x14ac:dyDescent="0.2">
      <c r="C1606" s="15">
        <v>34507</v>
      </c>
      <c r="D1606" s="185">
        <v>0.52083333333333337</v>
      </c>
      <c r="E1606" s="3">
        <v>18</v>
      </c>
      <c r="F1606" s="190">
        <v>11.1</v>
      </c>
      <c r="H1606" s="3">
        <v>7.2</v>
      </c>
      <c r="L1606" s="66"/>
    </row>
    <row r="1607" spans="2:12" ht="15.75" customHeight="1" x14ac:dyDescent="0.2">
      <c r="C1607" s="15">
        <v>34507</v>
      </c>
      <c r="D1607" s="185">
        <v>0.52083333333333337</v>
      </c>
      <c r="E1607" s="3">
        <v>20</v>
      </c>
      <c r="F1607" s="190">
        <v>11.1</v>
      </c>
      <c r="H1607" s="3">
        <v>6</v>
      </c>
      <c r="L1607" s="66"/>
    </row>
    <row r="1608" spans="2:12" ht="15.75" customHeight="1" x14ac:dyDescent="0.2">
      <c r="C1608" s="15">
        <v>34507</v>
      </c>
      <c r="D1608" s="185">
        <v>0.52083333333333337</v>
      </c>
      <c r="E1608" s="3">
        <v>30</v>
      </c>
      <c r="F1608" s="190">
        <v>10.9</v>
      </c>
      <c r="H1608" s="3">
        <v>5.3</v>
      </c>
      <c r="L1608" s="66"/>
    </row>
    <row r="1609" spans="2:12" ht="15.75" customHeight="1" x14ac:dyDescent="0.2">
      <c r="C1609" s="15">
        <v>34507</v>
      </c>
      <c r="D1609" s="185">
        <v>0.52083333333333337</v>
      </c>
      <c r="E1609" s="3">
        <v>40</v>
      </c>
      <c r="F1609" s="190">
        <v>10.9</v>
      </c>
      <c r="H1609" s="3">
        <v>4.9000000000000004</v>
      </c>
      <c r="L1609" s="66"/>
    </row>
    <row r="1610" spans="2:12" ht="15.75" customHeight="1" x14ac:dyDescent="0.2">
      <c r="C1610" s="15">
        <v>34507</v>
      </c>
      <c r="D1610" s="185">
        <v>0.52083333333333337</v>
      </c>
      <c r="E1610" s="3">
        <v>50</v>
      </c>
      <c r="F1610" s="190">
        <v>10.9</v>
      </c>
      <c r="H1610" s="3">
        <v>4.5</v>
      </c>
      <c r="L1610" s="66"/>
    </row>
    <row r="1611" spans="2:12" ht="15.75" customHeight="1" x14ac:dyDescent="0.2">
      <c r="C1611" s="15">
        <v>34507</v>
      </c>
      <c r="D1611" s="185">
        <v>0.52083333333333337</v>
      </c>
      <c r="E1611" s="3">
        <v>60</v>
      </c>
      <c r="F1611" s="190">
        <v>10.9</v>
      </c>
      <c r="H1611" s="3">
        <v>4.3</v>
      </c>
      <c r="L1611" s="66"/>
    </row>
    <row r="1612" spans="2:12" ht="15.75" customHeight="1" x14ac:dyDescent="0.2">
      <c r="C1612" s="15">
        <v>34507</v>
      </c>
      <c r="D1612" s="185">
        <v>0.52083333333333337</v>
      </c>
      <c r="E1612" s="3">
        <v>70</v>
      </c>
      <c r="F1612" s="190">
        <v>10.8</v>
      </c>
      <c r="H1612" s="3">
        <v>4.2</v>
      </c>
      <c r="L1612" s="66"/>
    </row>
    <row r="1613" spans="2:12" ht="15.75" customHeight="1" x14ac:dyDescent="0.2">
      <c r="C1613" s="15">
        <v>34507</v>
      </c>
      <c r="D1613" s="185">
        <v>0.52083333333333337</v>
      </c>
      <c r="E1613" s="3">
        <v>80</v>
      </c>
      <c r="F1613" s="190">
        <v>10.8</v>
      </c>
      <c r="H1613" s="3">
        <v>4.0999999999999996</v>
      </c>
      <c r="L1613" s="66"/>
    </row>
    <row r="1614" spans="2:12" ht="15.75" customHeight="1" x14ac:dyDescent="0.2">
      <c r="C1614" s="15">
        <v>34507</v>
      </c>
      <c r="D1614" s="185">
        <v>0.52083333333333337</v>
      </c>
      <c r="E1614" s="3">
        <v>83</v>
      </c>
      <c r="F1614" s="190">
        <v>10.7</v>
      </c>
      <c r="H1614" s="3">
        <v>4.0999999999999996</v>
      </c>
      <c r="L1614" s="66"/>
    </row>
    <row r="1615" spans="2:12" ht="15.75" customHeight="1" x14ac:dyDescent="0.2">
      <c r="C1615" s="15"/>
      <c r="D1615" s="185"/>
      <c r="E1615" s="3"/>
      <c r="H1615" s="3"/>
      <c r="L1615" s="66"/>
    </row>
    <row r="1616" spans="2:12" ht="15.75" customHeight="1" x14ac:dyDescent="0.2">
      <c r="B1616">
        <v>78</v>
      </c>
      <c r="C1616" s="15">
        <v>34473</v>
      </c>
      <c r="D1616" s="185">
        <v>0.5625</v>
      </c>
      <c r="E1616" s="3"/>
      <c r="H1616" s="3"/>
      <c r="J1616">
        <v>8.3000000000000007</v>
      </c>
      <c r="L1616" s="66"/>
    </row>
    <row r="1617" spans="2:12" ht="15.75" customHeight="1" x14ac:dyDescent="0.2">
      <c r="C1617" s="15">
        <v>34473</v>
      </c>
      <c r="D1617" s="185">
        <v>0.5625</v>
      </c>
      <c r="E1617" s="3">
        <v>0.5</v>
      </c>
      <c r="F1617" s="190">
        <v>10.9</v>
      </c>
      <c r="H1617" s="3">
        <v>11.3</v>
      </c>
      <c r="L1617" s="66"/>
    </row>
    <row r="1618" spans="2:12" ht="15.75" customHeight="1" x14ac:dyDescent="0.2">
      <c r="C1618" s="15">
        <v>34473</v>
      </c>
      <c r="D1618" s="185">
        <v>0.5625</v>
      </c>
      <c r="E1618" s="3">
        <v>10</v>
      </c>
      <c r="F1618" s="190">
        <v>10.1</v>
      </c>
      <c r="H1618" s="3">
        <v>11.3</v>
      </c>
      <c r="L1618" s="66"/>
    </row>
    <row r="1619" spans="2:12" ht="15.75" customHeight="1" x14ac:dyDescent="0.2">
      <c r="C1619" s="15">
        <v>34473</v>
      </c>
      <c r="D1619" s="185">
        <v>0.5625</v>
      </c>
      <c r="E1619" s="3">
        <v>20</v>
      </c>
      <c r="F1619" s="190">
        <v>5.7</v>
      </c>
      <c r="H1619" s="3">
        <v>11.8</v>
      </c>
      <c r="L1619" s="66"/>
    </row>
    <row r="1620" spans="2:12" ht="15.75" customHeight="1" x14ac:dyDescent="0.2">
      <c r="C1620" s="15">
        <v>34473</v>
      </c>
      <c r="D1620" s="185">
        <v>0.5625</v>
      </c>
      <c r="E1620" s="3">
        <v>30</v>
      </c>
      <c r="F1620" s="190">
        <v>5.2</v>
      </c>
      <c r="H1620" s="3">
        <v>11.6</v>
      </c>
      <c r="L1620" s="66"/>
    </row>
    <row r="1621" spans="2:12" ht="15.75" customHeight="1" x14ac:dyDescent="0.2">
      <c r="C1621" s="15">
        <v>34473</v>
      </c>
      <c r="D1621" s="185">
        <v>0.5625</v>
      </c>
      <c r="E1621" s="3">
        <v>40</v>
      </c>
      <c r="F1621" s="190">
        <v>4.5999999999999996</v>
      </c>
      <c r="H1621" s="3">
        <v>11.4</v>
      </c>
      <c r="L1621" s="66"/>
    </row>
    <row r="1622" spans="2:12" ht="15.75" customHeight="1" x14ac:dyDescent="0.2">
      <c r="C1622" s="15">
        <v>34473</v>
      </c>
      <c r="D1622" s="185">
        <v>0.5625</v>
      </c>
      <c r="E1622" s="3">
        <v>50</v>
      </c>
      <c r="F1622" s="190">
        <v>4.4000000000000004</v>
      </c>
      <c r="H1622" s="3">
        <v>11.3</v>
      </c>
      <c r="L1622" s="66"/>
    </row>
    <row r="1623" spans="2:12" ht="15.75" customHeight="1" x14ac:dyDescent="0.2">
      <c r="C1623" s="15">
        <v>34473</v>
      </c>
      <c r="D1623" s="185">
        <v>0.5625</v>
      </c>
      <c r="E1623" s="3">
        <v>60</v>
      </c>
      <c r="F1623" s="190">
        <v>4.2</v>
      </c>
      <c r="H1623" s="3">
        <v>11.2</v>
      </c>
      <c r="L1623" s="66"/>
    </row>
    <row r="1624" spans="2:12" ht="15.75" customHeight="1" x14ac:dyDescent="0.2">
      <c r="C1624" s="15">
        <v>34473</v>
      </c>
      <c r="D1624" s="185">
        <v>0.5625</v>
      </c>
      <c r="E1624" s="3">
        <v>70</v>
      </c>
      <c r="F1624" s="190">
        <v>4.0999999999999996</v>
      </c>
      <c r="H1624" s="3">
        <v>11</v>
      </c>
      <c r="L1624" s="66"/>
    </row>
    <row r="1625" spans="2:12" ht="15.75" customHeight="1" x14ac:dyDescent="0.2">
      <c r="C1625" s="15">
        <v>34473</v>
      </c>
      <c r="D1625" s="185">
        <v>0.5625</v>
      </c>
      <c r="E1625" s="3">
        <v>75</v>
      </c>
      <c r="F1625" s="190">
        <v>4</v>
      </c>
      <c r="H1625" s="3">
        <v>10.9</v>
      </c>
      <c r="L1625" s="66"/>
    </row>
    <row r="1626" spans="2:12" ht="15.75" customHeight="1" x14ac:dyDescent="0.2">
      <c r="C1626" s="15"/>
      <c r="D1626" s="185"/>
      <c r="E1626" s="3"/>
      <c r="H1626" s="3"/>
      <c r="L1626" s="66"/>
    </row>
    <row r="1627" spans="2:12" ht="15.75" customHeight="1" x14ac:dyDescent="0.2">
      <c r="B1627">
        <v>98</v>
      </c>
      <c r="C1627" s="15">
        <v>34451</v>
      </c>
      <c r="D1627" s="185">
        <v>0.54166666666666663</v>
      </c>
      <c r="E1627" s="3"/>
      <c r="H1627" s="3"/>
      <c r="J1627">
        <v>9.1</v>
      </c>
      <c r="K1627" s="252" t="s">
        <v>609</v>
      </c>
      <c r="L1627" s="66"/>
    </row>
    <row r="1628" spans="2:12" ht="15.75" customHeight="1" x14ac:dyDescent="0.2">
      <c r="C1628" s="15">
        <v>34451</v>
      </c>
      <c r="D1628" s="185">
        <v>0.54166666666666663</v>
      </c>
      <c r="E1628" s="3">
        <v>0.5</v>
      </c>
      <c r="F1628" s="190">
        <v>12.3</v>
      </c>
      <c r="H1628" s="3">
        <v>8.1999999999999993</v>
      </c>
      <c r="L1628" s="66"/>
    </row>
    <row r="1629" spans="2:12" ht="15.75" customHeight="1" x14ac:dyDescent="0.2">
      <c r="C1629" s="15">
        <v>34451</v>
      </c>
      <c r="D1629" s="185">
        <v>0.54166666666666663</v>
      </c>
      <c r="E1629" s="3">
        <v>10</v>
      </c>
      <c r="F1629" s="190">
        <v>12</v>
      </c>
      <c r="H1629" s="3">
        <v>5.9</v>
      </c>
      <c r="L1629" s="66"/>
    </row>
    <row r="1630" spans="2:12" ht="15.75" customHeight="1" x14ac:dyDescent="0.2">
      <c r="C1630" s="15">
        <v>34451</v>
      </c>
      <c r="D1630" s="185">
        <v>0.54166666666666663</v>
      </c>
      <c r="E1630" s="3">
        <v>20</v>
      </c>
      <c r="F1630" s="190">
        <v>11.6</v>
      </c>
      <c r="H1630" s="3">
        <v>4.8</v>
      </c>
      <c r="L1630" s="66"/>
    </row>
    <row r="1631" spans="2:12" ht="15.75" customHeight="1" x14ac:dyDescent="0.2">
      <c r="C1631" s="15">
        <v>34451</v>
      </c>
      <c r="D1631" s="185">
        <v>0.54166666666666663</v>
      </c>
      <c r="E1631" s="3">
        <v>30</v>
      </c>
      <c r="F1631" s="190">
        <v>11.5</v>
      </c>
      <c r="H1631" s="3">
        <v>4.5999999999999996</v>
      </c>
      <c r="L1631" s="66"/>
    </row>
    <row r="1632" spans="2:12" ht="15.75" customHeight="1" x14ac:dyDescent="0.2">
      <c r="C1632" s="15">
        <v>34451</v>
      </c>
      <c r="D1632" s="185">
        <v>0.54166666666666663</v>
      </c>
      <c r="E1632" s="3">
        <v>40</v>
      </c>
      <c r="F1632" s="190">
        <v>11.4</v>
      </c>
      <c r="H1632" s="3">
        <v>4.2</v>
      </c>
      <c r="L1632" s="66"/>
    </row>
    <row r="1633" spans="2:12" ht="15.75" customHeight="1" x14ac:dyDescent="0.2">
      <c r="C1633" s="15">
        <v>34451</v>
      </c>
      <c r="D1633" s="185">
        <v>0.54166666666666663</v>
      </c>
      <c r="E1633" s="3">
        <v>50</v>
      </c>
      <c r="F1633" s="190">
        <v>11.3</v>
      </c>
      <c r="H1633" s="3">
        <v>4</v>
      </c>
      <c r="L1633" s="66"/>
    </row>
    <row r="1634" spans="2:12" ht="15.75" customHeight="1" x14ac:dyDescent="0.2">
      <c r="C1634" s="15">
        <v>34451</v>
      </c>
      <c r="D1634" s="185">
        <v>0.54166666666666663</v>
      </c>
      <c r="E1634" s="3">
        <v>60</v>
      </c>
      <c r="F1634" s="190">
        <v>11.2</v>
      </c>
      <c r="H1634" s="3">
        <v>4</v>
      </c>
      <c r="L1634" s="66"/>
    </row>
    <row r="1635" spans="2:12" ht="15.75" customHeight="1" x14ac:dyDescent="0.2">
      <c r="C1635" s="15">
        <v>34451</v>
      </c>
      <c r="D1635" s="185">
        <v>0.54166666666666663</v>
      </c>
      <c r="E1635" s="3">
        <v>70</v>
      </c>
      <c r="F1635" s="190">
        <v>11.2</v>
      </c>
      <c r="H1635" s="3">
        <v>4</v>
      </c>
      <c r="L1635" s="66"/>
    </row>
    <row r="1636" spans="2:12" ht="15.75" customHeight="1" x14ac:dyDescent="0.2">
      <c r="C1636" s="15">
        <v>34451</v>
      </c>
      <c r="D1636" s="185">
        <v>0.54166666666666663</v>
      </c>
      <c r="E1636" s="3">
        <v>80</v>
      </c>
      <c r="F1636" s="190">
        <v>11.1</v>
      </c>
      <c r="H1636" s="3">
        <v>4</v>
      </c>
      <c r="L1636" s="66"/>
    </row>
    <row r="1637" spans="2:12" ht="15.75" customHeight="1" x14ac:dyDescent="0.2">
      <c r="C1637" s="15">
        <v>34451</v>
      </c>
      <c r="D1637" s="185">
        <v>0.54166666666666663</v>
      </c>
      <c r="E1637" s="3">
        <v>90</v>
      </c>
      <c r="F1637" s="190">
        <v>11.1</v>
      </c>
      <c r="H1637" s="3">
        <v>3.9</v>
      </c>
      <c r="L1637" s="66"/>
    </row>
    <row r="1638" spans="2:12" ht="15.75" customHeight="1" x14ac:dyDescent="0.2">
      <c r="C1638" s="3"/>
      <c r="E1638" s="3"/>
      <c r="H1638" s="3"/>
      <c r="L1638" s="66"/>
    </row>
    <row r="1639" spans="2:12" ht="15.75" customHeight="1" x14ac:dyDescent="0.2">
      <c r="B1639">
        <v>85</v>
      </c>
      <c r="C1639" s="15">
        <v>34423</v>
      </c>
      <c r="D1639" s="185">
        <v>0.63194444444444442</v>
      </c>
      <c r="E1639" s="3"/>
      <c r="H1639" s="3"/>
      <c r="J1639">
        <v>12.3</v>
      </c>
      <c r="K1639" s="252" t="s">
        <v>609</v>
      </c>
      <c r="L1639" s="66"/>
    </row>
    <row r="1640" spans="2:12" ht="15.75" customHeight="1" x14ac:dyDescent="0.2">
      <c r="C1640" s="15">
        <v>34423</v>
      </c>
      <c r="D1640" s="185">
        <v>0.63194444444444442</v>
      </c>
      <c r="E1640" s="3">
        <v>1</v>
      </c>
      <c r="F1640" s="190">
        <v>11.9</v>
      </c>
      <c r="G1640" s="190">
        <v>98</v>
      </c>
      <c r="H1640" s="3">
        <v>3.6</v>
      </c>
      <c r="L1640" s="66"/>
    </row>
    <row r="1641" spans="2:12" ht="15.75" customHeight="1" x14ac:dyDescent="0.2">
      <c r="C1641" s="15">
        <v>34423</v>
      </c>
      <c r="D1641" s="185">
        <v>0.63194444444444442</v>
      </c>
      <c r="E1641" s="3">
        <v>84</v>
      </c>
      <c r="F1641" s="190">
        <v>11.1</v>
      </c>
      <c r="G1641" s="190">
        <v>92</v>
      </c>
      <c r="H1641" s="3">
        <v>3.5</v>
      </c>
      <c r="L1641" s="66"/>
    </row>
    <row r="1642" spans="2:12" ht="15.75" customHeight="1" x14ac:dyDescent="0.2">
      <c r="C1642" s="3"/>
      <c r="E1642" s="3"/>
      <c r="H1642" s="3"/>
      <c r="L1642" s="66"/>
    </row>
    <row r="1643" spans="2:12" ht="15.75" customHeight="1" x14ac:dyDescent="0.2">
      <c r="B1643">
        <v>104</v>
      </c>
      <c r="C1643" s="15">
        <v>34255</v>
      </c>
      <c r="D1643" s="185">
        <v>0.42708333333333331</v>
      </c>
      <c r="E1643" s="3"/>
      <c r="H1643" s="3"/>
      <c r="J1643">
        <v>13.4</v>
      </c>
      <c r="L1643" s="66"/>
    </row>
    <row r="1644" spans="2:12" ht="15.75" customHeight="1" x14ac:dyDescent="0.2">
      <c r="C1644" s="15">
        <v>34255</v>
      </c>
      <c r="D1644" s="185">
        <v>0.42708333333333331</v>
      </c>
      <c r="E1644" s="3">
        <v>0.5</v>
      </c>
      <c r="F1644" s="190">
        <v>8.9</v>
      </c>
      <c r="H1644" s="3">
        <v>14.6</v>
      </c>
      <c r="L1644" s="66"/>
    </row>
    <row r="1645" spans="2:12" ht="15.75" customHeight="1" x14ac:dyDescent="0.2">
      <c r="C1645" s="15">
        <v>34255</v>
      </c>
      <c r="D1645" s="185">
        <v>0.42708333333333331</v>
      </c>
      <c r="E1645" s="190">
        <v>5</v>
      </c>
      <c r="F1645" s="190">
        <v>9</v>
      </c>
      <c r="H1645" s="3">
        <v>14.6</v>
      </c>
      <c r="L1645" s="66"/>
    </row>
    <row r="1646" spans="2:12" ht="15.75" customHeight="1" x14ac:dyDescent="0.2">
      <c r="C1646" s="15">
        <v>34255</v>
      </c>
      <c r="D1646" s="185">
        <v>0.42708333333333331</v>
      </c>
      <c r="E1646" s="190">
        <v>10</v>
      </c>
      <c r="F1646" s="3">
        <v>9.1</v>
      </c>
      <c r="H1646" s="3">
        <v>14.6</v>
      </c>
      <c r="L1646" s="66"/>
    </row>
    <row r="1647" spans="2:12" ht="15.75" customHeight="1" x14ac:dyDescent="0.2">
      <c r="C1647" s="15">
        <v>34255</v>
      </c>
      <c r="D1647" s="185">
        <v>0.42708333333333331</v>
      </c>
      <c r="E1647" s="190">
        <v>15</v>
      </c>
      <c r="F1647" s="3">
        <v>9.1</v>
      </c>
      <c r="H1647" s="3">
        <v>14.7</v>
      </c>
      <c r="L1647" s="66"/>
    </row>
    <row r="1648" spans="2:12" ht="15.75" customHeight="1" x14ac:dyDescent="0.2">
      <c r="C1648" s="15">
        <v>34255</v>
      </c>
      <c r="D1648" s="185">
        <v>0.42708333333333331</v>
      </c>
      <c r="E1648" s="3">
        <v>20</v>
      </c>
      <c r="F1648" s="3">
        <v>9.1999999999999993</v>
      </c>
      <c r="H1648" s="3">
        <v>14.7</v>
      </c>
      <c r="L1648" s="66"/>
    </row>
    <row r="1649" spans="2:12" ht="15.75" customHeight="1" x14ac:dyDescent="0.2">
      <c r="C1649" s="15">
        <v>34255</v>
      </c>
      <c r="D1649" s="185">
        <v>0.42708333333333331</v>
      </c>
      <c r="E1649" s="3">
        <v>25</v>
      </c>
      <c r="F1649" s="190">
        <v>9.1999999999999993</v>
      </c>
      <c r="H1649" s="3">
        <v>14.7</v>
      </c>
      <c r="L1649" s="66"/>
    </row>
    <row r="1650" spans="2:12" ht="15.75" customHeight="1" x14ac:dyDescent="0.2">
      <c r="C1650" s="15">
        <v>34255</v>
      </c>
      <c r="D1650" s="185">
        <v>0.42708333333333331</v>
      </c>
      <c r="E1650" s="3">
        <v>30</v>
      </c>
      <c r="F1650" s="190">
        <v>9.1999999999999993</v>
      </c>
      <c r="H1650" s="3">
        <v>14.7</v>
      </c>
      <c r="L1650" s="66"/>
    </row>
    <row r="1651" spans="2:12" ht="15.75" customHeight="1" x14ac:dyDescent="0.2">
      <c r="C1651" s="15">
        <v>34255</v>
      </c>
      <c r="D1651" s="185">
        <v>0.42708333333333331</v>
      </c>
      <c r="E1651" s="3">
        <v>35</v>
      </c>
      <c r="F1651" s="190">
        <v>10.3</v>
      </c>
      <c r="H1651" s="3">
        <v>11.1</v>
      </c>
      <c r="L1651" s="66"/>
    </row>
    <row r="1652" spans="2:12" ht="15.75" customHeight="1" x14ac:dyDescent="0.2">
      <c r="C1652" s="15">
        <v>34255</v>
      </c>
      <c r="D1652" s="185">
        <v>0.42708333333333331</v>
      </c>
      <c r="E1652" s="3">
        <v>40</v>
      </c>
      <c r="F1652" s="190">
        <v>10.7</v>
      </c>
      <c r="H1652" s="3">
        <v>8.1999999999999993</v>
      </c>
      <c r="L1652" s="66"/>
    </row>
    <row r="1653" spans="2:12" ht="15.75" customHeight="1" x14ac:dyDescent="0.2">
      <c r="C1653" s="15">
        <v>34255</v>
      </c>
      <c r="D1653" s="185">
        <v>0.42708333333333331</v>
      </c>
      <c r="E1653" s="3">
        <v>45</v>
      </c>
      <c r="F1653" s="190">
        <v>10.6</v>
      </c>
      <c r="H1653" s="3">
        <v>6.9</v>
      </c>
      <c r="L1653" s="66"/>
    </row>
    <row r="1654" spans="2:12" ht="15.75" customHeight="1" x14ac:dyDescent="0.2">
      <c r="C1654" s="15">
        <v>34255</v>
      </c>
      <c r="D1654" s="185">
        <v>0.42708333333333331</v>
      </c>
      <c r="E1654" s="3">
        <v>50</v>
      </c>
      <c r="F1654" s="190">
        <v>10.6</v>
      </c>
      <c r="H1654" s="3">
        <v>6.3</v>
      </c>
      <c r="L1654" s="66"/>
    </row>
    <row r="1655" spans="2:12" ht="15.75" customHeight="1" x14ac:dyDescent="0.2">
      <c r="C1655" s="3"/>
      <c r="E1655" s="3"/>
      <c r="H1655" s="3"/>
      <c r="L1655" s="66"/>
    </row>
    <row r="1656" spans="2:12" ht="15.75" customHeight="1" x14ac:dyDescent="0.2">
      <c r="B1656">
        <v>105</v>
      </c>
      <c r="C1656" s="15">
        <v>34227</v>
      </c>
      <c r="D1656" s="185">
        <v>0.46875</v>
      </c>
      <c r="E1656" s="3"/>
      <c r="H1656" s="3"/>
      <c r="J1656">
        <v>11</v>
      </c>
      <c r="L1656" s="66"/>
    </row>
    <row r="1657" spans="2:12" ht="15.75" customHeight="1" x14ac:dyDescent="0.2">
      <c r="C1657" s="15">
        <v>34227</v>
      </c>
      <c r="D1657" s="185">
        <v>0.46875</v>
      </c>
      <c r="E1657" s="3">
        <v>0.5</v>
      </c>
      <c r="F1657" s="190">
        <v>8.59</v>
      </c>
      <c r="H1657" s="3">
        <v>17.47</v>
      </c>
      <c r="L1657" s="66"/>
    </row>
    <row r="1658" spans="2:12" ht="15.75" customHeight="1" x14ac:dyDescent="0.2">
      <c r="C1658" s="15">
        <v>34227</v>
      </c>
      <c r="D1658" s="185">
        <v>0.46875</v>
      </c>
      <c r="E1658" s="3">
        <v>2</v>
      </c>
      <c r="F1658" s="190">
        <v>8.4600000000000009</v>
      </c>
      <c r="H1658" s="3">
        <v>17.559999999999999</v>
      </c>
      <c r="L1658" s="66"/>
    </row>
    <row r="1659" spans="2:12" ht="15.75" customHeight="1" x14ac:dyDescent="0.2">
      <c r="C1659" s="15">
        <v>34227</v>
      </c>
      <c r="D1659" s="185">
        <v>0.46875</v>
      </c>
      <c r="E1659" s="3">
        <v>4</v>
      </c>
      <c r="F1659" s="190">
        <v>8.5</v>
      </c>
      <c r="H1659" s="3">
        <v>17.559999999999999</v>
      </c>
      <c r="L1659" s="66"/>
    </row>
    <row r="1660" spans="2:12" ht="15.75" customHeight="1" x14ac:dyDescent="0.2">
      <c r="C1660" s="15">
        <v>34227</v>
      </c>
      <c r="D1660" s="185">
        <v>0.46875</v>
      </c>
      <c r="E1660" s="3">
        <v>6</v>
      </c>
      <c r="F1660" s="190">
        <v>8.56</v>
      </c>
      <c r="H1660" s="3">
        <v>17.53</v>
      </c>
      <c r="L1660" s="66"/>
    </row>
    <row r="1661" spans="2:12" ht="15.75" customHeight="1" x14ac:dyDescent="0.2">
      <c r="C1661" s="15">
        <v>34227</v>
      </c>
      <c r="D1661" s="185">
        <v>0.46875</v>
      </c>
      <c r="E1661" s="3">
        <v>8</v>
      </c>
      <c r="F1661" s="190">
        <v>8.59</v>
      </c>
      <c r="H1661" s="3">
        <v>17.54</v>
      </c>
      <c r="L1661" s="66"/>
    </row>
    <row r="1662" spans="2:12" ht="15.75" customHeight="1" x14ac:dyDescent="0.2">
      <c r="C1662" s="15">
        <v>34227</v>
      </c>
      <c r="D1662" s="185">
        <v>0.46875</v>
      </c>
      <c r="E1662" s="3">
        <v>10</v>
      </c>
      <c r="F1662" s="190">
        <v>8.66</v>
      </c>
      <c r="H1662" s="3">
        <v>17.41</v>
      </c>
      <c r="L1662" s="66"/>
    </row>
    <row r="1663" spans="2:12" ht="15.75" customHeight="1" x14ac:dyDescent="0.2">
      <c r="C1663" s="15">
        <v>34227</v>
      </c>
      <c r="D1663" s="185">
        <v>0.46875</v>
      </c>
      <c r="E1663" s="3">
        <v>12</v>
      </c>
      <c r="F1663" s="190">
        <v>9.27</v>
      </c>
      <c r="H1663" s="3">
        <v>15.05</v>
      </c>
      <c r="L1663" s="66"/>
    </row>
    <row r="1664" spans="2:12" ht="15.75" customHeight="1" x14ac:dyDescent="0.2">
      <c r="C1664" s="15">
        <v>34227</v>
      </c>
      <c r="D1664" s="185">
        <v>0.46875</v>
      </c>
      <c r="E1664" s="3">
        <v>14</v>
      </c>
      <c r="F1664" s="190">
        <v>10.06</v>
      </c>
      <c r="H1664" s="3">
        <v>11.47</v>
      </c>
      <c r="L1664" s="66"/>
    </row>
    <row r="1665" spans="2:12" ht="15.75" customHeight="1" x14ac:dyDescent="0.2">
      <c r="C1665" s="15">
        <v>34227</v>
      </c>
      <c r="D1665" s="185">
        <v>0.46875</v>
      </c>
      <c r="E1665" s="3">
        <v>16</v>
      </c>
      <c r="F1665" s="190">
        <v>10.23</v>
      </c>
      <c r="H1665" s="3">
        <v>8.7799999999999994</v>
      </c>
      <c r="L1665" s="66"/>
    </row>
    <row r="1666" spans="2:12" ht="15.75" customHeight="1" x14ac:dyDescent="0.2">
      <c r="C1666" s="15">
        <v>34227</v>
      </c>
      <c r="D1666" s="185">
        <v>0.46875</v>
      </c>
      <c r="E1666" s="3">
        <v>20</v>
      </c>
      <c r="F1666" s="190">
        <v>10.64</v>
      </c>
      <c r="H1666" s="3">
        <v>6.57</v>
      </c>
      <c r="L1666" s="66"/>
    </row>
    <row r="1667" spans="2:12" ht="15.75" customHeight="1" x14ac:dyDescent="0.2">
      <c r="C1667" s="15">
        <v>34227</v>
      </c>
      <c r="D1667" s="185">
        <v>0.46875</v>
      </c>
      <c r="E1667" s="3">
        <v>30</v>
      </c>
      <c r="F1667" s="190">
        <v>10.28</v>
      </c>
      <c r="H1667" s="3">
        <v>5.3</v>
      </c>
      <c r="L1667" s="66"/>
    </row>
    <row r="1668" spans="2:12" ht="15.75" customHeight="1" x14ac:dyDescent="0.2">
      <c r="C1668" s="15">
        <v>34227</v>
      </c>
      <c r="D1668" s="185">
        <v>0.46875</v>
      </c>
      <c r="E1668" s="3">
        <v>70</v>
      </c>
      <c r="F1668" s="190">
        <v>10</v>
      </c>
      <c r="H1668" s="3">
        <v>4.29</v>
      </c>
      <c r="L1668" s="66"/>
    </row>
    <row r="1669" spans="2:12" ht="15.75" customHeight="1" x14ac:dyDescent="0.2">
      <c r="C1669" s="15">
        <v>34227</v>
      </c>
      <c r="D1669" s="185">
        <v>0.46875</v>
      </c>
      <c r="E1669" s="3">
        <v>80</v>
      </c>
      <c r="F1669" s="190">
        <v>9.9700000000000006</v>
      </c>
      <c r="H1669" s="3">
        <v>4.22</v>
      </c>
      <c r="L1669" s="66"/>
    </row>
    <row r="1670" spans="2:12" ht="15.75" customHeight="1" x14ac:dyDescent="0.2">
      <c r="C1670" s="15">
        <v>34227</v>
      </c>
      <c r="D1670" s="185">
        <v>0.46875</v>
      </c>
      <c r="E1670" s="3">
        <v>90</v>
      </c>
      <c r="F1670" s="190">
        <v>9.94</v>
      </c>
      <c r="H1670" s="3">
        <v>4.13</v>
      </c>
      <c r="L1670" s="66"/>
    </row>
    <row r="1671" spans="2:12" ht="15.75" customHeight="1" x14ac:dyDescent="0.2">
      <c r="C1671" s="15">
        <v>34227</v>
      </c>
      <c r="D1671" s="185">
        <v>0.46875</v>
      </c>
      <c r="E1671" s="3">
        <v>100</v>
      </c>
      <c r="F1671" s="190">
        <v>10.02</v>
      </c>
      <c r="H1671" s="3">
        <v>4.96</v>
      </c>
      <c r="J1671" s="252" t="s">
        <v>627</v>
      </c>
      <c r="L1671" s="66"/>
    </row>
    <row r="1672" spans="2:12" ht="15.75" customHeight="1" x14ac:dyDescent="0.2">
      <c r="C1672" s="3"/>
      <c r="E1672" s="3"/>
      <c r="H1672" s="3"/>
      <c r="L1672" s="66"/>
    </row>
    <row r="1673" spans="2:12" ht="15.75" customHeight="1" x14ac:dyDescent="0.2">
      <c r="B1673">
        <v>98.5</v>
      </c>
      <c r="C1673" s="15">
        <v>34199</v>
      </c>
      <c r="D1673" s="185">
        <v>0.42708333333333331</v>
      </c>
      <c r="E1673" s="3"/>
      <c r="H1673" s="3"/>
      <c r="J1673">
        <v>13.9</v>
      </c>
      <c r="L1673" s="66"/>
    </row>
    <row r="1674" spans="2:12" ht="15.75" customHeight="1" x14ac:dyDescent="0.2">
      <c r="C1674" s="15">
        <v>34199</v>
      </c>
      <c r="D1674" s="185">
        <v>0.42708333333333331</v>
      </c>
      <c r="E1674" s="3">
        <v>0.5</v>
      </c>
      <c r="F1674" s="190">
        <v>8.4</v>
      </c>
      <c r="H1674" s="3">
        <v>19.8</v>
      </c>
      <c r="L1674" s="66"/>
    </row>
    <row r="1675" spans="2:12" ht="15.75" customHeight="1" x14ac:dyDescent="0.2">
      <c r="C1675" s="15">
        <v>34199</v>
      </c>
      <c r="D1675" s="185">
        <v>0.42708333333333331</v>
      </c>
      <c r="E1675" s="3">
        <v>2</v>
      </c>
      <c r="F1675" s="190">
        <v>8.5</v>
      </c>
      <c r="H1675" s="3">
        <v>19.399999999999999</v>
      </c>
      <c r="L1675" s="66"/>
    </row>
    <row r="1676" spans="2:12" ht="15.75" customHeight="1" x14ac:dyDescent="0.2">
      <c r="C1676" s="15">
        <v>34199</v>
      </c>
      <c r="D1676" s="185">
        <v>0.42708333333333331</v>
      </c>
      <c r="E1676" s="3">
        <v>4</v>
      </c>
      <c r="F1676" s="190">
        <v>8.5</v>
      </c>
      <c r="H1676" s="3">
        <v>19.399999999999999</v>
      </c>
      <c r="L1676" s="66"/>
    </row>
    <row r="1677" spans="2:12" ht="15.75" customHeight="1" x14ac:dyDescent="0.2">
      <c r="C1677" s="15">
        <v>34199</v>
      </c>
      <c r="D1677" s="185">
        <v>0.42708333333333331</v>
      </c>
      <c r="E1677" s="3">
        <v>6</v>
      </c>
      <c r="F1677" s="190">
        <v>8.5</v>
      </c>
      <c r="H1677" s="3">
        <v>19.3</v>
      </c>
      <c r="L1677" s="66"/>
    </row>
    <row r="1678" spans="2:12" ht="15.75" customHeight="1" x14ac:dyDescent="0.2">
      <c r="C1678" s="15">
        <v>34199</v>
      </c>
      <c r="D1678" s="185">
        <v>0.42708333333333331</v>
      </c>
      <c r="E1678" s="3">
        <v>8</v>
      </c>
      <c r="F1678" s="190">
        <v>8.6</v>
      </c>
      <c r="H1678" s="3">
        <v>19.3</v>
      </c>
      <c r="L1678" s="66"/>
    </row>
    <row r="1679" spans="2:12" ht="15.75" customHeight="1" x14ac:dyDescent="0.2">
      <c r="C1679" s="15">
        <v>34199</v>
      </c>
      <c r="D1679" s="185">
        <v>0.42708333333333331</v>
      </c>
      <c r="E1679" s="3">
        <v>10</v>
      </c>
      <c r="F1679" s="190">
        <v>9.1999999999999993</v>
      </c>
      <c r="H1679" s="3">
        <v>17.399999999999999</v>
      </c>
      <c r="L1679" s="66"/>
    </row>
    <row r="1680" spans="2:12" ht="15.75" customHeight="1" x14ac:dyDescent="0.2">
      <c r="C1680" s="15">
        <v>34199</v>
      </c>
      <c r="D1680" s="185">
        <v>0.42708333333333331</v>
      </c>
      <c r="E1680" s="3">
        <v>12</v>
      </c>
      <c r="F1680" s="190">
        <v>9.8000000000000007</v>
      </c>
      <c r="H1680" s="3">
        <v>13.8</v>
      </c>
      <c r="L1680" s="66"/>
    </row>
    <row r="1681" spans="2:12" ht="15.75" customHeight="1" x14ac:dyDescent="0.2">
      <c r="C1681" s="15">
        <v>34199</v>
      </c>
      <c r="D1681" s="185">
        <v>0.42708333333333331</v>
      </c>
      <c r="E1681" s="3">
        <v>14</v>
      </c>
      <c r="F1681" s="190">
        <v>10.6</v>
      </c>
      <c r="H1681" s="3">
        <v>9.4</v>
      </c>
      <c r="L1681" s="66"/>
    </row>
    <row r="1682" spans="2:12" ht="15.75" customHeight="1" x14ac:dyDescent="0.2">
      <c r="C1682" s="15">
        <v>34199</v>
      </c>
      <c r="D1682" s="185">
        <v>0.42708333333333331</v>
      </c>
      <c r="E1682" s="3">
        <v>16</v>
      </c>
      <c r="F1682" s="190">
        <v>10.7</v>
      </c>
      <c r="H1682" s="3">
        <v>8.3000000000000007</v>
      </c>
      <c r="L1682" s="66"/>
    </row>
    <row r="1683" spans="2:12" ht="15.75" customHeight="1" x14ac:dyDescent="0.2">
      <c r="C1683" s="15">
        <v>34199</v>
      </c>
      <c r="D1683" s="185">
        <v>0.42708333333333331</v>
      </c>
      <c r="E1683" s="3">
        <v>20</v>
      </c>
      <c r="F1683" s="190">
        <v>10.9</v>
      </c>
      <c r="H1683" s="3">
        <v>6.7</v>
      </c>
      <c r="L1683" s="66"/>
    </row>
    <row r="1684" spans="2:12" ht="15.75" customHeight="1" x14ac:dyDescent="0.2">
      <c r="C1684" s="15">
        <v>34199</v>
      </c>
      <c r="D1684" s="185">
        <v>0.42708333333333331</v>
      </c>
      <c r="E1684" s="3">
        <v>30</v>
      </c>
      <c r="F1684" s="190">
        <v>10.7</v>
      </c>
      <c r="H1684" s="3">
        <v>5.4</v>
      </c>
      <c r="L1684" s="66"/>
    </row>
    <row r="1685" spans="2:12" ht="15.75" customHeight="1" x14ac:dyDescent="0.2">
      <c r="C1685" s="15">
        <v>34199</v>
      </c>
      <c r="D1685" s="185">
        <v>0.42708333333333331</v>
      </c>
      <c r="E1685" s="3">
        <v>40</v>
      </c>
      <c r="F1685" s="190">
        <v>10.5</v>
      </c>
      <c r="H1685" s="3">
        <v>4.9000000000000004</v>
      </c>
      <c r="L1685" s="66"/>
    </row>
    <row r="1686" spans="2:12" ht="15.75" customHeight="1" x14ac:dyDescent="0.2">
      <c r="C1686" s="15">
        <v>34199</v>
      </c>
      <c r="D1686" s="185">
        <v>0.42708333333333331</v>
      </c>
      <c r="E1686" s="3">
        <v>50</v>
      </c>
      <c r="F1686" s="190">
        <v>10.6</v>
      </c>
      <c r="H1686" s="3">
        <v>4.7</v>
      </c>
      <c r="L1686" s="66"/>
    </row>
    <row r="1687" spans="2:12" ht="15.75" customHeight="1" x14ac:dyDescent="0.2">
      <c r="C1687" s="15">
        <v>34199</v>
      </c>
      <c r="D1687" s="185">
        <v>0.42708333333333331</v>
      </c>
      <c r="E1687" s="3">
        <v>60</v>
      </c>
      <c r="F1687" s="190">
        <v>10.6</v>
      </c>
      <c r="H1687" s="3">
        <v>4.5999999999999996</v>
      </c>
      <c r="L1687" s="66"/>
    </row>
    <row r="1688" spans="2:12" ht="15.75" customHeight="1" x14ac:dyDescent="0.2">
      <c r="C1688" s="15">
        <v>34199</v>
      </c>
      <c r="D1688" s="185">
        <v>0.42708333333333331</v>
      </c>
      <c r="E1688" s="3">
        <v>70</v>
      </c>
      <c r="F1688" s="190">
        <v>10.6</v>
      </c>
      <c r="H1688" s="3">
        <v>4.5</v>
      </c>
      <c r="L1688" s="66"/>
    </row>
    <row r="1689" spans="2:12" ht="15.75" customHeight="1" x14ac:dyDescent="0.2">
      <c r="C1689" s="15">
        <v>34199</v>
      </c>
      <c r="D1689" s="185">
        <v>0.42708333333333331</v>
      </c>
      <c r="E1689" s="3">
        <v>80</v>
      </c>
      <c r="F1689" s="190">
        <v>10.7</v>
      </c>
      <c r="H1689" s="3">
        <v>4.3</v>
      </c>
      <c r="L1689" s="66"/>
    </row>
    <row r="1690" spans="2:12" ht="15.75" customHeight="1" x14ac:dyDescent="0.2">
      <c r="C1690" s="15">
        <v>34199</v>
      </c>
      <c r="D1690" s="185">
        <v>0.42708333333333331</v>
      </c>
      <c r="E1690" s="3">
        <v>90</v>
      </c>
      <c r="F1690" s="190">
        <v>10.8</v>
      </c>
      <c r="H1690" s="3">
        <v>4.2</v>
      </c>
      <c r="L1690" s="66"/>
    </row>
    <row r="1691" spans="2:12" ht="15.75" customHeight="1" x14ac:dyDescent="0.2">
      <c r="C1691" s="3"/>
      <c r="E1691" s="3"/>
      <c r="H1691" s="3"/>
      <c r="L1691" s="66"/>
    </row>
    <row r="1692" spans="2:12" ht="15.75" customHeight="1" x14ac:dyDescent="0.2">
      <c r="B1692">
        <v>46</v>
      </c>
      <c r="C1692" s="15">
        <v>34158</v>
      </c>
      <c r="D1692" s="185">
        <v>0.5</v>
      </c>
      <c r="E1692" s="3"/>
      <c r="H1692" s="3"/>
      <c r="J1692">
        <v>8</v>
      </c>
      <c r="L1692" s="66"/>
    </row>
    <row r="1693" spans="2:12" ht="15.75" customHeight="1" x14ac:dyDescent="0.2">
      <c r="C1693" s="15">
        <v>34158</v>
      </c>
      <c r="D1693" s="185">
        <v>0.5</v>
      </c>
      <c r="E1693" s="3">
        <v>0.5</v>
      </c>
      <c r="F1693" s="190">
        <v>9.1999999999999993</v>
      </c>
      <c r="H1693" s="3">
        <v>18</v>
      </c>
      <c r="L1693" s="66"/>
    </row>
    <row r="1694" spans="2:12" ht="15.75" customHeight="1" x14ac:dyDescent="0.2">
      <c r="C1694" s="15">
        <v>34158</v>
      </c>
      <c r="D1694" s="185">
        <v>0.5</v>
      </c>
      <c r="E1694" s="3">
        <v>2</v>
      </c>
      <c r="F1694" s="250">
        <v>9.1999999999999993</v>
      </c>
      <c r="H1694" s="3">
        <v>17</v>
      </c>
      <c r="L1694" s="66"/>
    </row>
    <row r="1695" spans="2:12" ht="15.75" customHeight="1" x14ac:dyDescent="0.2">
      <c r="C1695" s="15">
        <v>34158</v>
      </c>
      <c r="D1695" s="185">
        <v>0.5</v>
      </c>
      <c r="E1695" s="3">
        <v>4</v>
      </c>
      <c r="F1695" s="190">
        <v>9.1999999999999993</v>
      </c>
      <c r="H1695" s="3">
        <v>16.8</v>
      </c>
      <c r="L1695" s="66"/>
    </row>
    <row r="1696" spans="2:12" ht="15.75" customHeight="1" x14ac:dyDescent="0.2">
      <c r="C1696" s="15">
        <v>34158</v>
      </c>
      <c r="D1696" s="185">
        <v>0.5</v>
      </c>
      <c r="E1696" s="3">
        <v>6</v>
      </c>
      <c r="F1696" s="190">
        <v>9.1999999999999993</v>
      </c>
      <c r="H1696" s="3">
        <v>16</v>
      </c>
      <c r="L1696" s="66"/>
    </row>
    <row r="1697" spans="2:12" ht="15.75" customHeight="1" x14ac:dyDescent="0.2">
      <c r="C1697" s="15">
        <v>34158</v>
      </c>
      <c r="D1697" s="185">
        <v>0.5</v>
      </c>
      <c r="E1697" s="3">
        <v>8</v>
      </c>
      <c r="F1697" s="190">
        <v>9.3000000000000007</v>
      </c>
      <c r="H1697" s="3">
        <v>16.100000000000001</v>
      </c>
      <c r="L1697" s="66"/>
    </row>
    <row r="1698" spans="2:12" ht="15.75" customHeight="1" x14ac:dyDescent="0.2">
      <c r="C1698" s="15">
        <v>34158</v>
      </c>
      <c r="D1698" s="185">
        <v>0.5</v>
      </c>
      <c r="E1698" s="3">
        <v>10</v>
      </c>
      <c r="F1698" s="190">
        <v>9.9</v>
      </c>
      <c r="H1698" s="3">
        <v>13.7</v>
      </c>
      <c r="L1698" s="66"/>
    </row>
    <row r="1699" spans="2:12" ht="15.75" customHeight="1" x14ac:dyDescent="0.2">
      <c r="C1699" s="15">
        <v>34158</v>
      </c>
      <c r="D1699" s="185">
        <v>0.5</v>
      </c>
      <c r="E1699" s="3">
        <v>12</v>
      </c>
      <c r="F1699" s="190">
        <v>10.7</v>
      </c>
      <c r="H1699" s="3">
        <v>11.2</v>
      </c>
      <c r="L1699" s="66"/>
    </row>
    <row r="1700" spans="2:12" ht="15.75" customHeight="1" x14ac:dyDescent="0.2">
      <c r="C1700" s="15">
        <v>34158</v>
      </c>
      <c r="D1700" s="185">
        <v>0.5</v>
      </c>
      <c r="E1700" s="3">
        <v>14</v>
      </c>
      <c r="F1700" s="190">
        <v>11.2</v>
      </c>
      <c r="H1700" s="3">
        <v>9.1999999999999993</v>
      </c>
      <c r="L1700" s="66"/>
    </row>
    <row r="1701" spans="2:12" ht="15.75" customHeight="1" x14ac:dyDescent="0.2">
      <c r="C1701" s="15">
        <v>34158</v>
      </c>
      <c r="D1701" s="185">
        <v>0.5</v>
      </c>
      <c r="E1701" s="3">
        <v>16</v>
      </c>
      <c r="F1701" s="190">
        <v>11.3</v>
      </c>
      <c r="H1701" s="3">
        <v>7.8</v>
      </c>
      <c r="L1701" s="66"/>
    </row>
    <row r="1702" spans="2:12" ht="15.75" customHeight="1" x14ac:dyDescent="0.2">
      <c r="C1702" s="15">
        <v>34158</v>
      </c>
      <c r="D1702" s="185">
        <v>0.5</v>
      </c>
      <c r="E1702" s="3">
        <v>18</v>
      </c>
      <c r="F1702" s="190">
        <v>11.3</v>
      </c>
      <c r="H1702" s="3">
        <v>6.3</v>
      </c>
      <c r="L1702" s="66"/>
    </row>
    <row r="1703" spans="2:12" ht="15.75" customHeight="1" x14ac:dyDescent="0.2">
      <c r="C1703" s="15">
        <v>34158</v>
      </c>
      <c r="D1703" s="185">
        <v>0.5</v>
      </c>
      <c r="E1703" s="3">
        <v>30</v>
      </c>
      <c r="F1703" s="190">
        <v>11</v>
      </c>
      <c r="H1703" s="3">
        <v>5.4</v>
      </c>
      <c r="L1703" s="66"/>
    </row>
    <row r="1704" spans="2:12" ht="15.75" customHeight="1" x14ac:dyDescent="0.2">
      <c r="C1704" s="15">
        <v>34158</v>
      </c>
      <c r="D1704" s="185">
        <v>0.5</v>
      </c>
      <c r="E1704" s="3">
        <v>40</v>
      </c>
      <c r="F1704" s="190">
        <v>10.8</v>
      </c>
      <c r="H1704" s="3">
        <v>4.5</v>
      </c>
      <c r="L1704" s="66"/>
    </row>
    <row r="1705" spans="2:12" ht="15.75" customHeight="1" x14ac:dyDescent="0.2">
      <c r="C1705" s="15">
        <v>34158</v>
      </c>
      <c r="D1705" s="185">
        <v>0.5</v>
      </c>
      <c r="E1705" s="3">
        <v>45</v>
      </c>
      <c r="F1705" s="190">
        <v>10.8</v>
      </c>
      <c r="H1705" s="3">
        <v>4.5999999999999996</v>
      </c>
      <c r="L1705" s="66"/>
    </row>
    <row r="1706" spans="2:12" ht="15.75" customHeight="1" x14ac:dyDescent="0.2">
      <c r="C1706" s="3"/>
      <c r="E1706" s="3"/>
      <c r="H1706" s="3"/>
      <c r="L1706" s="66"/>
    </row>
    <row r="1707" spans="2:12" ht="15.75" customHeight="1" x14ac:dyDescent="0.2">
      <c r="B1707">
        <v>62</v>
      </c>
      <c r="C1707" s="15">
        <v>34136</v>
      </c>
      <c r="D1707" s="185">
        <v>0.42708333333333331</v>
      </c>
      <c r="E1707" s="3"/>
      <c r="H1707" s="3"/>
      <c r="J1707">
        <v>7.5</v>
      </c>
      <c r="L1707" s="66"/>
    </row>
    <row r="1708" spans="2:12" ht="15.75" customHeight="1" x14ac:dyDescent="0.2">
      <c r="C1708" s="15">
        <v>34136</v>
      </c>
      <c r="D1708" s="185">
        <v>0.42708333333333331</v>
      </c>
      <c r="E1708" s="3">
        <v>0.5</v>
      </c>
      <c r="F1708" s="190">
        <v>9.4</v>
      </c>
      <c r="H1708" s="3">
        <v>15.5</v>
      </c>
      <c r="L1708" s="66"/>
    </row>
    <row r="1709" spans="2:12" ht="15.75" customHeight="1" x14ac:dyDescent="0.2">
      <c r="C1709" s="15">
        <v>34136</v>
      </c>
      <c r="D1709" s="185">
        <v>0.42708333333333331</v>
      </c>
      <c r="E1709" s="3">
        <v>10</v>
      </c>
      <c r="F1709" s="190">
        <v>9.6</v>
      </c>
      <c r="H1709" s="3">
        <v>13.6</v>
      </c>
      <c r="L1709" s="66"/>
    </row>
    <row r="1710" spans="2:12" ht="15.75" customHeight="1" x14ac:dyDescent="0.2">
      <c r="C1710" s="15">
        <v>34136</v>
      </c>
      <c r="D1710" s="185">
        <v>0.42708333333333331</v>
      </c>
      <c r="E1710" s="3">
        <v>20</v>
      </c>
      <c r="F1710" s="190">
        <v>11</v>
      </c>
      <c r="H1710" s="3">
        <v>6</v>
      </c>
      <c r="L1710" s="66"/>
    </row>
    <row r="1711" spans="2:12" ht="15.75" customHeight="1" x14ac:dyDescent="0.2">
      <c r="C1711" s="15">
        <v>34136</v>
      </c>
      <c r="D1711" s="185">
        <v>0.42708333333333331</v>
      </c>
      <c r="E1711" s="3">
        <v>30</v>
      </c>
      <c r="F1711" s="190">
        <v>10.8</v>
      </c>
      <c r="H1711" s="3">
        <v>4.5999999999999996</v>
      </c>
      <c r="L1711" s="66"/>
    </row>
    <row r="1712" spans="2:12" ht="15.75" customHeight="1" x14ac:dyDescent="0.2">
      <c r="C1712" s="15">
        <v>34136</v>
      </c>
      <c r="D1712" s="185">
        <v>0.42708333333333331</v>
      </c>
      <c r="E1712" s="3">
        <v>40</v>
      </c>
      <c r="F1712" s="190">
        <v>10.3</v>
      </c>
      <c r="H1712" s="3">
        <v>4.5</v>
      </c>
      <c r="L1712" s="66"/>
    </row>
    <row r="1713" spans="2:12" ht="15.75" customHeight="1" x14ac:dyDescent="0.2">
      <c r="C1713" s="15">
        <v>34136</v>
      </c>
      <c r="D1713" s="185">
        <v>0.42708333333333331</v>
      </c>
      <c r="E1713" s="3">
        <v>50</v>
      </c>
      <c r="F1713" s="190">
        <v>10.3</v>
      </c>
      <c r="H1713" s="3">
        <v>4.7</v>
      </c>
      <c r="L1713" s="66"/>
    </row>
    <row r="1714" spans="2:12" ht="15.75" customHeight="1" x14ac:dyDescent="0.2">
      <c r="C1714" s="15">
        <v>34136</v>
      </c>
      <c r="D1714" s="185">
        <v>0.42708333333333331</v>
      </c>
      <c r="E1714" s="3">
        <v>60</v>
      </c>
      <c r="F1714" s="190">
        <v>10.199999999999999</v>
      </c>
      <c r="H1714" s="3">
        <v>4.7</v>
      </c>
      <c r="L1714" s="66"/>
    </row>
    <row r="1715" spans="2:12" ht="15.75" customHeight="1" x14ac:dyDescent="0.2">
      <c r="C1715" s="3"/>
      <c r="E1715" s="3"/>
      <c r="H1715" s="3"/>
      <c r="L1715" s="66"/>
    </row>
    <row r="1716" spans="2:12" ht="15.75" customHeight="1" x14ac:dyDescent="0.2">
      <c r="B1716">
        <v>42.3</v>
      </c>
      <c r="C1716" s="15">
        <v>34107</v>
      </c>
      <c r="D1716" s="185">
        <v>0.66666666666666663</v>
      </c>
      <c r="E1716" s="3"/>
      <c r="H1716" s="3"/>
      <c r="J1716">
        <v>7.5</v>
      </c>
      <c r="L1716" s="66"/>
    </row>
    <row r="1717" spans="2:12" ht="15.75" customHeight="1" x14ac:dyDescent="0.2">
      <c r="C1717" s="15">
        <v>34107</v>
      </c>
      <c r="D1717" s="185">
        <v>0.66666666666666663</v>
      </c>
      <c r="E1717" s="3">
        <v>0.5</v>
      </c>
      <c r="F1717" s="190">
        <v>10.8</v>
      </c>
      <c r="H1717" s="3">
        <v>14.6</v>
      </c>
      <c r="L1717" s="66"/>
    </row>
    <row r="1718" spans="2:12" ht="15.75" customHeight="1" x14ac:dyDescent="0.2">
      <c r="C1718" s="15">
        <v>34107</v>
      </c>
      <c r="D1718" s="185">
        <v>0.66666666666666663</v>
      </c>
      <c r="E1718" s="3">
        <v>5</v>
      </c>
      <c r="F1718" s="190">
        <v>11.5</v>
      </c>
      <c r="H1718" s="3">
        <v>10.9</v>
      </c>
      <c r="L1718" s="66"/>
    </row>
    <row r="1719" spans="2:12" ht="15.75" customHeight="1" x14ac:dyDescent="0.2">
      <c r="C1719" s="15">
        <v>34107</v>
      </c>
      <c r="D1719" s="185">
        <v>0.66666666666666663</v>
      </c>
      <c r="E1719" s="3">
        <v>10</v>
      </c>
      <c r="F1719" s="190">
        <v>11.9</v>
      </c>
      <c r="H1719" s="3">
        <v>8.3000000000000007</v>
      </c>
      <c r="L1719" s="66"/>
    </row>
    <row r="1720" spans="2:12" ht="15.75" customHeight="1" x14ac:dyDescent="0.2">
      <c r="C1720" s="15">
        <v>34107</v>
      </c>
      <c r="D1720" s="185">
        <v>0.66666666666666663</v>
      </c>
      <c r="E1720" s="3">
        <v>15</v>
      </c>
      <c r="F1720" s="190">
        <v>12.1</v>
      </c>
      <c r="H1720" s="3">
        <v>6.3</v>
      </c>
      <c r="L1720" s="66"/>
    </row>
    <row r="1721" spans="2:12" ht="15.75" customHeight="1" x14ac:dyDescent="0.2">
      <c r="C1721" s="15">
        <v>34107</v>
      </c>
      <c r="D1721" s="185">
        <v>0.66666666666666663</v>
      </c>
      <c r="E1721" s="3">
        <v>20</v>
      </c>
      <c r="F1721" s="190">
        <v>12</v>
      </c>
      <c r="H1721" s="3">
        <v>5.6</v>
      </c>
      <c r="L1721" s="66"/>
    </row>
    <row r="1722" spans="2:12" ht="15.75" customHeight="1" x14ac:dyDescent="0.2">
      <c r="C1722" s="15">
        <v>34107</v>
      </c>
      <c r="D1722" s="185">
        <v>0.66666666666666663</v>
      </c>
      <c r="E1722" s="3">
        <v>25</v>
      </c>
      <c r="F1722" s="190">
        <v>11.7</v>
      </c>
      <c r="H1722" s="3">
        <v>5</v>
      </c>
      <c r="L1722" s="66"/>
    </row>
    <row r="1723" spans="2:12" ht="15.75" customHeight="1" x14ac:dyDescent="0.2">
      <c r="C1723" s="15">
        <v>34107</v>
      </c>
      <c r="D1723" s="185">
        <v>0.66666666666666663</v>
      </c>
      <c r="E1723" s="3">
        <v>30</v>
      </c>
      <c r="F1723" s="190">
        <v>11.6</v>
      </c>
      <c r="H1723" s="3">
        <v>4.8</v>
      </c>
      <c r="L1723" s="66"/>
    </row>
    <row r="1724" spans="2:12" ht="15.75" customHeight="1" x14ac:dyDescent="0.2">
      <c r="C1724" s="15">
        <v>34107</v>
      </c>
      <c r="D1724" s="185">
        <v>0.66666666666666663</v>
      </c>
      <c r="E1724" s="3">
        <v>35</v>
      </c>
      <c r="F1724" s="190">
        <v>11.5</v>
      </c>
      <c r="H1724" s="3">
        <v>4.5</v>
      </c>
      <c r="L1724" s="66"/>
    </row>
    <row r="1725" spans="2:12" ht="15.75" customHeight="1" x14ac:dyDescent="0.2">
      <c r="C1725" s="15">
        <v>34107</v>
      </c>
      <c r="D1725" s="185">
        <v>0.66666666666666663</v>
      </c>
      <c r="E1725" s="3">
        <v>40</v>
      </c>
      <c r="F1725" s="190">
        <v>11.4</v>
      </c>
      <c r="H1725" s="3">
        <v>4.13</v>
      </c>
      <c r="L1725" s="66"/>
    </row>
    <row r="1726" spans="2:12" ht="15.75" customHeight="1" x14ac:dyDescent="0.2">
      <c r="C1726" s="3"/>
      <c r="E1726" s="3"/>
      <c r="H1726" s="3"/>
      <c r="L1726" s="66"/>
    </row>
    <row r="1727" spans="2:12" ht="15.75" customHeight="1" x14ac:dyDescent="0.2">
      <c r="C1727" s="3"/>
      <c r="E1727" s="3"/>
      <c r="H1727" s="3"/>
      <c r="L1727" s="66"/>
    </row>
    <row r="1728" spans="2:12" ht="15.75" customHeight="1" x14ac:dyDescent="0.2">
      <c r="C1728" s="3"/>
      <c r="E1728" s="3"/>
      <c r="H1728" s="3"/>
      <c r="L1728" s="66"/>
    </row>
    <row r="1729" spans="3:12" ht="15.75" customHeight="1" x14ac:dyDescent="0.2">
      <c r="C1729" s="3"/>
      <c r="E1729" s="3"/>
      <c r="H1729" s="3"/>
      <c r="L1729" s="66"/>
    </row>
    <row r="1730" spans="3:12" ht="15.75" customHeight="1" x14ac:dyDescent="0.2">
      <c r="C1730" s="3"/>
      <c r="E1730" s="3"/>
      <c r="H1730" s="3"/>
      <c r="L1730" s="66"/>
    </row>
    <row r="1731" spans="3:12" ht="15.75" customHeight="1" x14ac:dyDescent="0.2">
      <c r="C1731" s="3"/>
      <c r="E1731" s="3"/>
      <c r="H1731" s="3"/>
      <c r="L1731" s="66"/>
    </row>
    <row r="1732" spans="3:12" ht="15.75" customHeight="1" x14ac:dyDescent="0.2">
      <c r="C1732" s="3"/>
      <c r="E1732" s="3"/>
      <c r="H1732" s="3"/>
      <c r="L1732" s="66"/>
    </row>
    <row r="1733" spans="3:12" ht="15.75" customHeight="1" x14ac:dyDescent="0.2">
      <c r="C1733" s="3"/>
      <c r="E1733" s="3"/>
      <c r="H1733" s="3"/>
      <c r="L1733" s="66"/>
    </row>
    <row r="1734" spans="3:12" ht="15.75" customHeight="1" x14ac:dyDescent="0.2">
      <c r="C1734" s="3"/>
      <c r="E1734" s="3"/>
      <c r="H1734" s="3"/>
      <c r="L1734" s="66"/>
    </row>
    <row r="1735" spans="3:12" ht="15.75" customHeight="1" x14ac:dyDescent="0.2">
      <c r="C1735" s="3"/>
      <c r="E1735" s="3"/>
      <c r="H1735" s="3"/>
      <c r="L1735" s="66"/>
    </row>
    <row r="1736" spans="3:12" ht="15.75" customHeight="1" x14ac:dyDescent="0.2">
      <c r="C1736" s="3"/>
      <c r="E1736" s="3"/>
      <c r="H1736" s="3"/>
      <c r="L1736" s="66"/>
    </row>
    <row r="1737" spans="3:12" ht="15.75" customHeight="1" x14ac:dyDescent="0.2">
      <c r="C1737" s="3"/>
      <c r="E1737" s="3"/>
      <c r="H1737" s="3"/>
      <c r="L1737" s="66"/>
    </row>
    <row r="1738" spans="3:12" ht="15.75" customHeight="1" x14ac:dyDescent="0.2">
      <c r="C1738" s="3"/>
      <c r="E1738" s="3"/>
      <c r="H1738" s="3"/>
      <c r="L1738" s="66"/>
    </row>
    <row r="1739" spans="3:12" ht="15.75" customHeight="1" x14ac:dyDescent="0.2">
      <c r="C1739" s="3"/>
      <c r="E1739" s="3"/>
      <c r="H1739" s="3"/>
      <c r="L1739" s="66"/>
    </row>
    <row r="1740" spans="3:12" ht="15.75" customHeight="1" x14ac:dyDescent="0.2">
      <c r="C1740" s="3"/>
      <c r="E1740" s="3"/>
      <c r="H1740" s="3"/>
      <c r="L1740" s="66"/>
    </row>
    <row r="1741" spans="3:12" ht="15.75" customHeight="1" x14ac:dyDescent="0.2">
      <c r="C1741" s="3"/>
      <c r="E1741" s="3"/>
      <c r="H1741" s="3"/>
      <c r="L1741" s="66"/>
    </row>
    <row r="1742" spans="3:12" ht="15.75" customHeight="1" x14ac:dyDescent="0.2">
      <c r="C1742" s="3"/>
      <c r="E1742" s="3"/>
      <c r="H1742" s="3"/>
      <c r="L1742" s="66"/>
    </row>
    <row r="1743" spans="3:12" ht="15.75" customHeight="1" x14ac:dyDescent="0.2">
      <c r="C1743" s="3"/>
      <c r="E1743" s="3"/>
      <c r="H1743" s="3"/>
      <c r="L1743" s="66"/>
    </row>
    <row r="1744" spans="3:12" ht="15.75" customHeight="1" x14ac:dyDescent="0.2">
      <c r="C1744" s="3"/>
      <c r="E1744" s="3"/>
      <c r="H1744" s="3"/>
      <c r="L1744" s="66"/>
    </row>
    <row r="1745" spans="3:12" ht="15.75" customHeight="1" x14ac:dyDescent="0.2">
      <c r="C1745" s="3"/>
      <c r="E1745" s="3"/>
      <c r="H1745" s="3"/>
      <c r="L1745" s="66"/>
    </row>
    <row r="1746" spans="3:12" ht="15.75" customHeight="1" x14ac:dyDescent="0.2">
      <c r="C1746" s="3"/>
      <c r="E1746" s="3"/>
      <c r="H1746" s="3"/>
      <c r="L1746" s="66"/>
    </row>
    <row r="1747" spans="3:12" ht="15.75" customHeight="1" x14ac:dyDescent="0.2">
      <c r="C1747" s="3"/>
      <c r="E1747" s="3"/>
      <c r="H1747" s="3"/>
      <c r="L1747" s="66"/>
    </row>
    <row r="1748" spans="3:12" ht="15.75" customHeight="1" x14ac:dyDescent="0.2">
      <c r="C1748" s="3"/>
      <c r="E1748" s="3"/>
      <c r="H1748" s="3"/>
      <c r="L1748" s="66"/>
    </row>
    <row r="1749" spans="3:12" ht="15.75" customHeight="1" x14ac:dyDescent="0.2">
      <c r="C1749" s="3"/>
      <c r="E1749" s="3"/>
      <c r="H1749" s="3"/>
      <c r="L1749" s="66"/>
    </row>
    <row r="1750" spans="3:12" ht="15.75" customHeight="1" x14ac:dyDescent="0.2">
      <c r="C1750" s="3"/>
      <c r="E1750" s="3"/>
      <c r="H1750" s="3"/>
      <c r="L1750" s="66"/>
    </row>
    <row r="1751" spans="3:12" ht="15.75" customHeight="1" x14ac:dyDescent="0.2">
      <c r="C1751" s="3"/>
      <c r="E1751" s="3"/>
      <c r="H1751" s="3"/>
      <c r="L1751" s="66"/>
    </row>
    <row r="1752" spans="3:12" ht="15.75" customHeight="1" x14ac:dyDescent="0.2">
      <c r="C1752" s="3"/>
      <c r="E1752" s="3"/>
      <c r="H1752" s="3"/>
      <c r="L1752" s="66"/>
    </row>
    <row r="1753" spans="3:12" ht="15.75" customHeight="1" x14ac:dyDescent="0.2">
      <c r="C1753" s="3"/>
      <c r="E1753" s="3"/>
      <c r="H1753" s="3"/>
      <c r="L1753" s="66"/>
    </row>
    <row r="1754" spans="3:12" ht="15.75" customHeight="1" x14ac:dyDescent="0.2">
      <c r="C1754" s="3"/>
      <c r="E1754" s="3"/>
      <c r="H1754" s="3"/>
      <c r="L1754" s="66"/>
    </row>
    <row r="1755" spans="3:12" ht="15.75" customHeight="1" x14ac:dyDescent="0.2">
      <c r="C1755" s="3"/>
      <c r="E1755" s="3"/>
      <c r="H1755" s="3"/>
      <c r="L1755" s="66"/>
    </row>
    <row r="1756" spans="3:12" ht="15.75" customHeight="1" x14ac:dyDescent="0.2">
      <c r="C1756" s="3"/>
      <c r="E1756" s="3"/>
      <c r="H1756" s="3"/>
      <c r="L1756" s="66"/>
    </row>
    <row r="1757" spans="3:12" ht="15.75" customHeight="1" x14ac:dyDescent="0.2">
      <c r="C1757" s="3"/>
      <c r="E1757" s="3"/>
      <c r="H1757" s="3"/>
      <c r="L1757" s="66"/>
    </row>
    <row r="1758" spans="3:12" ht="15.75" customHeight="1" x14ac:dyDescent="0.2">
      <c r="C1758" s="3"/>
      <c r="E1758" s="3"/>
      <c r="H1758" s="3"/>
      <c r="L1758" s="66"/>
    </row>
    <row r="1759" spans="3:12" ht="15.75" customHeight="1" x14ac:dyDescent="0.2">
      <c r="C1759" s="3"/>
      <c r="E1759" s="3"/>
      <c r="H1759" s="3"/>
      <c r="L1759" s="66"/>
    </row>
    <row r="1760" spans="3:12" ht="15.75" customHeight="1" x14ac:dyDescent="0.2">
      <c r="C1760" s="3"/>
      <c r="E1760" s="3"/>
      <c r="H1760" s="3"/>
      <c r="L1760" s="66"/>
    </row>
    <row r="1761" spans="3:12" ht="15.75" customHeight="1" x14ac:dyDescent="0.2">
      <c r="C1761" s="3"/>
      <c r="E1761" s="3"/>
      <c r="H1761" s="3"/>
      <c r="L1761" s="66"/>
    </row>
    <row r="1762" spans="3:12" ht="15.75" customHeight="1" x14ac:dyDescent="0.2">
      <c r="C1762" s="3"/>
      <c r="E1762" s="3"/>
      <c r="H1762" s="3"/>
      <c r="L1762" s="66"/>
    </row>
    <row r="1763" spans="3:12" ht="15.75" customHeight="1" x14ac:dyDescent="0.2">
      <c r="C1763" s="3"/>
      <c r="E1763" s="3"/>
      <c r="H1763" s="3"/>
      <c r="L1763" s="66"/>
    </row>
    <row r="1764" spans="3:12" ht="15.75" customHeight="1" x14ac:dyDescent="0.2">
      <c r="C1764" s="3"/>
      <c r="E1764" s="3"/>
      <c r="H1764" s="3"/>
      <c r="L1764" s="66"/>
    </row>
    <row r="1765" spans="3:12" ht="15.75" customHeight="1" x14ac:dyDescent="0.2">
      <c r="C1765" s="3"/>
      <c r="E1765" s="3"/>
      <c r="H1765" s="3"/>
      <c r="L1765" s="66"/>
    </row>
    <row r="1766" spans="3:12" ht="15.75" customHeight="1" x14ac:dyDescent="0.2">
      <c r="C1766" s="3"/>
      <c r="E1766" s="3"/>
      <c r="H1766" s="3"/>
      <c r="L1766" s="66"/>
    </row>
    <row r="1767" spans="3:12" ht="15.75" customHeight="1" x14ac:dyDescent="0.2">
      <c r="C1767" s="3"/>
      <c r="E1767" s="3"/>
      <c r="H1767" s="3"/>
      <c r="L1767" s="66"/>
    </row>
    <row r="1768" spans="3:12" ht="15.75" customHeight="1" x14ac:dyDescent="0.2">
      <c r="C1768" s="3"/>
      <c r="E1768" s="3"/>
      <c r="H1768" s="3"/>
      <c r="L1768" s="66"/>
    </row>
    <row r="1769" spans="3:12" ht="15.75" customHeight="1" x14ac:dyDescent="0.2">
      <c r="C1769" s="3"/>
      <c r="E1769" s="3"/>
      <c r="H1769" s="3"/>
      <c r="L1769" s="66"/>
    </row>
    <row r="1770" spans="3:12" ht="15.75" customHeight="1" x14ac:dyDescent="0.2">
      <c r="C1770" s="3"/>
      <c r="E1770" s="3"/>
      <c r="H1770" s="3"/>
      <c r="L1770" s="66"/>
    </row>
    <row r="1771" spans="3:12" ht="15.75" customHeight="1" x14ac:dyDescent="0.2">
      <c r="C1771" s="3"/>
      <c r="E1771" s="3"/>
      <c r="H1771" s="3"/>
      <c r="L1771" s="66"/>
    </row>
    <row r="1772" spans="3:12" ht="15.75" customHeight="1" x14ac:dyDescent="0.2">
      <c r="C1772" s="3"/>
      <c r="E1772" s="3"/>
      <c r="H1772" s="3"/>
      <c r="L1772" s="66"/>
    </row>
    <row r="1773" spans="3:12" ht="15.75" customHeight="1" x14ac:dyDescent="0.2">
      <c r="C1773" s="3"/>
      <c r="E1773" s="3"/>
      <c r="H1773" s="3"/>
      <c r="L1773" s="66"/>
    </row>
    <row r="1774" spans="3:12" ht="15.75" customHeight="1" x14ac:dyDescent="0.2">
      <c r="C1774" s="3"/>
      <c r="E1774" s="3"/>
      <c r="H1774" s="3"/>
      <c r="L1774" s="66"/>
    </row>
    <row r="1775" spans="3:12" ht="15.75" customHeight="1" x14ac:dyDescent="0.2">
      <c r="C1775" s="3"/>
      <c r="E1775" s="3"/>
      <c r="H1775" s="3"/>
      <c r="L1775" s="66"/>
    </row>
    <row r="1776" spans="3:12" ht="15.75" customHeight="1" x14ac:dyDescent="0.2">
      <c r="C1776" s="3"/>
      <c r="E1776" s="3"/>
      <c r="H1776" s="3"/>
      <c r="L1776" s="66"/>
    </row>
    <row r="1777" spans="3:12" ht="15.75" customHeight="1" x14ac:dyDescent="0.2">
      <c r="C1777" s="3"/>
      <c r="E1777" s="3"/>
      <c r="H1777" s="3"/>
      <c r="L1777" s="66"/>
    </row>
    <row r="1778" spans="3:12" ht="15.75" customHeight="1" x14ac:dyDescent="0.2">
      <c r="C1778" s="3"/>
      <c r="E1778" s="3"/>
      <c r="H1778" s="3"/>
      <c r="L1778" s="66"/>
    </row>
    <row r="1779" spans="3:12" ht="15.75" customHeight="1" x14ac:dyDescent="0.2">
      <c r="C1779" s="3"/>
      <c r="E1779" s="3"/>
      <c r="H1779" s="3"/>
      <c r="L1779" s="66"/>
    </row>
    <row r="1780" spans="3:12" ht="15.75" customHeight="1" x14ac:dyDescent="0.2">
      <c r="C1780" s="3"/>
      <c r="E1780" s="3"/>
      <c r="H1780" s="3"/>
      <c r="L1780" s="66"/>
    </row>
    <row r="1781" spans="3:12" ht="15.75" customHeight="1" x14ac:dyDescent="0.2">
      <c r="C1781" s="3"/>
      <c r="E1781" s="3"/>
      <c r="H1781" s="3"/>
      <c r="L1781" s="66"/>
    </row>
    <row r="1782" spans="3:12" ht="15.75" customHeight="1" x14ac:dyDescent="0.2">
      <c r="C1782" s="3"/>
      <c r="E1782" s="3"/>
      <c r="H1782" s="3"/>
      <c r="L1782" s="66"/>
    </row>
    <row r="1783" spans="3:12" ht="15.75" customHeight="1" x14ac:dyDescent="0.2">
      <c r="C1783" s="3"/>
      <c r="E1783" s="3"/>
      <c r="H1783" s="3"/>
      <c r="L1783" s="66"/>
    </row>
    <row r="1784" spans="3:12" ht="15.75" customHeight="1" x14ac:dyDescent="0.2">
      <c r="C1784" s="3"/>
      <c r="E1784" s="3"/>
      <c r="H1784" s="3"/>
      <c r="L1784" s="66"/>
    </row>
    <row r="1785" spans="3:12" ht="15.75" customHeight="1" x14ac:dyDescent="0.2">
      <c r="C1785" s="3"/>
      <c r="E1785" s="3"/>
      <c r="H1785" s="3"/>
      <c r="L1785" s="66"/>
    </row>
    <row r="1786" spans="3:12" ht="15.75" customHeight="1" x14ac:dyDescent="0.2">
      <c r="C1786" s="3"/>
      <c r="E1786" s="3"/>
      <c r="H1786" s="3"/>
      <c r="L1786" s="66"/>
    </row>
    <row r="1787" spans="3:12" ht="15.75" customHeight="1" x14ac:dyDescent="0.2">
      <c r="C1787" s="3"/>
      <c r="E1787" s="3"/>
      <c r="H1787" s="3"/>
      <c r="L1787" s="66"/>
    </row>
    <row r="1788" spans="3:12" ht="15" customHeight="1" x14ac:dyDescent="0.2">
      <c r="E1788" s="3"/>
    </row>
    <row r="1789" spans="3:12" ht="15" customHeight="1" x14ac:dyDescent="0.2">
      <c r="E1789" s="3"/>
    </row>
    <row r="1790" spans="3:12" ht="15" customHeight="1" x14ac:dyDescent="0.2">
      <c r="E1790" s="3"/>
    </row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1487"/>
  <sheetViews>
    <sheetView zoomScaleNormal="100" workbookViewId="0">
      <pane ySplit="1" topLeftCell="A287" activePane="bottomLeft" state="frozen"/>
      <selection pane="bottomLeft" activeCell="E287" sqref="E287"/>
    </sheetView>
  </sheetViews>
  <sheetFormatPr baseColWidth="10" defaultColWidth="11.1640625" defaultRowHeight="15" customHeight="1" x14ac:dyDescent="0.2"/>
  <cols>
    <col min="1" max="5" width="10.5" customWidth="1"/>
    <col min="6" max="6" width="10.5" style="188" customWidth="1"/>
    <col min="7" max="8" width="10.5" style="186" customWidth="1"/>
    <col min="9" max="26" width="10.5" customWidth="1"/>
  </cols>
  <sheetData>
    <row r="1" spans="1:26" ht="33.75" customHeight="1" x14ac:dyDescent="0.2">
      <c r="A1" s="3"/>
      <c r="B1" s="3" t="s">
        <v>49</v>
      </c>
      <c r="C1" s="3" t="s">
        <v>50</v>
      </c>
      <c r="D1" s="3" t="s">
        <v>51</v>
      </c>
      <c r="E1" s="3" t="s">
        <v>52</v>
      </c>
      <c r="F1" s="40" t="s">
        <v>53</v>
      </c>
      <c r="G1" s="7" t="s">
        <v>54</v>
      </c>
      <c r="H1" s="41" t="s">
        <v>55</v>
      </c>
      <c r="I1" s="2" t="s">
        <v>56</v>
      </c>
      <c r="J1" s="2" t="s">
        <v>57</v>
      </c>
      <c r="K1" s="2" t="s">
        <v>58</v>
      </c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2">
      <c r="A2" s="3"/>
      <c r="B2" s="1" t="s">
        <v>13</v>
      </c>
      <c r="C2" s="3"/>
      <c r="D2" s="3"/>
      <c r="E2" s="3"/>
      <c r="F2" s="40"/>
      <c r="G2" s="7"/>
      <c r="H2" s="41"/>
      <c r="I2" s="2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2">
      <c r="A3" s="4"/>
      <c r="B3" s="4" t="s">
        <v>59</v>
      </c>
      <c r="C3" s="3"/>
      <c r="D3" s="3"/>
      <c r="E3" s="3"/>
      <c r="F3" s="40"/>
      <c r="G3" s="7"/>
      <c r="H3" s="41"/>
      <c r="I3" s="2"/>
      <c r="J3" s="2"/>
      <c r="K3" s="2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2">
      <c r="A4" s="4" t="s">
        <v>60</v>
      </c>
      <c r="B4" s="4" t="s">
        <v>309</v>
      </c>
      <c r="C4" s="3"/>
      <c r="D4" s="3"/>
      <c r="E4" s="3"/>
      <c r="F4" s="40"/>
      <c r="G4" s="7"/>
      <c r="H4" s="41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4"/>
      <c r="B5" s="5" t="s">
        <v>62</v>
      </c>
      <c r="C5" s="3"/>
      <c r="D5" s="3"/>
      <c r="E5" s="3"/>
      <c r="F5" s="40"/>
      <c r="G5" s="7"/>
      <c r="H5" s="41"/>
      <c r="I5" s="2"/>
      <c r="J5" s="2"/>
      <c r="K5" s="2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4"/>
      <c r="B6" s="5"/>
      <c r="C6" s="15">
        <v>45566</v>
      </c>
      <c r="D6" s="19">
        <v>0.44861111111111113</v>
      </c>
      <c r="E6" s="3"/>
      <c r="F6" s="40"/>
      <c r="G6" s="7"/>
      <c r="H6" s="41"/>
      <c r="I6" s="2"/>
      <c r="J6" s="2">
        <v>7.5</v>
      </c>
      <c r="K6" s="2">
        <v>9</v>
      </c>
      <c r="L6" s="2"/>
      <c r="M6" s="2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4"/>
      <c r="B7" s="5"/>
      <c r="C7" s="15">
        <v>45566</v>
      </c>
      <c r="D7" s="19">
        <v>0.4513888888888889</v>
      </c>
      <c r="E7" s="3">
        <v>0.1</v>
      </c>
      <c r="F7" s="40">
        <v>10.210000000000001</v>
      </c>
      <c r="G7" s="7">
        <v>103</v>
      </c>
      <c r="H7" s="41">
        <v>15.6</v>
      </c>
      <c r="I7" s="2"/>
      <c r="J7" s="2"/>
      <c r="K7" s="2"/>
      <c r="L7" s="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4"/>
      <c r="B8" s="5"/>
      <c r="C8" s="15">
        <v>45566</v>
      </c>
      <c r="D8" s="19">
        <v>0.4513888888888889</v>
      </c>
      <c r="E8" s="3">
        <v>1</v>
      </c>
      <c r="F8" s="40">
        <v>10.130000000000001</v>
      </c>
      <c r="G8" s="7">
        <v>102.2</v>
      </c>
      <c r="H8" s="41">
        <v>15.7</v>
      </c>
      <c r="I8" s="2"/>
      <c r="J8" s="2"/>
      <c r="K8" s="2"/>
      <c r="L8" s="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4"/>
      <c r="B9" s="5"/>
      <c r="C9" s="15">
        <v>45566</v>
      </c>
      <c r="D9" s="19">
        <v>0.4513888888888889</v>
      </c>
      <c r="E9" s="3">
        <v>2</v>
      </c>
      <c r="F9" s="40">
        <v>10.11</v>
      </c>
      <c r="G9" s="7">
        <v>102</v>
      </c>
      <c r="H9" s="41">
        <v>15.8</v>
      </c>
      <c r="I9" s="2"/>
      <c r="J9" s="2"/>
      <c r="K9" s="2"/>
      <c r="L9" s="2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4"/>
      <c r="B10" s="5"/>
      <c r="C10" s="15">
        <v>45566</v>
      </c>
      <c r="D10" s="19">
        <v>0.4513888888888889</v>
      </c>
      <c r="E10" s="3">
        <v>3</v>
      </c>
      <c r="F10" s="40">
        <v>10.08</v>
      </c>
      <c r="G10" s="7">
        <v>101.7</v>
      </c>
      <c r="H10" s="41">
        <v>15.8</v>
      </c>
      <c r="I10" s="2"/>
      <c r="J10" s="2"/>
      <c r="K10" s="2"/>
      <c r="L10" s="2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4"/>
      <c r="B11" s="5"/>
      <c r="C11" s="15">
        <v>45566</v>
      </c>
      <c r="D11" s="19">
        <v>0.4513888888888889</v>
      </c>
      <c r="E11" s="3">
        <v>4</v>
      </c>
      <c r="F11" s="40">
        <v>10.06</v>
      </c>
      <c r="G11" s="7">
        <v>101.5</v>
      </c>
      <c r="H11" s="41">
        <v>15.8</v>
      </c>
      <c r="I11" s="2"/>
      <c r="J11" s="2"/>
      <c r="K11" s="2"/>
      <c r="L11" s="2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4"/>
      <c r="B12" s="5"/>
      <c r="C12" s="15">
        <v>45566</v>
      </c>
      <c r="D12" s="19">
        <v>0.4513888888888889</v>
      </c>
      <c r="E12" s="3">
        <v>5</v>
      </c>
      <c r="F12" s="40">
        <v>10.050000000000001</v>
      </c>
      <c r="G12" s="7">
        <v>101.3</v>
      </c>
      <c r="H12" s="41">
        <v>15.8</v>
      </c>
      <c r="I12" s="2"/>
      <c r="J12" s="2"/>
      <c r="K12" s="2"/>
      <c r="L12" s="2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4"/>
      <c r="B13" s="5"/>
      <c r="C13" s="15">
        <v>45566</v>
      </c>
      <c r="D13" s="19">
        <v>0.4513888888888889</v>
      </c>
      <c r="E13" s="3">
        <v>6</v>
      </c>
      <c r="F13" s="40">
        <v>10.02</v>
      </c>
      <c r="G13" s="7">
        <v>101.1</v>
      </c>
      <c r="H13" s="41">
        <v>15.8</v>
      </c>
      <c r="I13" s="2"/>
      <c r="J13" s="2"/>
      <c r="K13" s="2"/>
      <c r="L13" s="2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4"/>
      <c r="B14" s="5"/>
      <c r="C14" s="15">
        <v>45566</v>
      </c>
      <c r="D14" s="19">
        <v>0.4513888888888889</v>
      </c>
      <c r="E14" s="3">
        <v>7</v>
      </c>
      <c r="F14" s="40">
        <v>10</v>
      </c>
      <c r="G14" s="7">
        <v>100.9</v>
      </c>
      <c r="H14" s="41">
        <v>15.8</v>
      </c>
      <c r="I14" s="2"/>
      <c r="J14" s="2"/>
      <c r="K14" s="2"/>
      <c r="L14" s="2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4"/>
      <c r="B15" s="5"/>
      <c r="C15" s="15">
        <v>45566</v>
      </c>
      <c r="D15" s="19">
        <v>0.4513888888888889</v>
      </c>
      <c r="E15" s="3">
        <v>8</v>
      </c>
      <c r="F15" s="40">
        <v>9.99</v>
      </c>
      <c r="G15" s="7">
        <v>100.7</v>
      </c>
      <c r="H15" s="41">
        <v>15.8</v>
      </c>
      <c r="I15" s="2"/>
      <c r="J15" s="2"/>
      <c r="K15" s="2"/>
      <c r="L15" s="2"/>
      <c r="M15" s="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4"/>
      <c r="B16" s="5"/>
      <c r="C16" s="15">
        <v>45566</v>
      </c>
      <c r="D16" s="19">
        <v>0.4513888888888889</v>
      </c>
      <c r="E16" s="3">
        <v>9</v>
      </c>
      <c r="F16" s="40">
        <v>9.9600000000000009</v>
      </c>
      <c r="G16" s="7">
        <v>100.5</v>
      </c>
      <c r="H16" s="41">
        <v>15.8</v>
      </c>
      <c r="I16" s="2"/>
      <c r="J16" s="2"/>
      <c r="K16" s="2"/>
      <c r="L16" s="2"/>
      <c r="M16" s="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4"/>
      <c r="B17" s="5"/>
      <c r="C17" s="15">
        <v>45566</v>
      </c>
      <c r="D17" s="19">
        <v>0.4513888888888889</v>
      </c>
      <c r="E17" s="3">
        <v>10</v>
      </c>
      <c r="F17" s="40">
        <v>9.94</v>
      </c>
      <c r="G17" s="7">
        <v>100.2</v>
      </c>
      <c r="H17" s="41">
        <v>15.8</v>
      </c>
      <c r="I17" s="2"/>
      <c r="J17" s="2"/>
      <c r="K17" s="2"/>
      <c r="L17" s="2"/>
      <c r="M17" s="2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4"/>
      <c r="B18" s="5"/>
      <c r="C18" s="15">
        <v>45566</v>
      </c>
      <c r="D18" s="19">
        <v>0.4513888888888889</v>
      </c>
      <c r="E18" s="3">
        <v>11</v>
      </c>
      <c r="F18" s="40">
        <v>9.94</v>
      </c>
      <c r="G18" s="7">
        <v>100.1</v>
      </c>
      <c r="H18" s="41">
        <v>15.7</v>
      </c>
      <c r="I18" s="2"/>
      <c r="J18" s="2"/>
      <c r="K18" s="2"/>
      <c r="L18" s="2"/>
      <c r="M18" s="2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4"/>
      <c r="B19" s="5"/>
      <c r="C19" s="15">
        <v>45566</v>
      </c>
      <c r="D19" s="19">
        <v>0.4513888888888889</v>
      </c>
      <c r="E19" s="3">
        <v>12</v>
      </c>
      <c r="F19" s="40">
        <v>10.51</v>
      </c>
      <c r="G19" s="7">
        <v>100.9</v>
      </c>
      <c r="H19" s="41">
        <v>13.5</v>
      </c>
      <c r="I19" s="2"/>
      <c r="J19" s="2"/>
      <c r="K19" s="2"/>
      <c r="L19" s="2"/>
      <c r="M19" s="2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4"/>
      <c r="B20" s="5"/>
      <c r="C20" s="15">
        <v>45566</v>
      </c>
      <c r="D20" s="19">
        <v>0.4513888888888889</v>
      </c>
      <c r="E20" s="3">
        <v>15</v>
      </c>
      <c r="F20" s="40">
        <v>9.57</v>
      </c>
      <c r="G20" s="7">
        <v>84.4</v>
      </c>
      <c r="H20" s="41">
        <v>10.4</v>
      </c>
      <c r="I20" s="2"/>
      <c r="J20" s="2"/>
      <c r="K20" s="2"/>
      <c r="L20" s="2"/>
      <c r="M20" s="2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4"/>
      <c r="B21" s="5"/>
      <c r="C21" s="15">
        <v>45566</v>
      </c>
      <c r="D21" s="19">
        <v>0.4513888888888889</v>
      </c>
      <c r="E21" s="3">
        <v>20</v>
      </c>
      <c r="F21" s="40">
        <v>7.4</v>
      </c>
      <c r="G21" s="7">
        <v>62.6</v>
      </c>
      <c r="H21" s="41">
        <v>8.3000000000000007</v>
      </c>
      <c r="I21" s="2"/>
      <c r="J21" s="2"/>
      <c r="K21" s="2"/>
      <c r="L21" s="2"/>
      <c r="M21" s="2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4"/>
      <c r="B22" s="5"/>
      <c r="C22" s="15">
        <v>45566</v>
      </c>
      <c r="D22" s="19">
        <v>0.4513888888888889</v>
      </c>
      <c r="E22" s="3">
        <v>25</v>
      </c>
      <c r="F22" s="40">
        <v>5.34</v>
      </c>
      <c r="G22" s="7">
        <v>44.5</v>
      </c>
      <c r="H22" s="41">
        <v>7.7</v>
      </c>
      <c r="I22" s="2"/>
      <c r="J22" s="2"/>
      <c r="K22" s="2"/>
      <c r="L22" s="2"/>
      <c r="M22" s="2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4"/>
      <c r="B23" s="5"/>
      <c r="C23" s="3"/>
      <c r="D23" s="3"/>
      <c r="E23" s="3"/>
      <c r="F23" s="40"/>
      <c r="G23" s="7"/>
      <c r="H23" s="41"/>
      <c r="I23" s="2"/>
      <c r="J23" s="2"/>
      <c r="K23" s="2"/>
      <c r="L23" s="2"/>
      <c r="M23" s="2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4"/>
      <c r="B24" s="5"/>
      <c r="C24" s="15">
        <v>45463</v>
      </c>
      <c r="D24" s="19">
        <v>0.47013888888888888</v>
      </c>
      <c r="E24" s="3"/>
      <c r="F24" s="40"/>
      <c r="G24" s="7"/>
      <c r="H24" s="41"/>
      <c r="I24" s="2"/>
      <c r="J24" s="2">
        <v>6.5</v>
      </c>
      <c r="K24" s="2">
        <v>7</v>
      </c>
      <c r="L24" s="2"/>
      <c r="M24" s="2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4"/>
      <c r="B25" s="5"/>
      <c r="C25" s="15">
        <v>45463</v>
      </c>
      <c r="D25" s="19">
        <v>0.47916666666666669</v>
      </c>
      <c r="E25" s="3">
        <v>0.1</v>
      </c>
      <c r="F25" s="40">
        <v>11.19</v>
      </c>
      <c r="G25" s="7">
        <v>107</v>
      </c>
      <c r="H25" s="41">
        <v>13.7</v>
      </c>
      <c r="I25" s="2"/>
      <c r="J25" s="2"/>
      <c r="K25" s="2"/>
      <c r="L25" s="2"/>
      <c r="M25" s="2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4"/>
      <c r="B26" s="5"/>
      <c r="C26" s="15">
        <v>45463</v>
      </c>
      <c r="D26" s="19">
        <v>0.47916666666666669</v>
      </c>
      <c r="E26" s="3">
        <v>1</v>
      </c>
      <c r="F26" s="40">
        <v>11.24</v>
      </c>
      <c r="G26" s="7">
        <v>108</v>
      </c>
      <c r="H26" s="41">
        <v>13.1</v>
      </c>
      <c r="I26" s="2"/>
      <c r="J26" s="2"/>
      <c r="K26" s="2"/>
      <c r="L26" s="2"/>
      <c r="M26" s="2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4"/>
      <c r="B27" s="5"/>
      <c r="C27" s="15">
        <v>45463</v>
      </c>
      <c r="D27" s="19">
        <v>0.47916666666666669</v>
      </c>
      <c r="E27" s="3">
        <v>2</v>
      </c>
      <c r="F27" s="40">
        <v>11.3</v>
      </c>
      <c r="G27" s="7">
        <v>106.8</v>
      </c>
      <c r="H27" s="41">
        <v>12.8</v>
      </c>
      <c r="I27" s="2"/>
      <c r="J27" s="2"/>
      <c r="K27" s="2"/>
      <c r="L27" s="2"/>
      <c r="M27" s="2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4"/>
      <c r="B28" s="5"/>
      <c r="C28" s="15">
        <v>45463</v>
      </c>
      <c r="D28" s="19">
        <v>0.47916666666666669</v>
      </c>
      <c r="E28" s="3">
        <v>3</v>
      </c>
      <c r="F28" s="40">
        <v>11.31</v>
      </c>
      <c r="G28" s="7">
        <v>106.7</v>
      </c>
      <c r="H28" s="41">
        <v>12.7</v>
      </c>
      <c r="I28" s="2"/>
      <c r="J28" s="2"/>
      <c r="K28" s="2"/>
      <c r="L28" s="2"/>
      <c r="M28" s="2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4"/>
      <c r="B29" s="5"/>
      <c r="C29" s="15">
        <v>45463</v>
      </c>
      <c r="D29" s="19">
        <v>0.47916666666666669</v>
      </c>
      <c r="E29" s="3">
        <v>4</v>
      </c>
      <c r="F29" s="40">
        <v>11.3</v>
      </c>
      <c r="G29" s="7">
        <v>106.5</v>
      </c>
      <c r="H29" s="41">
        <v>12.7</v>
      </c>
      <c r="I29" s="2"/>
      <c r="J29" s="2"/>
      <c r="K29" s="2"/>
      <c r="L29" s="2"/>
      <c r="M29" s="2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4"/>
      <c r="B30" s="5"/>
      <c r="C30" s="15">
        <v>45463</v>
      </c>
      <c r="D30" s="19">
        <v>0.47916666666666669</v>
      </c>
      <c r="E30" s="3">
        <v>5</v>
      </c>
      <c r="F30" s="40">
        <v>11.28</v>
      </c>
      <c r="G30" s="7">
        <v>106.3</v>
      </c>
      <c r="H30" s="41">
        <v>12.7</v>
      </c>
      <c r="I30" s="2"/>
      <c r="J30" s="2"/>
      <c r="K30" s="2"/>
      <c r="L30" s="2"/>
      <c r="M30" s="2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4"/>
      <c r="B31" s="5"/>
      <c r="C31" s="15">
        <v>45463</v>
      </c>
      <c r="D31" s="19">
        <v>0.47916666666666669</v>
      </c>
      <c r="E31" s="3">
        <v>6</v>
      </c>
      <c r="F31" s="40">
        <v>11.28</v>
      </c>
      <c r="G31" s="7">
        <v>106.1</v>
      </c>
      <c r="H31" s="41">
        <v>12.6</v>
      </c>
      <c r="I31" s="2"/>
      <c r="J31" s="2"/>
      <c r="K31" s="2"/>
      <c r="L31" s="2"/>
      <c r="M31" s="2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4"/>
      <c r="B32" s="5"/>
      <c r="C32" s="15">
        <v>45463</v>
      </c>
      <c r="D32" s="19">
        <v>0.47916666666666669</v>
      </c>
      <c r="E32" s="3">
        <v>7</v>
      </c>
      <c r="F32" s="40">
        <v>11.26</v>
      </c>
      <c r="G32" s="7">
        <v>105.9</v>
      </c>
      <c r="H32" s="41">
        <v>12.6</v>
      </c>
      <c r="I32" s="2"/>
      <c r="J32" s="2"/>
      <c r="K32" s="2"/>
      <c r="L32" s="2"/>
      <c r="M32" s="2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4"/>
      <c r="B33" s="5"/>
      <c r="C33" s="15">
        <v>45463</v>
      </c>
      <c r="D33" s="19">
        <v>0.47916666666666669</v>
      </c>
      <c r="E33" s="3">
        <v>8</v>
      </c>
      <c r="F33" s="40">
        <v>11.19</v>
      </c>
      <c r="G33" s="7">
        <v>104.5</v>
      </c>
      <c r="H33" s="41">
        <v>12.5</v>
      </c>
      <c r="I33" s="2"/>
      <c r="J33" s="2"/>
      <c r="K33" s="2"/>
      <c r="L33" s="2"/>
      <c r="M33" s="2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4"/>
      <c r="B34" s="5"/>
      <c r="C34" s="15">
        <v>45463</v>
      </c>
      <c r="D34" s="19">
        <v>0.47916666666666669</v>
      </c>
      <c r="E34" s="3">
        <v>9</v>
      </c>
      <c r="F34" s="40">
        <v>11.23</v>
      </c>
      <c r="G34" s="7">
        <v>102.6</v>
      </c>
      <c r="H34" s="41">
        <v>11.3</v>
      </c>
      <c r="I34" s="2"/>
      <c r="J34" s="2"/>
      <c r="K34" s="2"/>
      <c r="L34" s="2"/>
      <c r="M34" s="2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4"/>
      <c r="B35" s="5"/>
      <c r="C35" s="15">
        <v>45463</v>
      </c>
      <c r="D35" s="19">
        <v>0.47916666666666669</v>
      </c>
      <c r="E35" s="3">
        <v>10</v>
      </c>
      <c r="F35" s="40">
        <v>11.36</v>
      </c>
      <c r="G35" s="7">
        <v>102</v>
      </c>
      <c r="H35" s="41">
        <v>10.6</v>
      </c>
      <c r="I35" s="2"/>
      <c r="J35" s="2"/>
      <c r="K35" s="2"/>
      <c r="L35" s="2"/>
      <c r="M35" s="2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4"/>
      <c r="B36" s="5"/>
      <c r="C36" s="15">
        <v>45463</v>
      </c>
      <c r="D36" s="19">
        <v>0.47916666666666669</v>
      </c>
      <c r="E36" s="3">
        <v>11</v>
      </c>
      <c r="F36" s="40">
        <v>11.24</v>
      </c>
      <c r="G36" s="7">
        <v>98.8</v>
      </c>
      <c r="H36" s="41">
        <v>9.6999999999999993</v>
      </c>
      <c r="I36" s="2"/>
      <c r="J36" s="2"/>
      <c r="K36" s="2"/>
      <c r="L36" s="2"/>
      <c r="M36" s="2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4"/>
      <c r="B37" s="5"/>
      <c r="C37" s="15">
        <v>45463</v>
      </c>
      <c r="D37" s="19">
        <v>0.47916666666666669</v>
      </c>
      <c r="E37" s="3">
        <v>12</v>
      </c>
      <c r="F37" s="40">
        <v>11.23</v>
      </c>
      <c r="G37" s="7">
        <v>97.4</v>
      </c>
      <c r="H37" s="41">
        <v>9.1</v>
      </c>
      <c r="I37" s="2"/>
      <c r="J37" s="2"/>
      <c r="K37" s="2"/>
      <c r="L37" s="2"/>
      <c r="M37" s="2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4"/>
      <c r="B38" s="5"/>
      <c r="C38" s="15">
        <v>45463</v>
      </c>
      <c r="D38" s="19">
        <v>0.47916666666666669</v>
      </c>
      <c r="E38" s="3">
        <v>13</v>
      </c>
      <c r="F38" s="40">
        <v>11.1</v>
      </c>
      <c r="G38" s="7">
        <v>96</v>
      </c>
      <c r="H38" s="41">
        <v>8.8000000000000007</v>
      </c>
      <c r="I38" s="2"/>
      <c r="J38" s="2"/>
      <c r="K38" s="2"/>
      <c r="L38" s="2"/>
      <c r="M38" s="2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4"/>
      <c r="B39" s="5"/>
      <c r="C39" s="15">
        <v>45463</v>
      </c>
      <c r="D39" s="19">
        <v>0.47916666666666669</v>
      </c>
      <c r="E39" s="3">
        <v>14</v>
      </c>
      <c r="F39" s="40">
        <v>11.11</v>
      </c>
      <c r="G39" s="7">
        <v>94.7</v>
      </c>
      <c r="H39" s="41">
        <v>8.4</v>
      </c>
      <c r="I39" s="2"/>
      <c r="J39" s="2"/>
      <c r="K39" s="2"/>
      <c r="L39" s="2"/>
      <c r="M39" s="2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4"/>
      <c r="B40" s="5"/>
      <c r="C40" s="15">
        <v>45463</v>
      </c>
      <c r="D40" s="19">
        <v>0.47916666666666669</v>
      </c>
      <c r="E40" s="3">
        <v>15</v>
      </c>
      <c r="F40" s="40">
        <v>11.05</v>
      </c>
      <c r="G40" s="7">
        <v>93.4</v>
      </c>
      <c r="H40" s="41">
        <v>8.1</v>
      </c>
      <c r="I40" s="2"/>
      <c r="J40" s="2"/>
      <c r="K40" s="2"/>
      <c r="L40" s="2"/>
      <c r="M40" s="2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4"/>
      <c r="B41" s="5"/>
      <c r="C41" s="15">
        <v>45463</v>
      </c>
      <c r="D41" s="19">
        <v>0.47916666666666669</v>
      </c>
      <c r="E41" s="3">
        <v>16</v>
      </c>
      <c r="F41" s="40">
        <v>10.92</v>
      </c>
      <c r="G41" s="7">
        <v>92.6</v>
      </c>
      <c r="H41" s="41">
        <v>8</v>
      </c>
      <c r="I41" s="2"/>
      <c r="J41" s="2"/>
      <c r="K41" s="2"/>
      <c r="L41" s="2"/>
      <c r="M41" s="2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4"/>
      <c r="B42" s="5"/>
      <c r="C42" s="15">
        <v>45463</v>
      </c>
      <c r="D42" s="19">
        <v>0.47916666666666669</v>
      </c>
      <c r="E42" s="3">
        <v>20</v>
      </c>
      <c r="F42" s="40">
        <v>10.85</v>
      </c>
      <c r="G42" s="7">
        <v>90.8</v>
      </c>
      <c r="H42" s="41">
        <v>7.7</v>
      </c>
      <c r="I42" s="2"/>
      <c r="J42" s="2"/>
      <c r="K42" s="2"/>
      <c r="L42" s="2"/>
      <c r="M42" s="2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4"/>
      <c r="B43" s="5"/>
      <c r="C43" s="15">
        <v>45463</v>
      </c>
      <c r="D43" s="19">
        <v>0.47916666666666669</v>
      </c>
      <c r="E43" s="3">
        <v>25</v>
      </c>
      <c r="F43" s="40">
        <v>10.56</v>
      </c>
      <c r="G43" s="7">
        <v>87.1</v>
      </c>
      <c r="H43" s="41">
        <v>7.2</v>
      </c>
      <c r="I43" s="2"/>
      <c r="J43" s="2"/>
      <c r="K43" s="2"/>
      <c r="L43" s="2"/>
      <c r="M43" s="2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4"/>
      <c r="B44" s="5"/>
      <c r="C44" s="15">
        <v>45463</v>
      </c>
      <c r="D44" s="19">
        <v>0.47916666666666669</v>
      </c>
      <c r="E44" s="3">
        <v>26</v>
      </c>
      <c r="F44" s="40">
        <v>10.3</v>
      </c>
      <c r="G44" s="7">
        <v>84.3</v>
      </c>
      <c r="H44" s="41">
        <v>7</v>
      </c>
      <c r="I44" s="2"/>
      <c r="J44" s="2"/>
      <c r="K44" s="2"/>
      <c r="L44" s="2"/>
      <c r="M44" s="2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4"/>
      <c r="B45" s="5"/>
      <c r="C45" s="15">
        <v>45463</v>
      </c>
      <c r="D45" s="19">
        <v>0.47916666666666669</v>
      </c>
      <c r="E45" s="3">
        <v>27</v>
      </c>
      <c r="F45" s="40">
        <v>10.130000000000001</v>
      </c>
      <c r="G45" s="7">
        <v>83.1</v>
      </c>
      <c r="H45" s="41">
        <v>6.9</v>
      </c>
      <c r="I45" s="2"/>
      <c r="J45" s="2"/>
      <c r="K45" s="2"/>
      <c r="L45" s="2"/>
      <c r="M45" s="2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4"/>
      <c r="B46" s="5"/>
      <c r="C46" s="15">
        <v>45463</v>
      </c>
      <c r="D46" s="19">
        <v>0.47916666666666669</v>
      </c>
      <c r="E46" s="3">
        <v>28</v>
      </c>
      <c r="F46" s="40"/>
      <c r="G46" s="7"/>
      <c r="H46" s="41">
        <v>6.9</v>
      </c>
      <c r="I46" s="2"/>
      <c r="J46" s="2"/>
      <c r="K46" s="2"/>
      <c r="L46" s="2"/>
      <c r="M46" s="2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4"/>
      <c r="B47" s="5"/>
      <c r="C47" s="3"/>
      <c r="D47" s="3"/>
      <c r="E47" s="3"/>
      <c r="F47" s="40"/>
      <c r="G47" s="7"/>
      <c r="H47" s="41"/>
      <c r="I47" s="2"/>
      <c r="J47" s="2"/>
      <c r="K47" s="2"/>
      <c r="L47" s="2"/>
      <c r="M47" s="2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4"/>
      <c r="B48" s="5"/>
      <c r="C48" s="15">
        <v>44823</v>
      </c>
      <c r="D48" s="19">
        <v>0.38055555555555554</v>
      </c>
      <c r="E48" s="3"/>
      <c r="F48" s="40"/>
      <c r="G48" s="7"/>
      <c r="H48" s="41"/>
      <c r="I48" s="2"/>
      <c r="J48" s="2">
        <v>10.5</v>
      </c>
      <c r="K48" s="2">
        <v>10.5</v>
      </c>
      <c r="L48" s="2"/>
      <c r="M48" s="2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4"/>
      <c r="B49" s="5"/>
      <c r="C49" s="15">
        <v>44823</v>
      </c>
      <c r="D49" s="19">
        <v>0.39583333333333331</v>
      </c>
      <c r="E49" s="3">
        <v>0.1</v>
      </c>
      <c r="F49" s="40">
        <v>8.26</v>
      </c>
      <c r="G49" s="7">
        <v>85.3</v>
      </c>
      <c r="H49" s="41">
        <v>16.899999999999999</v>
      </c>
      <c r="I49" s="2"/>
      <c r="J49" s="2"/>
      <c r="K49" s="2"/>
      <c r="L49" s="2"/>
      <c r="M49" s="2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4"/>
      <c r="B50" s="5"/>
      <c r="C50" s="15">
        <v>44823</v>
      </c>
      <c r="D50" s="19">
        <v>0.39583333333333331</v>
      </c>
      <c r="E50" s="3">
        <v>1</v>
      </c>
      <c r="F50" s="40">
        <v>8.24</v>
      </c>
      <c r="G50" s="7">
        <v>85.1</v>
      </c>
      <c r="H50" s="41">
        <v>16.899999999999999</v>
      </c>
      <c r="I50" s="2"/>
      <c r="J50" s="2"/>
      <c r="K50" s="2"/>
      <c r="L50" s="2"/>
      <c r="M50" s="2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4"/>
      <c r="B51" s="5"/>
      <c r="C51" s="15">
        <v>44823</v>
      </c>
      <c r="D51" s="19">
        <v>0.39583333333333331</v>
      </c>
      <c r="E51" s="3">
        <v>2</v>
      </c>
      <c r="F51" s="40">
        <v>8.2200000000000006</v>
      </c>
      <c r="G51" s="7">
        <v>84.9</v>
      </c>
      <c r="H51" s="41">
        <v>16.899999999999999</v>
      </c>
      <c r="I51" s="2"/>
      <c r="J51" s="2"/>
      <c r="K51" s="2"/>
      <c r="L51" s="2"/>
      <c r="M51" s="2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4"/>
      <c r="B52" s="5"/>
      <c r="C52" s="15">
        <v>44823</v>
      </c>
      <c r="D52" s="19">
        <v>0.39583333333333331</v>
      </c>
      <c r="E52" s="3">
        <v>3</v>
      </c>
      <c r="F52" s="40">
        <v>8.1999999999999993</v>
      </c>
      <c r="G52" s="7">
        <v>84.7</v>
      </c>
      <c r="H52" s="41">
        <v>16.899999999999999</v>
      </c>
      <c r="I52" s="2"/>
      <c r="J52" s="2"/>
      <c r="K52" s="2"/>
      <c r="L52" s="2"/>
      <c r="M52" s="2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4"/>
      <c r="B53" s="5"/>
      <c r="C53" s="15">
        <v>44823</v>
      </c>
      <c r="D53" s="19">
        <v>0.39583333333333331</v>
      </c>
      <c r="E53" s="3">
        <v>4</v>
      </c>
      <c r="F53" s="40">
        <v>8.19</v>
      </c>
      <c r="G53" s="7">
        <v>85.5</v>
      </c>
      <c r="H53" s="41">
        <v>16.899999999999999</v>
      </c>
      <c r="I53" s="2"/>
      <c r="J53" s="2"/>
      <c r="K53" s="2"/>
      <c r="L53" s="2"/>
      <c r="M53" s="2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4"/>
      <c r="B54" s="5"/>
      <c r="C54" s="15">
        <v>44823</v>
      </c>
      <c r="D54" s="19">
        <v>0.39583333333333331</v>
      </c>
      <c r="E54" s="3">
        <v>5</v>
      </c>
      <c r="F54" s="40">
        <v>8.17</v>
      </c>
      <c r="G54" s="7">
        <v>84.4</v>
      </c>
      <c r="H54" s="41">
        <v>16.899999999999999</v>
      </c>
      <c r="I54" s="2"/>
      <c r="J54" s="2"/>
      <c r="K54" s="2"/>
      <c r="L54" s="2"/>
      <c r="M54" s="2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4"/>
      <c r="B55" s="5"/>
      <c r="C55" s="15">
        <v>44823</v>
      </c>
      <c r="D55" s="19">
        <v>0.39583333333333331</v>
      </c>
      <c r="E55" s="3">
        <v>6</v>
      </c>
      <c r="F55" s="40">
        <v>8.15</v>
      </c>
      <c r="G55" s="7">
        <v>84.2</v>
      </c>
      <c r="H55" s="41">
        <v>16.899999999999999</v>
      </c>
      <c r="I55" s="2"/>
      <c r="J55" s="2"/>
      <c r="K55" s="2"/>
      <c r="L55" s="2"/>
      <c r="M55" s="2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4"/>
      <c r="B56" s="5"/>
      <c r="C56" s="15">
        <v>44823</v>
      </c>
      <c r="D56" s="19">
        <v>0.39583333333333331</v>
      </c>
      <c r="E56" s="3">
        <v>7</v>
      </c>
      <c r="F56" s="40">
        <v>8.1300000000000008</v>
      </c>
      <c r="G56" s="7">
        <v>84</v>
      </c>
      <c r="H56" s="41">
        <v>16.899999999999999</v>
      </c>
      <c r="I56" s="2"/>
      <c r="J56" s="2"/>
      <c r="K56" s="2"/>
      <c r="L56" s="2"/>
      <c r="M56" s="2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4"/>
      <c r="B57" s="5"/>
      <c r="C57" s="15">
        <v>44823</v>
      </c>
      <c r="D57" s="19">
        <v>0.39583333333333331</v>
      </c>
      <c r="E57" s="3">
        <v>8</v>
      </c>
      <c r="F57" s="40">
        <v>8.15</v>
      </c>
      <c r="G57" s="7">
        <v>84.1</v>
      </c>
      <c r="H57" s="41">
        <v>16.899999999999999</v>
      </c>
      <c r="I57" s="2"/>
      <c r="J57" s="2"/>
      <c r="K57" s="2"/>
      <c r="L57" s="2"/>
      <c r="M57" s="2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4"/>
      <c r="B58" s="5"/>
      <c r="C58" s="15">
        <v>44823</v>
      </c>
      <c r="D58" s="19">
        <v>0.39583333333333331</v>
      </c>
      <c r="E58" s="3">
        <v>9</v>
      </c>
      <c r="F58" s="40">
        <v>8.91</v>
      </c>
      <c r="G58" s="7">
        <v>89.9</v>
      </c>
      <c r="H58" s="41">
        <v>15.9</v>
      </c>
      <c r="I58" s="2"/>
      <c r="J58" s="2"/>
      <c r="K58" s="2"/>
      <c r="L58" s="2"/>
      <c r="M58" s="2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4"/>
      <c r="B59" s="5"/>
      <c r="C59" s="15">
        <v>44823</v>
      </c>
      <c r="D59" s="19">
        <v>0.39583333333333331</v>
      </c>
      <c r="E59" s="3">
        <v>10</v>
      </c>
      <c r="F59" s="40">
        <v>9.17</v>
      </c>
      <c r="G59" s="7">
        <v>90.7</v>
      </c>
      <c r="H59" s="41">
        <v>14.9</v>
      </c>
      <c r="I59" s="2"/>
      <c r="J59" s="2"/>
      <c r="K59" s="2"/>
      <c r="L59" s="2"/>
      <c r="M59" s="2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4"/>
      <c r="B60" s="5"/>
      <c r="C60" s="15">
        <v>44823</v>
      </c>
      <c r="D60" s="19">
        <v>0.39583333333333331</v>
      </c>
      <c r="E60" s="3">
        <v>15</v>
      </c>
      <c r="F60" s="40">
        <v>8.08</v>
      </c>
      <c r="G60" s="7">
        <v>69.5</v>
      </c>
      <c r="H60" s="41">
        <v>8.9</v>
      </c>
      <c r="I60" s="2"/>
      <c r="J60" s="2"/>
      <c r="K60" s="2"/>
      <c r="L60" s="2"/>
      <c r="M60" s="2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4"/>
      <c r="B61" s="5"/>
      <c r="C61" s="15">
        <v>44823</v>
      </c>
      <c r="D61" s="19">
        <v>0.39583333333333331</v>
      </c>
      <c r="E61" s="3">
        <v>20</v>
      </c>
      <c r="F61" s="40">
        <v>7.28</v>
      </c>
      <c r="G61" s="7">
        <v>60.4</v>
      </c>
      <c r="H61" s="41">
        <v>7.4</v>
      </c>
      <c r="I61" s="2"/>
      <c r="J61" s="2"/>
      <c r="K61" s="2"/>
      <c r="L61" s="2"/>
      <c r="M61" s="2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4"/>
      <c r="B62" s="5"/>
      <c r="C62" s="15">
        <v>44823</v>
      </c>
      <c r="D62" s="19">
        <v>0.39583333333333331</v>
      </c>
      <c r="E62" s="3">
        <v>25</v>
      </c>
      <c r="F62" s="40">
        <v>6.38</v>
      </c>
      <c r="G62" s="7">
        <v>52.2</v>
      </c>
      <c r="H62" s="41">
        <v>6.8</v>
      </c>
      <c r="I62" s="2"/>
      <c r="J62" s="2"/>
      <c r="K62" s="2"/>
      <c r="L62" s="2"/>
      <c r="M62" s="2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4"/>
      <c r="B63" s="5"/>
      <c r="C63" s="15">
        <v>44823</v>
      </c>
      <c r="D63" s="19">
        <v>0.39583333333333331</v>
      </c>
      <c r="E63" s="3">
        <v>30</v>
      </c>
      <c r="F63" s="40"/>
      <c r="G63" s="7"/>
      <c r="H63" s="41">
        <v>6.7</v>
      </c>
      <c r="I63" s="2"/>
      <c r="J63" s="2"/>
      <c r="K63" s="2"/>
      <c r="L63" s="2"/>
      <c r="M63" s="2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4"/>
      <c r="B64" s="5"/>
      <c r="C64" s="3"/>
      <c r="D64" s="3"/>
      <c r="E64" s="3"/>
      <c r="F64" s="40"/>
      <c r="G64" s="7"/>
      <c r="H64" s="41"/>
      <c r="I64" s="2"/>
      <c r="J64" s="2"/>
      <c r="K64" s="2"/>
      <c r="L64" s="2"/>
      <c r="M64" s="2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4"/>
      <c r="B65" s="5"/>
      <c r="C65" s="15">
        <v>44771</v>
      </c>
      <c r="D65" s="19">
        <v>0.44791666666666669</v>
      </c>
      <c r="E65" s="3"/>
      <c r="F65" s="40"/>
      <c r="G65" s="7"/>
      <c r="H65" s="41"/>
      <c r="I65" s="2"/>
      <c r="J65" s="2">
        <v>8</v>
      </c>
      <c r="K65" s="2">
        <v>9.5</v>
      </c>
      <c r="L65" s="2"/>
      <c r="M65" s="2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4"/>
      <c r="B66" s="5"/>
      <c r="C66" s="15">
        <v>44771</v>
      </c>
      <c r="D66" s="19">
        <v>0.45833333333333331</v>
      </c>
      <c r="E66" s="3">
        <v>0.1</v>
      </c>
      <c r="F66" s="40">
        <v>7.4</v>
      </c>
      <c r="G66" s="7">
        <v>87.5</v>
      </c>
      <c r="H66" s="41">
        <v>23.8</v>
      </c>
      <c r="I66" s="2"/>
      <c r="J66" s="2"/>
      <c r="K66" s="2"/>
      <c r="L66" s="2"/>
      <c r="M66" s="2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4"/>
      <c r="B67" s="5"/>
      <c r="C67" s="15">
        <v>44771</v>
      </c>
      <c r="D67" s="19">
        <v>0.45833333333333331</v>
      </c>
      <c r="E67" s="3">
        <v>1</v>
      </c>
      <c r="F67" s="40">
        <v>7.43</v>
      </c>
      <c r="G67" s="7">
        <v>87.7</v>
      </c>
      <c r="H67" s="41">
        <v>23.6</v>
      </c>
      <c r="I67" s="2"/>
      <c r="J67" s="2"/>
      <c r="K67" s="2"/>
      <c r="L67" s="2"/>
      <c r="M67" s="2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4"/>
      <c r="B68" s="5"/>
      <c r="C68" s="15">
        <v>44771</v>
      </c>
      <c r="D68" s="19">
        <v>0.45833333333333331</v>
      </c>
      <c r="E68" s="3">
        <v>2</v>
      </c>
      <c r="F68" s="40">
        <v>7.46</v>
      </c>
      <c r="G68" s="7">
        <v>87.2</v>
      </c>
      <c r="H68" s="41">
        <v>23.1</v>
      </c>
      <c r="I68" s="2"/>
      <c r="J68" s="2"/>
      <c r="K68" s="2"/>
      <c r="L68" s="2"/>
      <c r="M68" s="2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4"/>
      <c r="B69" s="5"/>
      <c r="C69" s="15">
        <v>44771</v>
      </c>
      <c r="D69" s="19">
        <v>0.45833333333333331</v>
      </c>
      <c r="E69" s="3">
        <v>3</v>
      </c>
      <c r="F69" s="40">
        <v>7.67</v>
      </c>
      <c r="G69" s="7">
        <v>88</v>
      </c>
      <c r="H69" s="41">
        <v>22.1</v>
      </c>
      <c r="I69" s="2"/>
      <c r="J69" s="2"/>
      <c r="K69" s="2"/>
      <c r="L69" s="2"/>
      <c r="M69" s="2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4"/>
      <c r="B70" s="5"/>
      <c r="C70" s="15">
        <v>44771</v>
      </c>
      <c r="D70" s="19">
        <v>0.45833333333333331</v>
      </c>
      <c r="E70" s="3">
        <v>4</v>
      </c>
      <c r="F70" s="40">
        <v>8.15</v>
      </c>
      <c r="G70" s="7">
        <v>88.7</v>
      </c>
      <c r="H70" s="41">
        <v>19.399999999999999</v>
      </c>
      <c r="I70" s="2"/>
      <c r="J70" s="2"/>
      <c r="K70" s="2"/>
      <c r="L70" s="2"/>
      <c r="M70" s="2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4"/>
      <c r="B71" s="5"/>
      <c r="C71" s="15">
        <v>44771</v>
      </c>
      <c r="D71" s="19">
        <v>0.45833333333333331</v>
      </c>
      <c r="E71" s="3">
        <v>5</v>
      </c>
      <c r="F71" s="40">
        <v>8.31</v>
      </c>
      <c r="G71" s="7">
        <v>88.7</v>
      </c>
      <c r="H71" s="41">
        <v>18.5</v>
      </c>
      <c r="I71" s="2"/>
      <c r="J71" s="2"/>
      <c r="K71" s="2"/>
      <c r="L71" s="2"/>
      <c r="M71" s="2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4"/>
      <c r="B72" s="5"/>
      <c r="C72" s="15">
        <v>44771</v>
      </c>
      <c r="D72" s="19">
        <v>0.45833333333333331</v>
      </c>
      <c r="E72" s="3">
        <v>6</v>
      </c>
      <c r="F72" s="40">
        <v>8.5299999999999994</v>
      </c>
      <c r="G72" s="7">
        <v>88.9</v>
      </c>
      <c r="H72" s="41">
        <v>17.3</v>
      </c>
      <c r="I72" s="2"/>
      <c r="J72" s="2"/>
      <c r="K72" s="2"/>
      <c r="L72" s="2"/>
      <c r="M72" s="2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4"/>
      <c r="B73" s="5"/>
      <c r="C73" s="15">
        <v>44771</v>
      </c>
      <c r="D73" s="19">
        <v>0.45833333333333331</v>
      </c>
      <c r="E73" s="3">
        <v>7</v>
      </c>
      <c r="F73" s="40">
        <v>9.01</v>
      </c>
      <c r="G73" s="7">
        <v>89.8</v>
      </c>
      <c r="H73" s="41">
        <v>15.2</v>
      </c>
      <c r="I73" s="2"/>
      <c r="J73" s="2"/>
      <c r="K73" s="2"/>
      <c r="L73" s="2"/>
      <c r="M73" s="2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4"/>
      <c r="B74" s="5"/>
      <c r="C74" s="15">
        <v>44771</v>
      </c>
      <c r="D74" s="19">
        <v>0.45833333333333331</v>
      </c>
      <c r="E74" s="3">
        <v>8</v>
      </c>
      <c r="F74" s="40">
        <v>9.14</v>
      </c>
      <c r="G74" s="7">
        <v>89.3</v>
      </c>
      <c r="H74" s="41">
        <v>14.3</v>
      </c>
      <c r="I74" s="2"/>
      <c r="J74" s="2"/>
      <c r="K74" s="2"/>
      <c r="L74" s="2"/>
      <c r="M74" s="2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4"/>
      <c r="B75" s="5"/>
      <c r="C75" s="15">
        <v>44771</v>
      </c>
      <c r="D75" s="19">
        <v>0.45833333333333331</v>
      </c>
      <c r="E75" s="3">
        <v>9</v>
      </c>
      <c r="F75" s="40">
        <v>9.19</v>
      </c>
      <c r="G75" s="7">
        <v>87.2</v>
      </c>
      <c r="H75" s="41">
        <v>12.9</v>
      </c>
      <c r="I75" s="2"/>
      <c r="J75" s="2"/>
      <c r="K75" s="2"/>
      <c r="L75" s="2"/>
      <c r="M75" s="2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4"/>
      <c r="B76" s="5"/>
      <c r="C76" s="15">
        <v>44771</v>
      </c>
      <c r="D76" s="19">
        <v>0.45833333333333331</v>
      </c>
      <c r="E76" s="3">
        <v>10</v>
      </c>
      <c r="F76" s="40">
        <v>9.31</v>
      </c>
      <c r="G76" s="7">
        <v>84.8</v>
      </c>
      <c r="H76" s="41">
        <v>11.2</v>
      </c>
      <c r="I76" s="2"/>
      <c r="J76" s="2"/>
      <c r="K76" s="2"/>
      <c r="L76" s="2"/>
      <c r="M76" s="2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4"/>
      <c r="B77" s="5"/>
      <c r="C77" s="15">
        <v>44771</v>
      </c>
      <c r="D77" s="19">
        <v>0.45833333333333331</v>
      </c>
      <c r="E77" s="3">
        <v>15</v>
      </c>
      <c r="F77" s="40">
        <v>9.06</v>
      </c>
      <c r="G77" s="7">
        <v>78.7</v>
      </c>
      <c r="H77" s="41">
        <v>9.3000000000000007</v>
      </c>
      <c r="I77" s="2"/>
      <c r="J77" s="2"/>
      <c r="K77" s="2"/>
      <c r="L77" s="2"/>
      <c r="M77" s="2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4"/>
      <c r="B78" s="5"/>
      <c r="C78" s="15">
        <v>44771</v>
      </c>
      <c r="D78" s="19">
        <v>0.45833333333333331</v>
      </c>
      <c r="E78" s="3">
        <v>20</v>
      </c>
      <c r="F78" s="40"/>
      <c r="G78" s="7"/>
      <c r="H78" s="41">
        <v>8</v>
      </c>
      <c r="I78" s="2"/>
      <c r="J78" s="2"/>
      <c r="K78" s="2"/>
      <c r="L78" s="2"/>
      <c r="M78" s="2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4"/>
      <c r="B79" s="5"/>
      <c r="C79" s="15">
        <v>44771</v>
      </c>
      <c r="D79" s="19">
        <v>0.45833333333333331</v>
      </c>
      <c r="E79" s="3">
        <v>25</v>
      </c>
      <c r="F79" s="40">
        <v>8.2100000000000009</v>
      </c>
      <c r="G79" s="7">
        <v>67.7</v>
      </c>
      <c r="H79" s="41">
        <v>7.2</v>
      </c>
      <c r="I79" s="2"/>
      <c r="J79" s="2"/>
      <c r="K79" s="2"/>
      <c r="L79" s="2"/>
      <c r="M79" s="2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4"/>
      <c r="B80" s="5"/>
      <c r="C80" s="3"/>
      <c r="D80" s="3"/>
      <c r="E80" s="3"/>
      <c r="F80" s="40"/>
      <c r="G80" s="7"/>
      <c r="H80" s="41"/>
      <c r="I80" s="2"/>
      <c r="J80" s="2"/>
      <c r="K80" s="2"/>
      <c r="L80" s="2"/>
      <c r="M80" s="2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4"/>
      <c r="B81" s="5"/>
      <c r="C81" s="15">
        <v>44741</v>
      </c>
      <c r="D81" s="19">
        <v>0.47222222222222227</v>
      </c>
      <c r="E81" s="3"/>
      <c r="F81" s="40"/>
      <c r="G81" s="7"/>
      <c r="H81" s="41"/>
      <c r="I81" s="2"/>
      <c r="J81" s="2">
        <v>5</v>
      </c>
      <c r="K81" s="2">
        <v>6</v>
      </c>
      <c r="L81" s="2"/>
      <c r="M81" s="2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4"/>
      <c r="B82" s="5"/>
      <c r="C82" s="15">
        <v>44741</v>
      </c>
      <c r="D82" s="19">
        <v>0.4826388888888889</v>
      </c>
      <c r="E82" s="3">
        <v>0.1</v>
      </c>
      <c r="F82" s="40">
        <v>9</v>
      </c>
      <c r="G82" s="7">
        <v>80.8</v>
      </c>
      <c r="H82" s="41">
        <v>10.6</v>
      </c>
      <c r="I82" s="2"/>
      <c r="J82" s="2"/>
      <c r="K82" s="2"/>
      <c r="L82" s="2"/>
      <c r="M82" s="2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4"/>
      <c r="B83" s="5"/>
      <c r="C83" s="15">
        <v>44741</v>
      </c>
      <c r="D83" s="19">
        <v>0.4826388888888889</v>
      </c>
      <c r="E83" s="3">
        <v>1</v>
      </c>
      <c r="F83" s="40">
        <v>9.1999999999999993</v>
      </c>
      <c r="G83" s="7">
        <v>81.900000000000006</v>
      </c>
      <c r="H83" s="41">
        <v>10.199999999999999</v>
      </c>
      <c r="I83" s="2"/>
      <c r="J83" s="2"/>
      <c r="K83" s="2"/>
      <c r="L83" s="2"/>
      <c r="M83" s="2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4"/>
      <c r="B84" s="5"/>
      <c r="C84" s="15">
        <v>44741</v>
      </c>
      <c r="D84" s="19">
        <v>0.4826388888888889</v>
      </c>
      <c r="E84" s="3">
        <v>2</v>
      </c>
      <c r="F84" s="40">
        <v>9.1999999999999993</v>
      </c>
      <c r="G84" s="7">
        <v>81.900000000000006</v>
      </c>
      <c r="H84" s="41">
        <v>10.199999999999999</v>
      </c>
      <c r="I84" s="2"/>
      <c r="J84" s="2"/>
      <c r="K84" s="2"/>
      <c r="L84" s="2"/>
      <c r="M84" s="2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4"/>
      <c r="B85" s="5"/>
      <c r="C85" s="15">
        <v>44741</v>
      </c>
      <c r="D85" s="19">
        <v>0.4826388888888889</v>
      </c>
      <c r="E85" s="3">
        <v>3</v>
      </c>
      <c r="F85" s="40">
        <v>9.2200000000000006</v>
      </c>
      <c r="G85" s="7">
        <v>81.900000000000006</v>
      </c>
      <c r="H85" s="41">
        <v>10.1</v>
      </c>
      <c r="I85" s="2"/>
      <c r="J85" s="2"/>
      <c r="K85" s="2"/>
      <c r="L85" s="2"/>
      <c r="M85" s="2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4"/>
      <c r="B86" s="5"/>
      <c r="C86" s="15">
        <v>44741</v>
      </c>
      <c r="D86" s="19">
        <v>0.4826388888888889</v>
      </c>
      <c r="E86" s="3">
        <v>4</v>
      </c>
      <c r="F86" s="40">
        <v>9.23</v>
      </c>
      <c r="G86" s="7">
        <v>81.8</v>
      </c>
      <c r="H86" s="41">
        <v>10</v>
      </c>
      <c r="I86" s="2"/>
      <c r="J86" s="2"/>
      <c r="K86" s="2"/>
      <c r="L86" s="2"/>
      <c r="M86" s="2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4"/>
      <c r="B87" s="5"/>
      <c r="C87" s="15">
        <v>44741</v>
      </c>
      <c r="D87" s="19">
        <v>0.4826388888888889</v>
      </c>
      <c r="E87" s="3">
        <v>5</v>
      </c>
      <c r="F87" s="40">
        <v>9.2200000000000006</v>
      </c>
      <c r="G87" s="7">
        <v>81.7</v>
      </c>
      <c r="H87" s="41">
        <v>10</v>
      </c>
      <c r="I87" s="2"/>
      <c r="J87" s="2"/>
      <c r="K87" s="2"/>
      <c r="L87" s="2"/>
      <c r="M87" s="2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4"/>
      <c r="B88" s="5"/>
      <c r="C88" s="15">
        <v>44741</v>
      </c>
      <c r="D88" s="19">
        <v>0.4826388888888889</v>
      </c>
      <c r="E88" s="3">
        <v>6</v>
      </c>
      <c r="F88" s="40">
        <v>9.23</v>
      </c>
      <c r="G88" s="7">
        <v>81.599999999999994</v>
      </c>
      <c r="H88" s="41">
        <v>9.9</v>
      </c>
      <c r="I88" s="2"/>
      <c r="J88" s="2"/>
      <c r="K88" s="2"/>
      <c r="L88" s="2"/>
      <c r="M88" s="2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4"/>
      <c r="B89" s="5"/>
      <c r="C89" s="15">
        <v>44741</v>
      </c>
      <c r="D89" s="19">
        <v>0.4826388888888889</v>
      </c>
      <c r="E89" s="3">
        <v>7</v>
      </c>
      <c r="F89" s="40">
        <v>9.2200000000000006</v>
      </c>
      <c r="G89" s="7">
        <v>81.5</v>
      </c>
      <c r="H89" s="41">
        <v>9.9</v>
      </c>
      <c r="I89" s="2"/>
      <c r="J89" s="2"/>
      <c r="K89" s="2"/>
      <c r="L89" s="2"/>
      <c r="M89" s="2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4"/>
      <c r="B90" s="5"/>
      <c r="C90" s="15">
        <v>44741</v>
      </c>
      <c r="D90" s="19">
        <v>0.4826388888888889</v>
      </c>
      <c r="E90" s="3">
        <v>8</v>
      </c>
      <c r="F90" s="40">
        <v>9.23</v>
      </c>
      <c r="G90" s="7">
        <v>81.400000000000006</v>
      </c>
      <c r="H90" s="41">
        <v>9.8000000000000007</v>
      </c>
      <c r="I90" s="2"/>
      <c r="J90" s="2"/>
      <c r="K90" s="2"/>
      <c r="L90" s="2"/>
      <c r="M90" s="2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4"/>
      <c r="B91" s="5"/>
      <c r="C91" s="15">
        <v>44741</v>
      </c>
      <c r="D91" s="19">
        <v>0.4826388888888889</v>
      </c>
      <c r="E91" s="3">
        <v>9</v>
      </c>
      <c r="F91" s="40">
        <v>9.1999999999999993</v>
      </c>
      <c r="G91" s="7">
        <v>81.599999999999994</v>
      </c>
      <c r="H91" s="41">
        <v>9.8000000000000007</v>
      </c>
      <c r="I91" s="2"/>
      <c r="J91" s="2"/>
      <c r="K91" s="2"/>
      <c r="L91" s="2"/>
      <c r="M91" s="2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4"/>
      <c r="B92" s="5"/>
      <c r="C92" s="15">
        <v>44741</v>
      </c>
      <c r="D92" s="19">
        <v>0.4826388888888889</v>
      </c>
      <c r="E92" s="3">
        <v>10</v>
      </c>
      <c r="F92" s="40">
        <v>9.19</v>
      </c>
      <c r="G92" s="7">
        <v>80.900000000000006</v>
      </c>
      <c r="H92" s="41">
        <v>9.6999999999999993</v>
      </c>
      <c r="I92" s="2"/>
      <c r="J92" s="2"/>
      <c r="K92" s="2"/>
      <c r="L92" s="2"/>
      <c r="M92" s="2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4"/>
      <c r="B93" s="5"/>
      <c r="C93" s="15">
        <v>44741</v>
      </c>
      <c r="D93" s="19">
        <v>0.4826388888888889</v>
      </c>
      <c r="E93" s="3">
        <v>11</v>
      </c>
      <c r="F93" s="40">
        <v>9.2100000000000009</v>
      </c>
      <c r="G93" s="7">
        <v>80.599999999999994</v>
      </c>
      <c r="H93" s="41">
        <v>9.5</v>
      </c>
      <c r="I93" s="2"/>
      <c r="J93" s="2"/>
      <c r="K93" s="2"/>
      <c r="L93" s="2"/>
      <c r="M93" s="2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4"/>
      <c r="B94" s="5"/>
      <c r="C94" s="15">
        <v>44741</v>
      </c>
      <c r="D94" s="19">
        <v>0.4826388888888889</v>
      </c>
      <c r="E94" s="3">
        <v>12</v>
      </c>
      <c r="F94" s="40">
        <v>9.25</v>
      </c>
      <c r="G94" s="7">
        <v>79</v>
      </c>
      <c r="H94" s="41">
        <v>9</v>
      </c>
      <c r="I94" s="2"/>
      <c r="J94" s="2"/>
      <c r="K94" s="2"/>
      <c r="L94" s="2"/>
      <c r="M94" s="2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4"/>
      <c r="B95" s="5"/>
      <c r="C95" s="15">
        <v>44741</v>
      </c>
      <c r="D95" s="19">
        <v>0.4826388888888889</v>
      </c>
      <c r="E95" s="3">
        <v>13</v>
      </c>
      <c r="F95" s="40">
        <v>9.14</v>
      </c>
      <c r="G95" s="7">
        <v>77.900000000000006</v>
      </c>
      <c r="H95" s="41">
        <v>8.5</v>
      </c>
      <c r="I95" s="2"/>
      <c r="J95" s="2"/>
      <c r="K95" s="2"/>
      <c r="L95" s="2"/>
      <c r="M95" s="2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4"/>
      <c r="B96" s="5"/>
      <c r="C96" s="15">
        <v>44741</v>
      </c>
      <c r="D96" s="19">
        <v>0.4826388888888889</v>
      </c>
      <c r="E96" s="3">
        <v>14</v>
      </c>
      <c r="F96" s="40">
        <v>9.1300000000000008</v>
      </c>
      <c r="G96" s="7">
        <v>76.8</v>
      </c>
      <c r="H96" s="41">
        <v>8</v>
      </c>
      <c r="I96" s="2"/>
      <c r="J96" s="2"/>
      <c r="K96" s="2"/>
      <c r="L96" s="2"/>
      <c r="M96" s="2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4"/>
      <c r="B97" s="5"/>
      <c r="C97" s="15">
        <v>44741</v>
      </c>
      <c r="D97" s="19">
        <v>0.4826388888888889</v>
      </c>
      <c r="E97" s="3">
        <v>15</v>
      </c>
      <c r="F97" s="40">
        <v>9.07</v>
      </c>
      <c r="G97" s="7">
        <v>75.099999999999994</v>
      </c>
      <c r="H97" s="41">
        <v>7.3</v>
      </c>
      <c r="I97" s="2"/>
      <c r="J97" s="2"/>
      <c r="K97" s="2"/>
      <c r="L97" s="2"/>
      <c r="M97" s="2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4"/>
      <c r="B98" s="5"/>
      <c r="C98" s="15">
        <v>44741</v>
      </c>
      <c r="D98" s="19">
        <v>0.4826388888888889</v>
      </c>
      <c r="E98" s="3">
        <v>16</v>
      </c>
      <c r="F98" s="40">
        <v>9.0299999999999994</v>
      </c>
      <c r="G98" s="7">
        <v>74.5</v>
      </c>
      <c r="H98" s="41">
        <v>7.1</v>
      </c>
      <c r="I98" s="2"/>
      <c r="J98" s="2"/>
      <c r="K98" s="2"/>
      <c r="L98" s="2"/>
      <c r="M98" s="2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4"/>
      <c r="B99" s="5"/>
      <c r="C99" s="15">
        <v>44741</v>
      </c>
      <c r="D99" s="19">
        <v>0.4826388888888889</v>
      </c>
      <c r="E99" s="3">
        <v>18</v>
      </c>
      <c r="F99" s="40">
        <v>8.9499999999999993</v>
      </c>
      <c r="G99" s="7">
        <v>73.3</v>
      </c>
      <c r="H99" s="41">
        <v>6.8</v>
      </c>
      <c r="I99" s="2"/>
      <c r="J99" s="2"/>
      <c r="K99" s="2"/>
      <c r="L99" s="2"/>
      <c r="M99" s="2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4"/>
      <c r="B100" s="5"/>
      <c r="C100" s="15">
        <v>44741</v>
      </c>
      <c r="D100" s="19">
        <v>0.4826388888888889</v>
      </c>
      <c r="E100" s="3">
        <v>20</v>
      </c>
      <c r="F100" s="40"/>
      <c r="G100" s="7"/>
      <c r="H100" s="41">
        <v>6.6</v>
      </c>
      <c r="I100" s="2"/>
      <c r="J100" s="2"/>
      <c r="K100" s="2"/>
      <c r="L100" s="2"/>
      <c r="M100" s="2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4"/>
      <c r="B101" s="5"/>
      <c r="C101" s="15">
        <v>44741</v>
      </c>
      <c r="D101" s="19">
        <v>0.4826388888888889</v>
      </c>
      <c r="E101" s="3">
        <v>22</v>
      </c>
      <c r="F101" s="40"/>
      <c r="G101" s="7"/>
      <c r="H101" s="41">
        <v>6.3</v>
      </c>
      <c r="I101" s="2"/>
      <c r="J101" s="2"/>
      <c r="K101" s="2"/>
      <c r="L101" s="2"/>
      <c r="M101" s="2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4"/>
      <c r="B102" s="5"/>
      <c r="C102" s="15">
        <v>44741</v>
      </c>
      <c r="D102" s="19">
        <v>0.4826388888888889</v>
      </c>
      <c r="E102" s="3">
        <v>24</v>
      </c>
      <c r="F102" s="40">
        <v>8.5</v>
      </c>
      <c r="G102" s="7">
        <v>68.400000000000006</v>
      </c>
      <c r="H102" s="41">
        <v>6.2</v>
      </c>
      <c r="I102" s="2"/>
      <c r="J102" s="2"/>
      <c r="K102" s="2"/>
      <c r="L102" s="2"/>
      <c r="M102" s="2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4"/>
      <c r="B103" s="5"/>
      <c r="C103" s="15">
        <v>44741</v>
      </c>
      <c r="D103" s="19">
        <v>0.4826388888888889</v>
      </c>
      <c r="E103" s="3">
        <v>26</v>
      </c>
      <c r="F103" s="40">
        <v>8.25</v>
      </c>
      <c r="G103" s="7">
        <v>66.099999999999994</v>
      </c>
      <c r="H103" s="41">
        <v>6</v>
      </c>
      <c r="I103" s="2"/>
      <c r="J103" s="2"/>
      <c r="K103" s="2"/>
      <c r="L103" s="2"/>
      <c r="M103" s="2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4"/>
      <c r="B104" s="5"/>
      <c r="C104" s="3"/>
      <c r="D104" s="3"/>
      <c r="E104" s="3"/>
      <c r="F104" s="40"/>
      <c r="G104" s="7"/>
      <c r="H104" s="41"/>
      <c r="I104" s="2"/>
      <c r="J104" s="2"/>
      <c r="K104" s="2"/>
      <c r="L104" s="2"/>
      <c r="M104" s="2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C105" s="16">
        <v>43620</v>
      </c>
      <c r="D105" s="30">
        <v>0.57291666666666663</v>
      </c>
      <c r="J105" s="1">
        <v>6</v>
      </c>
      <c r="K105" s="1">
        <v>8</v>
      </c>
    </row>
    <row r="106" spans="1:26" ht="15.75" customHeight="1" x14ac:dyDescent="0.2">
      <c r="C106" s="16">
        <v>43620</v>
      </c>
      <c r="D106" s="12">
        <v>0.58333333333333337</v>
      </c>
      <c r="E106" s="1">
        <v>0.1</v>
      </c>
      <c r="F106" s="207">
        <v>8.32</v>
      </c>
      <c r="G106" s="206">
        <v>78.3</v>
      </c>
      <c r="H106" s="206">
        <v>12.5</v>
      </c>
    </row>
    <row r="107" spans="1:26" ht="15.75" customHeight="1" x14ac:dyDescent="0.2">
      <c r="C107" s="16">
        <v>43620</v>
      </c>
      <c r="D107" s="12">
        <v>0.58333333333333337</v>
      </c>
      <c r="E107" s="1">
        <v>1</v>
      </c>
      <c r="F107" s="207">
        <v>8.35</v>
      </c>
      <c r="H107" s="206">
        <v>12.5</v>
      </c>
    </row>
    <row r="108" spans="1:26" ht="15.75" customHeight="1" x14ac:dyDescent="0.2">
      <c r="C108" s="16">
        <v>43620</v>
      </c>
      <c r="D108" s="12">
        <v>0.58333333333333337</v>
      </c>
      <c r="E108" s="1">
        <v>2</v>
      </c>
      <c r="F108" s="207">
        <v>8.3699999999999992</v>
      </c>
      <c r="H108" s="206">
        <v>12.4</v>
      </c>
    </row>
    <row r="109" spans="1:26" ht="15.75" customHeight="1" x14ac:dyDescent="0.2">
      <c r="C109" s="16">
        <v>43620</v>
      </c>
      <c r="D109" s="12">
        <v>0.58333333333333337</v>
      </c>
      <c r="E109" s="1">
        <v>3</v>
      </c>
      <c r="F109" s="207">
        <v>8.3699999999999992</v>
      </c>
      <c r="H109" s="206">
        <v>12.3</v>
      </c>
    </row>
    <row r="110" spans="1:26" ht="15.75" customHeight="1" x14ac:dyDescent="0.2">
      <c r="C110" s="16">
        <v>43620</v>
      </c>
      <c r="D110" s="12">
        <v>0.58333333333333337</v>
      </c>
      <c r="E110" s="1">
        <v>4</v>
      </c>
      <c r="F110" s="207">
        <v>8.3800000000000008</v>
      </c>
      <c r="G110" s="206">
        <v>77.8</v>
      </c>
      <c r="H110" s="206">
        <v>12.2</v>
      </c>
    </row>
    <row r="111" spans="1:26" ht="15.75" customHeight="1" x14ac:dyDescent="0.2">
      <c r="C111" s="16">
        <v>43620</v>
      </c>
      <c r="D111" s="12">
        <v>0.58333333333333337</v>
      </c>
      <c r="E111" s="1">
        <v>5</v>
      </c>
      <c r="F111" s="207">
        <v>8.39</v>
      </c>
      <c r="G111" s="206">
        <v>76.900000000000006</v>
      </c>
      <c r="H111" s="206">
        <v>11.6</v>
      </c>
    </row>
    <row r="112" spans="1:26" ht="15.75" customHeight="1" x14ac:dyDescent="0.2">
      <c r="C112" s="16">
        <v>43620</v>
      </c>
      <c r="D112" s="12">
        <v>0.58333333333333337</v>
      </c>
      <c r="E112" s="1">
        <v>6</v>
      </c>
      <c r="F112" s="207">
        <v>8.56</v>
      </c>
      <c r="G112" s="206">
        <v>76.2</v>
      </c>
      <c r="H112" s="206">
        <v>10.199999999999999</v>
      </c>
    </row>
    <row r="113" spans="3:8" ht="15.75" customHeight="1" x14ac:dyDescent="0.2">
      <c r="C113" s="16">
        <v>43620</v>
      </c>
      <c r="D113" s="12">
        <v>0.58333333333333337</v>
      </c>
      <c r="E113" s="1">
        <v>7</v>
      </c>
      <c r="F113" s="207">
        <v>8.61</v>
      </c>
      <c r="G113" s="206">
        <v>74.7</v>
      </c>
      <c r="H113" s="206">
        <v>9.1999999999999993</v>
      </c>
    </row>
    <row r="114" spans="3:8" ht="15.75" customHeight="1" x14ac:dyDescent="0.2">
      <c r="C114" s="16">
        <v>43620</v>
      </c>
      <c r="D114" s="12">
        <v>0.58333333333333337</v>
      </c>
      <c r="E114" s="1">
        <v>8</v>
      </c>
      <c r="F114" s="207">
        <v>8.64</v>
      </c>
      <c r="H114" s="206">
        <v>8.9</v>
      </c>
    </row>
    <row r="115" spans="3:8" ht="15.75" customHeight="1" x14ac:dyDescent="0.2">
      <c r="C115" s="16">
        <v>43620</v>
      </c>
      <c r="D115" s="12">
        <v>0.58333333333333337</v>
      </c>
      <c r="E115" s="1">
        <v>9</v>
      </c>
      <c r="F115" s="207">
        <v>8.6</v>
      </c>
      <c r="H115" s="206">
        <v>7.8</v>
      </c>
    </row>
    <row r="116" spans="3:8" ht="15.75" customHeight="1" x14ac:dyDescent="0.2">
      <c r="C116" s="16">
        <v>43620</v>
      </c>
      <c r="D116" s="12">
        <v>0.58333333333333337</v>
      </c>
      <c r="E116" s="1">
        <v>10</v>
      </c>
      <c r="F116" s="207">
        <v>8.49</v>
      </c>
      <c r="H116" s="206">
        <v>7.3</v>
      </c>
    </row>
    <row r="117" spans="3:8" ht="15.75" customHeight="1" x14ac:dyDescent="0.2">
      <c r="C117" s="16">
        <v>43620</v>
      </c>
      <c r="D117" s="12">
        <v>0.58333333333333337</v>
      </c>
      <c r="E117" s="1">
        <v>11</v>
      </c>
      <c r="F117" s="207">
        <v>8.43</v>
      </c>
      <c r="H117" s="206">
        <v>7</v>
      </c>
    </row>
    <row r="118" spans="3:8" ht="15.75" customHeight="1" x14ac:dyDescent="0.2">
      <c r="C118" s="16">
        <v>43620</v>
      </c>
      <c r="D118" s="12">
        <v>0.58333333333333337</v>
      </c>
      <c r="E118" s="1">
        <v>12</v>
      </c>
      <c r="F118" s="207">
        <v>8.39</v>
      </c>
      <c r="H118" s="206">
        <v>7</v>
      </c>
    </row>
    <row r="119" spans="3:8" ht="15.75" customHeight="1" x14ac:dyDescent="0.2">
      <c r="C119" s="16">
        <v>43620</v>
      </c>
      <c r="D119" s="12">
        <v>0.58333333333333337</v>
      </c>
      <c r="E119" s="1">
        <v>13</v>
      </c>
      <c r="F119" s="207">
        <v>8.3699999999999992</v>
      </c>
      <c r="H119" s="206">
        <v>6.9</v>
      </c>
    </row>
    <row r="120" spans="3:8" ht="15.75" customHeight="1" x14ac:dyDescent="0.2">
      <c r="C120" s="16">
        <v>43620</v>
      </c>
      <c r="D120" s="12">
        <v>0.58333333333333337</v>
      </c>
      <c r="E120" s="1">
        <v>14</v>
      </c>
      <c r="F120" s="207">
        <v>8.34</v>
      </c>
      <c r="H120" s="206">
        <v>6.8</v>
      </c>
    </row>
    <row r="121" spans="3:8" ht="15.75" customHeight="1" x14ac:dyDescent="0.2">
      <c r="C121" s="16">
        <v>43620</v>
      </c>
      <c r="D121" s="12">
        <v>0.58333333333333337</v>
      </c>
      <c r="E121" s="1">
        <v>15</v>
      </c>
      <c r="F121" s="207">
        <v>8.32</v>
      </c>
      <c r="H121" s="206">
        <v>6.6</v>
      </c>
    </row>
    <row r="122" spans="3:8" ht="15.75" customHeight="1" x14ac:dyDescent="0.2">
      <c r="C122" s="16">
        <v>43620</v>
      </c>
      <c r="D122" s="12">
        <v>0.58333333333333337</v>
      </c>
      <c r="E122" s="1">
        <v>16</v>
      </c>
      <c r="F122" s="207">
        <v>8.3000000000000007</v>
      </c>
      <c r="H122" s="206">
        <v>6.5</v>
      </c>
    </row>
    <row r="123" spans="3:8" ht="15.75" customHeight="1" x14ac:dyDescent="0.2">
      <c r="C123" s="16">
        <v>43620</v>
      </c>
      <c r="D123" s="12">
        <v>0.58333333333333337</v>
      </c>
      <c r="E123" s="1">
        <v>17</v>
      </c>
      <c r="F123" s="207">
        <v>8.27</v>
      </c>
      <c r="H123" s="206">
        <v>6.4</v>
      </c>
    </row>
    <row r="124" spans="3:8" ht="15.75" customHeight="1" x14ac:dyDescent="0.2">
      <c r="C124" s="16">
        <v>43620</v>
      </c>
      <c r="D124" s="12">
        <v>0.58333333333333337</v>
      </c>
      <c r="E124" s="1">
        <v>18</v>
      </c>
      <c r="F124" s="207">
        <v>8.2100000000000009</v>
      </c>
      <c r="H124" s="206">
        <v>6.2</v>
      </c>
    </row>
    <row r="125" spans="3:8" ht="15.75" customHeight="1" x14ac:dyDescent="0.2">
      <c r="C125" s="16">
        <v>43620</v>
      </c>
      <c r="D125" s="12">
        <v>0.58333333333333337</v>
      </c>
      <c r="E125" s="1">
        <v>19</v>
      </c>
      <c r="F125" s="207">
        <v>8.15</v>
      </c>
      <c r="H125" s="206">
        <v>6.1</v>
      </c>
    </row>
    <row r="126" spans="3:8" ht="15.75" customHeight="1" x14ac:dyDescent="0.2">
      <c r="C126" s="16">
        <v>43620</v>
      </c>
      <c r="D126" s="12">
        <v>0.58333333333333337</v>
      </c>
      <c r="E126" s="1">
        <v>20</v>
      </c>
      <c r="F126" s="207">
        <v>8.1</v>
      </c>
      <c r="H126" s="206">
        <v>6</v>
      </c>
    </row>
    <row r="127" spans="3:8" ht="15.75" customHeight="1" x14ac:dyDescent="0.2">
      <c r="C127" s="16">
        <v>43620</v>
      </c>
      <c r="D127" s="12">
        <v>0.58333333333333337</v>
      </c>
      <c r="E127" s="1">
        <v>22</v>
      </c>
      <c r="F127" s="207">
        <v>7.98</v>
      </c>
      <c r="H127" s="206">
        <v>5.6</v>
      </c>
    </row>
    <row r="128" spans="3:8" ht="15.75" customHeight="1" x14ac:dyDescent="0.2">
      <c r="C128" s="16">
        <v>43620</v>
      </c>
      <c r="D128" s="12">
        <v>0.58333333333333337</v>
      </c>
      <c r="E128" s="1">
        <v>24</v>
      </c>
      <c r="F128" s="207">
        <v>7.61</v>
      </c>
      <c r="H128" s="206">
        <v>5.4</v>
      </c>
    </row>
    <row r="129" spans="3:11" ht="15.75" customHeight="1" x14ac:dyDescent="0.2">
      <c r="C129" s="16">
        <v>43620</v>
      </c>
      <c r="D129" s="12">
        <v>0.58333333333333337</v>
      </c>
      <c r="E129" s="1">
        <v>26</v>
      </c>
      <c r="F129" s="207">
        <v>7.38</v>
      </c>
      <c r="H129" s="206">
        <v>5.2</v>
      </c>
    </row>
    <row r="130" spans="3:11" ht="15.75" customHeight="1" x14ac:dyDescent="0.2">
      <c r="C130" s="16">
        <v>43620</v>
      </c>
      <c r="D130" s="12">
        <v>0.58333333333333337</v>
      </c>
      <c r="E130" s="1">
        <v>28</v>
      </c>
      <c r="F130" s="207">
        <v>7.2</v>
      </c>
      <c r="H130" s="206">
        <v>5.2</v>
      </c>
    </row>
    <row r="131" spans="3:11" ht="15.75" customHeight="1" x14ac:dyDescent="0.2">
      <c r="C131" s="16">
        <v>43620</v>
      </c>
      <c r="D131" s="12">
        <v>0.58333333333333337</v>
      </c>
      <c r="E131" s="1">
        <v>30</v>
      </c>
      <c r="F131" s="207">
        <v>6.65</v>
      </c>
      <c r="G131" s="206">
        <v>52.8</v>
      </c>
      <c r="H131" s="206">
        <v>5.2</v>
      </c>
    </row>
    <row r="132" spans="3:11" ht="15.75" customHeight="1" x14ac:dyDescent="0.2">
      <c r="C132" s="16"/>
      <c r="D132" s="12"/>
      <c r="E132" s="1"/>
      <c r="F132" s="207"/>
      <c r="G132" s="206"/>
      <c r="H132" s="206"/>
    </row>
    <row r="133" spans="3:11" ht="15.75" customHeight="1" x14ac:dyDescent="0.2">
      <c r="C133" s="16">
        <v>43024</v>
      </c>
      <c r="D133" s="12">
        <v>0.55208333333333337</v>
      </c>
      <c r="E133" s="1"/>
      <c r="F133" s="207"/>
      <c r="G133" s="206"/>
      <c r="H133" s="206"/>
      <c r="J133">
        <v>8</v>
      </c>
      <c r="K133">
        <v>12</v>
      </c>
    </row>
    <row r="134" spans="3:11" ht="15.75" customHeight="1" x14ac:dyDescent="0.2">
      <c r="C134" s="16">
        <v>43024</v>
      </c>
      <c r="D134" s="12">
        <v>0.5625</v>
      </c>
      <c r="E134">
        <v>0.1</v>
      </c>
      <c r="F134" s="207">
        <v>8.89</v>
      </c>
      <c r="G134" s="206">
        <v>82.1</v>
      </c>
      <c r="H134" s="206">
        <v>11.8</v>
      </c>
    </row>
    <row r="135" spans="3:11" ht="15.75" customHeight="1" x14ac:dyDescent="0.2">
      <c r="C135" s="16">
        <v>43024</v>
      </c>
      <c r="D135" s="12">
        <v>0.5625</v>
      </c>
      <c r="E135">
        <v>1</v>
      </c>
      <c r="F135" s="207">
        <v>8.9</v>
      </c>
      <c r="G135" s="206">
        <v>82</v>
      </c>
      <c r="H135" s="206">
        <v>11.7</v>
      </c>
    </row>
    <row r="136" spans="3:11" ht="15.75" customHeight="1" x14ac:dyDescent="0.2">
      <c r="C136" s="16">
        <v>43024</v>
      </c>
      <c r="D136" s="12">
        <v>0.5625</v>
      </c>
      <c r="E136">
        <v>2</v>
      </c>
      <c r="F136" s="207">
        <v>8.8800000000000008</v>
      </c>
      <c r="G136" s="206">
        <v>81.8</v>
      </c>
      <c r="H136" s="206">
        <v>11.7</v>
      </c>
    </row>
    <row r="137" spans="3:11" ht="15.75" customHeight="1" x14ac:dyDescent="0.2">
      <c r="C137" s="16">
        <v>43024</v>
      </c>
      <c r="D137" s="12">
        <v>0.5625</v>
      </c>
      <c r="E137">
        <v>3</v>
      </c>
      <c r="F137" s="207">
        <v>8.8800000000000008</v>
      </c>
      <c r="G137" s="206">
        <v>81.7</v>
      </c>
      <c r="H137" s="206">
        <v>11.6</v>
      </c>
    </row>
    <row r="138" spans="3:11" ht="15.75" customHeight="1" x14ac:dyDescent="0.2">
      <c r="C138" s="16">
        <v>43024</v>
      </c>
      <c r="D138" s="12">
        <v>0.5625</v>
      </c>
      <c r="E138">
        <v>4</v>
      </c>
      <c r="F138" s="207">
        <v>8.86</v>
      </c>
      <c r="G138" s="206">
        <v>81.5</v>
      </c>
      <c r="H138" s="206">
        <v>11.6</v>
      </c>
    </row>
    <row r="139" spans="3:11" ht="15.75" customHeight="1" x14ac:dyDescent="0.2">
      <c r="C139" s="16">
        <v>43024</v>
      </c>
      <c r="D139" s="12">
        <v>0.5625</v>
      </c>
      <c r="E139">
        <v>5</v>
      </c>
      <c r="F139" s="207">
        <v>8.85</v>
      </c>
      <c r="G139" s="206">
        <v>81.400000000000006</v>
      </c>
      <c r="H139" s="206">
        <v>11.6</v>
      </c>
    </row>
    <row r="140" spans="3:11" ht="15.75" customHeight="1" x14ac:dyDescent="0.2">
      <c r="C140" s="16">
        <v>43024</v>
      </c>
      <c r="D140" s="12">
        <v>0.5625</v>
      </c>
      <c r="E140">
        <v>6</v>
      </c>
      <c r="F140" s="207">
        <v>8.82</v>
      </c>
      <c r="G140" s="206">
        <v>81.099999999999994</v>
      </c>
      <c r="H140" s="206">
        <v>11.6</v>
      </c>
    </row>
    <row r="141" spans="3:11" ht="15.75" customHeight="1" x14ac:dyDescent="0.2">
      <c r="C141" s="16">
        <v>43024</v>
      </c>
      <c r="D141" s="12">
        <v>0.5625</v>
      </c>
      <c r="E141">
        <v>7</v>
      </c>
      <c r="F141" s="207">
        <v>8.81</v>
      </c>
      <c r="G141" s="206">
        <v>81</v>
      </c>
      <c r="H141" s="206">
        <v>11.6</v>
      </c>
    </row>
    <row r="142" spans="3:11" ht="15.75" customHeight="1" x14ac:dyDescent="0.2">
      <c r="C142" s="16">
        <v>43024</v>
      </c>
      <c r="D142" s="12">
        <v>0.5625</v>
      </c>
      <c r="E142">
        <v>8</v>
      </c>
      <c r="F142" s="207">
        <v>8.81</v>
      </c>
      <c r="G142" s="206">
        <v>80.8</v>
      </c>
      <c r="H142" s="206">
        <v>11.5</v>
      </c>
    </row>
    <row r="143" spans="3:11" ht="15.75" customHeight="1" x14ac:dyDescent="0.2">
      <c r="C143" s="16">
        <v>43024</v>
      </c>
      <c r="D143" s="12">
        <v>0.5625</v>
      </c>
      <c r="E143">
        <v>9</v>
      </c>
      <c r="F143" s="207">
        <v>8.7899999999999991</v>
      </c>
      <c r="G143" s="206">
        <v>80.599999999999994</v>
      </c>
      <c r="H143" s="206">
        <v>11.5</v>
      </c>
    </row>
    <row r="144" spans="3:11" ht="15.75" customHeight="1" x14ac:dyDescent="0.2">
      <c r="C144" s="16">
        <v>43024</v>
      </c>
      <c r="D144" s="12">
        <v>0.5625</v>
      </c>
      <c r="E144">
        <v>10</v>
      </c>
      <c r="F144" s="207">
        <v>8.77</v>
      </c>
      <c r="G144" s="206">
        <v>80.5</v>
      </c>
      <c r="H144" s="206">
        <v>11.5</v>
      </c>
    </row>
    <row r="145" spans="3:8" ht="15.75" customHeight="1" x14ac:dyDescent="0.2">
      <c r="C145" s="16">
        <v>43024</v>
      </c>
      <c r="D145" s="12">
        <v>0.5625</v>
      </c>
      <c r="E145">
        <v>11</v>
      </c>
      <c r="F145" s="207">
        <v>8.75</v>
      </c>
      <c r="G145" s="206">
        <v>80.3</v>
      </c>
      <c r="H145" s="206">
        <v>11.5</v>
      </c>
    </row>
    <row r="146" spans="3:8" ht="15.75" customHeight="1" x14ac:dyDescent="0.2">
      <c r="C146" s="16">
        <v>43024</v>
      </c>
      <c r="D146" s="12">
        <v>0.5625</v>
      </c>
      <c r="E146">
        <v>12</v>
      </c>
      <c r="F146" s="207">
        <v>8.7200000000000006</v>
      </c>
      <c r="G146" s="206">
        <v>80</v>
      </c>
      <c r="H146" s="206">
        <v>11.5</v>
      </c>
    </row>
    <row r="147" spans="3:8" ht="15.75" customHeight="1" x14ac:dyDescent="0.2">
      <c r="C147" s="16">
        <v>43024</v>
      </c>
      <c r="D147" s="12">
        <v>0.5625</v>
      </c>
      <c r="E147">
        <v>13</v>
      </c>
      <c r="F147" s="207">
        <v>8.6999999999999993</v>
      </c>
      <c r="G147" s="206">
        <v>79.7</v>
      </c>
      <c r="H147" s="206">
        <v>11.5</v>
      </c>
    </row>
    <row r="148" spans="3:8" ht="15.75" customHeight="1" x14ac:dyDescent="0.2">
      <c r="C148" s="16">
        <v>43024</v>
      </c>
      <c r="D148" s="12">
        <v>0.5625</v>
      </c>
      <c r="E148">
        <v>14</v>
      </c>
      <c r="F148" s="207">
        <v>8.5299999999999994</v>
      </c>
      <c r="G148" s="206">
        <v>76.5</v>
      </c>
      <c r="H148" s="206">
        <v>10.6</v>
      </c>
    </row>
    <row r="149" spans="3:8" ht="15.75" customHeight="1" x14ac:dyDescent="0.2">
      <c r="C149" s="16">
        <v>43024</v>
      </c>
      <c r="D149" s="12">
        <v>0.5625</v>
      </c>
      <c r="E149">
        <v>15</v>
      </c>
      <c r="F149" s="207">
        <v>8.42</v>
      </c>
      <c r="G149" s="206">
        <v>74.5</v>
      </c>
      <c r="H149" s="206">
        <v>10.1</v>
      </c>
    </row>
    <row r="150" spans="3:8" ht="15.75" customHeight="1" x14ac:dyDescent="0.2">
      <c r="C150" s="16">
        <v>43024</v>
      </c>
      <c r="D150" s="12">
        <v>0.5625</v>
      </c>
      <c r="E150">
        <v>16</v>
      </c>
      <c r="F150" s="207">
        <v>8.1999999999999993</v>
      </c>
      <c r="G150" s="206">
        <v>72</v>
      </c>
      <c r="H150" s="206">
        <v>9.6999999999999993</v>
      </c>
    </row>
    <row r="151" spans="3:8" ht="15.75" customHeight="1" x14ac:dyDescent="0.2">
      <c r="C151" s="16">
        <v>43024</v>
      </c>
      <c r="D151" s="12">
        <v>0.5625</v>
      </c>
      <c r="E151">
        <v>17</v>
      </c>
      <c r="F151" s="207">
        <v>7.9</v>
      </c>
      <c r="G151" s="206">
        <v>68.7</v>
      </c>
      <c r="H151" s="206">
        <v>9.5</v>
      </c>
    </row>
    <row r="152" spans="3:8" ht="15.75" customHeight="1" x14ac:dyDescent="0.2">
      <c r="C152" s="16">
        <v>43024</v>
      </c>
      <c r="D152" s="12">
        <v>0.5625</v>
      </c>
      <c r="E152">
        <v>18</v>
      </c>
      <c r="F152" s="207">
        <v>7.39</v>
      </c>
      <c r="G152" s="206">
        <v>63.6</v>
      </c>
      <c r="H152" s="206">
        <v>8.9</v>
      </c>
    </row>
    <row r="153" spans="3:8" ht="15.75" customHeight="1" x14ac:dyDescent="0.2">
      <c r="C153" s="16">
        <v>43024</v>
      </c>
      <c r="D153" s="12">
        <v>0.5625</v>
      </c>
      <c r="E153">
        <v>19</v>
      </c>
      <c r="F153" s="207">
        <v>7</v>
      </c>
      <c r="G153" s="206">
        <v>59.8</v>
      </c>
      <c r="H153" s="206">
        <v>8.5</v>
      </c>
    </row>
    <row r="154" spans="3:8" ht="15.75" customHeight="1" x14ac:dyDescent="0.2">
      <c r="C154" s="16">
        <v>43024</v>
      </c>
      <c r="D154" s="12">
        <v>0.5625</v>
      </c>
      <c r="E154">
        <v>20</v>
      </c>
      <c r="F154" s="207">
        <v>6.84</v>
      </c>
      <c r="G154" s="206">
        <v>58.3</v>
      </c>
      <c r="H154" s="206">
        <v>8.4</v>
      </c>
    </row>
    <row r="155" spans="3:8" ht="15.75" customHeight="1" x14ac:dyDescent="0.2">
      <c r="C155" s="16">
        <v>43024</v>
      </c>
      <c r="D155" s="12">
        <v>0.5625</v>
      </c>
      <c r="E155">
        <v>21</v>
      </c>
      <c r="F155" s="207">
        <v>6.71</v>
      </c>
      <c r="G155" s="206">
        <v>56.8</v>
      </c>
      <c r="H155" s="206">
        <v>8.3000000000000007</v>
      </c>
    </row>
    <row r="156" spans="3:8" ht="15.75" customHeight="1" x14ac:dyDescent="0.2">
      <c r="C156" s="16">
        <v>43024</v>
      </c>
      <c r="D156" s="12">
        <v>0.5625</v>
      </c>
      <c r="E156">
        <v>22</v>
      </c>
      <c r="F156" s="207">
        <v>6.36</v>
      </c>
      <c r="G156" s="206">
        <v>53.8</v>
      </c>
      <c r="H156" s="206">
        <v>8.1</v>
      </c>
    </row>
    <row r="157" spans="3:8" ht="15.75" customHeight="1" x14ac:dyDescent="0.2">
      <c r="C157" s="16">
        <v>43024</v>
      </c>
      <c r="D157" s="12">
        <v>0.5625</v>
      </c>
      <c r="E157">
        <v>23</v>
      </c>
      <c r="F157" s="207">
        <v>6</v>
      </c>
      <c r="G157" s="206">
        <v>50.5</v>
      </c>
      <c r="H157" s="206">
        <v>7.9</v>
      </c>
    </row>
    <row r="158" spans="3:8" ht="15.75" customHeight="1" x14ac:dyDescent="0.2">
      <c r="C158" s="16">
        <v>43024</v>
      </c>
      <c r="D158" s="12">
        <v>0.5625</v>
      </c>
      <c r="E158">
        <v>24</v>
      </c>
      <c r="F158" s="207">
        <v>5.9</v>
      </c>
      <c r="G158" s="206">
        <v>49.5</v>
      </c>
      <c r="H158" s="206">
        <v>7.8</v>
      </c>
    </row>
    <row r="159" spans="3:8" ht="15.75" customHeight="1" x14ac:dyDescent="0.2">
      <c r="C159" s="16">
        <v>43024</v>
      </c>
      <c r="D159" s="12">
        <v>0.5625</v>
      </c>
      <c r="E159">
        <v>25</v>
      </c>
      <c r="F159" s="207">
        <v>5.85</v>
      </c>
      <c r="G159" s="206">
        <v>49</v>
      </c>
      <c r="H159" s="206">
        <v>7.7</v>
      </c>
    </row>
    <row r="160" spans="3:8" ht="15.75" customHeight="1" x14ac:dyDescent="0.2">
      <c r="C160" s="16">
        <v>43024</v>
      </c>
      <c r="D160" s="12">
        <v>0.5625</v>
      </c>
      <c r="E160">
        <v>26</v>
      </c>
      <c r="F160" s="207">
        <v>5.75</v>
      </c>
      <c r="G160" s="206">
        <v>48</v>
      </c>
      <c r="H160" s="206">
        <v>7.6</v>
      </c>
    </row>
    <row r="161" spans="3:11" ht="15.75" customHeight="1" x14ac:dyDescent="0.2">
      <c r="C161" s="16">
        <v>43024</v>
      </c>
      <c r="D161" s="12">
        <v>0.5625</v>
      </c>
      <c r="E161">
        <v>27</v>
      </c>
      <c r="F161" s="207">
        <v>5.61</v>
      </c>
      <c r="G161" s="206">
        <v>46.8</v>
      </c>
      <c r="H161" s="206">
        <v>7.5</v>
      </c>
    </row>
    <row r="162" spans="3:11" ht="15.75" customHeight="1" x14ac:dyDescent="0.2">
      <c r="C162" s="16">
        <v>43024</v>
      </c>
      <c r="D162" s="12">
        <v>0.5625</v>
      </c>
      <c r="E162">
        <v>28</v>
      </c>
      <c r="F162" s="207">
        <v>4.87</v>
      </c>
      <c r="G162" s="206">
        <v>40.299999999999997</v>
      </c>
      <c r="H162" s="206">
        <v>7.3</v>
      </c>
    </row>
    <row r="163" spans="3:11" ht="15.75" customHeight="1" x14ac:dyDescent="0.2">
      <c r="C163" s="16">
        <v>43024</v>
      </c>
      <c r="D163" s="12">
        <v>0.5625</v>
      </c>
      <c r="E163">
        <v>29</v>
      </c>
      <c r="F163" s="207">
        <v>4.5</v>
      </c>
      <c r="G163" s="206">
        <v>37.200000000000003</v>
      </c>
      <c r="H163" s="206">
        <v>7.3</v>
      </c>
    </row>
    <row r="164" spans="3:11" ht="15.75" customHeight="1" x14ac:dyDescent="0.2">
      <c r="C164" s="16">
        <v>43024</v>
      </c>
      <c r="D164" s="12">
        <v>0.5625</v>
      </c>
      <c r="E164">
        <v>30</v>
      </c>
      <c r="F164" s="207">
        <v>4.2300000000000004</v>
      </c>
      <c r="G164" s="206">
        <v>35</v>
      </c>
      <c r="H164" s="206">
        <v>7.3</v>
      </c>
    </row>
    <row r="165" spans="3:11" ht="15.75" customHeight="1" x14ac:dyDescent="0.2">
      <c r="C165" s="16">
        <v>43024</v>
      </c>
      <c r="D165" s="12">
        <v>0.5625</v>
      </c>
      <c r="E165">
        <v>31</v>
      </c>
      <c r="F165" s="207">
        <v>4.12</v>
      </c>
      <c r="G165" s="206">
        <v>34.200000000000003</v>
      </c>
      <c r="H165" s="206">
        <v>7.3</v>
      </c>
    </row>
    <row r="166" spans="3:11" ht="15.75" customHeight="1" x14ac:dyDescent="0.2">
      <c r="C166" s="16"/>
      <c r="D166" s="12"/>
      <c r="E166" s="1"/>
      <c r="F166" s="207"/>
      <c r="G166" s="206"/>
      <c r="H166" s="206"/>
    </row>
    <row r="167" spans="3:11" ht="15.75" customHeight="1" x14ac:dyDescent="0.2">
      <c r="C167" s="16">
        <v>43003</v>
      </c>
      <c r="D167" s="12">
        <v>0.54166666666666663</v>
      </c>
      <c r="E167" s="1"/>
      <c r="F167" s="207"/>
      <c r="G167" s="206"/>
      <c r="H167" s="206"/>
      <c r="J167">
        <v>9</v>
      </c>
      <c r="K167">
        <v>14.5</v>
      </c>
    </row>
    <row r="168" spans="3:11" ht="15.75" customHeight="1" x14ac:dyDescent="0.2">
      <c r="C168" s="16">
        <v>43003</v>
      </c>
      <c r="D168" s="12">
        <v>0.55208333333333337</v>
      </c>
      <c r="E168">
        <v>0.1</v>
      </c>
      <c r="F168" s="207">
        <v>8.41</v>
      </c>
      <c r="G168" s="206">
        <v>83.8</v>
      </c>
      <c r="H168" s="206">
        <v>15.2</v>
      </c>
    </row>
    <row r="169" spans="3:11" ht="15.75" customHeight="1" x14ac:dyDescent="0.2">
      <c r="C169" s="16">
        <v>43003</v>
      </c>
      <c r="D169" s="12">
        <v>0.55208333333333337</v>
      </c>
      <c r="E169">
        <v>1</v>
      </c>
      <c r="F169" s="207">
        <v>8.41</v>
      </c>
      <c r="G169" s="206">
        <v>83.8</v>
      </c>
      <c r="H169" s="206">
        <v>15.2</v>
      </c>
    </row>
    <row r="170" spans="3:11" ht="15.75" customHeight="1" x14ac:dyDescent="0.2">
      <c r="C170" s="16">
        <v>43003</v>
      </c>
      <c r="D170" s="12">
        <v>0.55208333333333337</v>
      </c>
      <c r="E170">
        <v>2</v>
      </c>
      <c r="F170" s="207">
        <v>8.4</v>
      </c>
      <c r="G170" s="206">
        <v>83.7</v>
      </c>
      <c r="H170" s="206">
        <v>15.2</v>
      </c>
    </row>
    <row r="171" spans="3:11" ht="15.75" customHeight="1" x14ac:dyDescent="0.2">
      <c r="C171" s="16">
        <v>43003</v>
      </c>
      <c r="D171" s="12">
        <v>0.55208333333333337</v>
      </c>
      <c r="E171">
        <v>3</v>
      </c>
      <c r="F171" s="207">
        <v>8.41</v>
      </c>
      <c r="G171" s="206">
        <v>83.6</v>
      </c>
      <c r="H171" s="206">
        <v>15.2</v>
      </c>
    </row>
    <row r="172" spans="3:11" ht="15.75" customHeight="1" x14ac:dyDescent="0.2">
      <c r="C172" s="16">
        <v>43003</v>
      </c>
      <c r="D172" s="12">
        <v>0.55208333333333337</v>
      </c>
      <c r="E172">
        <v>4</v>
      </c>
      <c r="F172" s="207">
        <v>8.39</v>
      </c>
      <c r="G172" s="206">
        <v>83.4</v>
      </c>
      <c r="H172" s="206">
        <v>15.1</v>
      </c>
    </row>
    <row r="173" spans="3:11" ht="15.75" customHeight="1" x14ac:dyDescent="0.2">
      <c r="C173" s="16">
        <v>43003</v>
      </c>
      <c r="D173" s="12">
        <v>0.55208333333333337</v>
      </c>
      <c r="E173">
        <v>5</v>
      </c>
      <c r="F173" s="207">
        <v>8.3800000000000008</v>
      </c>
      <c r="G173" s="206">
        <v>83.2</v>
      </c>
      <c r="H173" s="206">
        <v>15.1</v>
      </c>
    </row>
    <row r="174" spans="3:11" ht="15.75" customHeight="1" x14ac:dyDescent="0.2">
      <c r="C174" s="16">
        <v>43003</v>
      </c>
      <c r="D174" s="12">
        <v>0.55208333333333337</v>
      </c>
      <c r="E174">
        <v>6</v>
      </c>
      <c r="F174" s="207">
        <v>8.35</v>
      </c>
      <c r="G174" s="206">
        <v>83</v>
      </c>
      <c r="H174" s="206">
        <v>15.1</v>
      </c>
    </row>
    <row r="175" spans="3:11" ht="15.75" customHeight="1" x14ac:dyDescent="0.2">
      <c r="C175" s="16">
        <v>43003</v>
      </c>
      <c r="D175" s="12">
        <v>0.55208333333333337</v>
      </c>
      <c r="E175">
        <v>7</v>
      </c>
      <c r="F175" s="207">
        <v>8.35</v>
      </c>
      <c r="G175" s="206">
        <v>82.8</v>
      </c>
      <c r="H175" s="206">
        <v>15</v>
      </c>
    </row>
    <row r="176" spans="3:11" ht="15.75" customHeight="1" x14ac:dyDescent="0.2">
      <c r="C176" s="16">
        <v>43003</v>
      </c>
      <c r="D176" s="12">
        <v>0.55208333333333337</v>
      </c>
      <c r="E176">
        <v>8</v>
      </c>
      <c r="F176" s="207">
        <v>8.34</v>
      </c>
      <c r="G176" s="206">
        <v>82.7</v>
      </c>
      <c r="H176" s="206">
        <v>15</v>
      </c>
    </row>
    <row r="177" spans="3:8" ht="15.75" customHeight="1" x14ac:dyDescent="0.2">
      <c r="C177" s="16">
        <v>43003</v>
      </c>
      <c r="D177" s="12">
        <v>0.55208333333333337</v>
      </c>
      <c r="E177">
        <v>9</v>
      </c>
      <c r="F177" s="207">
        <v>8.32</v>
      </c>
      <c r="G177" s="206">
        <v>82.5</v>
      </c>
      <c r="H177" s="206">
        <v>15</v>
      </c>
    </row>
    <row r="178" spans="3:8" ht="15.75" customHeight="1" x14ac:dyDescent="0.2">
      <c r="C178" s="16">
        <v>43003</v>
      </c>
      <c r="D178" s="12">
        <v>0.55208333333333337</v>
      </c>
      <c r="E178">
        <v>10</v>
      </c>
      <c r="F178" s="207">
        <v>8.31</v>
      </c>
      <c r="G178" s="206">
        <v>82.3</v>
      </c>
      <c r="H178" s="206">
        <v>15</v>
      </c>
    </row>
    <row r="179" spans="3:8" ht="15.75" customHeight="1" x14ac:dyDescent="0.2">
      <c r="C179" s="16">
        <v>43003</v>
      </c>
      <c r="D179" s="12">
        <v>0.55208333333333337</v>
      </c>
      <c r="E179">
        <v>11</v>
      </c>
      <c r="F179" s="207">
        <v>8.4600000000000009</v>
      </c>
      <c r="G179" s="206">
        <v>82.4</v>
      </c>
      <c r="H179" s="206">
        <v>14.4</v>
      </c>
    </row>
    <row r="180" spans="3:8" ht="15.75" customHeight="1" x14ac:dyDescent="0.2">
      <c r="C180" s="16">
        <v>43003</v>
      </c>
      <c r="D180" s="12">
        <v>0.55208333333333337</v>
      </c>
      <c r="E180">
        <v>12</v>
      </c>
      <c r="F180" s="207">
        <v>9.0500000000000007</v>
      </c>
      <c r="G180" s="206">
        <v>85.9</v>
      </c>
      <c r="H180" s="206">
        <v>13</v>
      </c>
    </row>
    <row r="181" spans="3:8" ht="15.75" customHeight="1" x14ac:dyDescent="0.2">
      <c r="C181" s="16">
        <v>43003</v>
      </c>
      <c r="D181" s="12">
        <v>0.55208333333333337</v>
      </c>
      <c r="E181">
        <v>13</v>
      </c>
      <c r="F181" s="207">
        <v>8.99</v>
      </c>
      <c r="G181" s="206">
        <v>81.3</v>
      </c>
      <c r="H181" s="206">
        <v>11</v>
      </c>
    </row>
    <row r="182" spans="3:8" ht="15.75" customHeight="1" x14ac:dyDescent="0.2">
      <c r="C182" s="16">
        <v>43003</v>
      </c>
      <c r="D182" s="12">
        <v>0.55208333333333337</v>
      </c>
      <c r="E182">
        <v>14</v>
      </c>
      <c r="F182" s="207">
        <v>8.6199999999999992</v>
      </c>
      <c r="G182" s="206">
        <v>76.400000000000006</v>
      </c>
      <c r="H182" s="206">
        <v>10.199999999999999</v>
      </c>
    </row>
    <row r="183" spans="3:8" ht="15.75" customHeight="1" x14ac:dyDescent="0.2">
      <c r="C183" s="16">
        <v>43003</v>
      </c>
      <c r="D183" s="12">
        <v>0.55208333333333337</v>
      </c>
      <c r="E183">
        <v>15</v>
      </c>
      <c r="F183" s="207"/>
      <c r="G183" s="206"/>
      <c r="H183" s="206"/>
    </row>
    <row r="184" spans="3:8" ht="15.75" customHeight="1" x14ac:dyDescent="0.2">
      <c r="C184" s="16">
        <v>43003</v>
      </c>
      <c r="D184" s="12">
        <v>0.55208333333333337</v>
      </c>
      <c r="E184">
        <v>16</v>
      </c>
      <c r="F184" s="207">
        <v>8.1</v>
      </c>
      <c r="G184" s="206">
        <v>70.2</v>
      </c>
      <c r="H184" s="206">
        <v>9.3000000000000007</v>
      </c>
    </row>
    <row r="185" spans="3:8" ht="15.75" customHeight="1" x14ac:dyDescent="0.2">
      <c r="C185" s="16">
        <v>43003</v>
      </c>
      <c r="D185" s="12">
        <v>0.55208333333333337</v>
      </c>
      <c r="E185">
        <v>17</v>
      </c>
      <c r="F185" s="207"/>
      <c r="G185" s="206"/>
      <c r="H185" s="206"/>
    </row>
    <row r="186" spans="3:8" ht="15.75" customHeight="1" x14ac:dyDescent="0.2">
      <c r="C186" s="16">
        <v>43003</v>
      </c>
      <c r="D186" s="12">
        <v>0.55208333333333337</v>
      </c>
      <c r="E186">
        <v>18</v>
      </c>
      <c r="F186" s="207">
        <v>7.56</v>
      </c>
      <c r="G186" s="206">
        <v>64.5</v>
      </c>
      <c r="H186" s="206">
        <v>8.6</v>
      </c>
    </row>
    <row r="187" spans="3:8" ht="15.75" customHeight="1" x14ac:dyDescent="0.2">
      <c r="C187" s="16">
        <v>43003</v>
      </c>
      <c r="D187" s="12">
        <v>0.55208333333333337</v>
      </c>
      <c r="E187">
        <v>19</v>
      </c>
      <c r="F187" s="207"/>
      <c r="G187" s="206"/>
      <c r="H187" s="206"/>
    </row>
    <row r="188" spans="3:8" ht="15.75" customHeight="1" x14ac:dyDescent="0.2">
      <c r="C188" s="16">
        <v>43003</v>
      </c>
      <c r="D188" s="12">
        <v>0.55208333333333337</v>
      </c>
      <c r="E188">
        <v>20</v>
      </c>
      <c r="F188" s="207">
        <v>7.24</v>
      </c>
      <c r="G188" s="206">
        <v>61</v>
      </c>
      <c r="H188" s="206">
        <v>8</v>
      </c>
    </row>
    <row r="189" spans="3:8" ht="15.75" customHeight="1" x14ac:dyDescent="0.2">
      <c r="C189" s="16">
        <v>43003</v>
      </c>
      <c r="D189" s="12">
        <v>0.55208333333333337</v>
      </c>
      <c r="E189">
        <v>21</v>
      </c>
      <c r="F189" s="207"/>
      <c r="G189" s="206"/>
      <c r="H189" s="206"/>
    </row>
    <row r="190" spans="3:8" ht="15.75" customHeight="1" x14ac:dyDescent="0.2">
      <c r="C190" s="16">
        <v>43003</v>
      </c>
      <c r="D190" s="12">
        <v>0.55208333333333337</v>
      </c>
      <c r="E190">
        <v>22</v>
      </c>
      <c r="F190" s="207">
        <v>6.85</v>
      </c>
      <c r="G190" s="206">
        <v>57.2</v>
      </c>
      <c r="H190" s="206">
        <v>7.8</v>
      </c>
    </row>
    <row r="191" spans="3:8" ht="15.75" customHeight="1" x14ac:dyDescent="0.2">
      <c r="C191" s="16">
        <v>43003</v>
      </c>
      <c r="D191" s="12">
        <v>0.55208333333333337</v>
      </c>
      <c r="E191">
        <v>23</v>
      </c>
      <c r="F191" s="207"/>
      <c r="G191" s="206"/>
      <c r="H191" s="206"/>
    </row>
    <row r="192" spans="3:8" ht="15.75" customHeight="1" x14ac:dyDescent="0.2">
      <c r="C192" s="16">
        <v>43003</v>
      </c>
      <c r="D192" s="12">
        <v>0.55208333333333337</v>
      </c>
      <c r="E192">
        <v>24</v>
      </c>
      <c r="F192" s="207">
        <v>6.49</v>
      </c>
      <c r="G192" s="206">
        <v>53</v>
      </c>
      <c r="H192" s="206">
        <v>7.5</v>
      </c>
    </row>
    <row r="193" spans="3:11" ht="15.75" customHeight="1" x14ac:dyDescent="0.2">
      <c r="C193" s="16">
        <v>43003</v>
      </c>
      <c r="D193" s="12">
        <v>0.55208333333333337</v>
      </c>
      <c r="E193">
        <v>25</v>
      </c>
      <c r="F193" s="207"/>
      <c r="G193" s="206"/>
      <c r="H193" s="206"/>
    </row>
    <row r="194" spans="3:11" ht="15.75" customHeight="1" x14ac:dyDescent="0.2">
      <c r="C194" s="16">
        <v>43003</v>
      </c>
      <c r="D194" s="12">
        <v>0.55208333333333337</v>
      </c>
      <c r="E194">
        <v>26</v>
      </c>
      <c r="F194" s="207">
        <v>6.11</v>
      </c>
      <c r="G194" s="206">
        <v>50.2</v>
      </c>
      <c r="H194" s="206">
        <v>7.3</v>
      </c>
    </row>
    <row r="195" spans="3:11" ht="15.75" customHeight="1" x14ac:dyDescent="0.2">
      <c r="C195" s="16">
        <v>43003</v>
      </c>
      <c r="D195" s="12">
        <v>0.55208333333333337</v>
      </c>
      <c r="E195">
        <v>27</v>
      </c>
      <c r="F195" s="207"/>
      <c r="G195" s="206"/>
      <c r="H195" s="206"/>
    </row>
    <row r="196" spans="3:11" ht="15.75" customHeight="1" x14ac:dyDescent="0.2">
      <c r="C196" s="16">
        <v>43003</v>
      </c>
      <c r="D196" s="12">
        <v>0.55208333333333337</v>
      </c>
      <c r="E196">
        <v>28</v>
      </c>
      <c r="F196" s="207">
        <v>5.42</v>
      </c>
      <c r="G196" s="206">
        <v>44.4</v>
      </c>
      <c r="H196" s="206">
        <v>7.2</v>
      </c>
    </row>
    <row r="197" spans="3:11" ht="15.75" customHeight="1" x14ac:dyDescent="0.2">
      <c r="C197" s="16"/>
      <c r="D197" s="12"/>
      <c r="E197" s="1"/>
      <c r="F197" s="207"/>
      <c r="G197" s="206"/>
      <c r="H197" s="206"/>
    </row>
    <row r="198" spans="3:11" ht="15.75" customHeight="1" x14ac:dyDescent="0.2">
      <c r="C198" s="16">
        <v>42968</v>
      </c>
      <c r="D198" s="12">
        <v>0.54027777777777775</v>
      </c>
      <c r="E198" s="1"/>
      <c r="F198" s="207"/>
      <c r="G198" s="206"/>
      <c r="H198" s="206"/>
      <c r="J198">
        <v>8</v>
      </c>
      <c r="K198">
        <v>9</v>
      </c>
    </row>
    <row r="199" spans="3:11" ht="15.75" customHeight="1" x14ac:dyDescent="0.2">
      <c r="C199" s="16">
        <v>42968</v>
      </c>
      <c r="D199" s="12">
        <v>0.54861111111111105</v>
      </c>
      <c r="E199">
        <v>0.1</v>
      </c>
      <c r="F199" s="207">
        <v>7.63</v>
      </c>
      <c r="G199" s="206">
        <v>85.6</v>
      </c>
      <c r="H199" s="206">
        <v>21</v>
      </c>
    </row>
    <row r="200" spans="3:11" ht="15.75" customHeight="1" x14ac:dyDescent="0.2">
      <c r="C200" s="16">
        <v>42968</v>
      </c>
      <c r="D200" s="12">
        <v>0.54861111111111105</v>
      </c>
      <c r="E200" s="1">
        <v>1</v>
      </c>
      <c r="F200" s="207">
        <v>7.76</v>
      </c>
      <c r="G200" s="206">
        <v>86.2</v>
      </c>
      <c r="H200" s="206">
        <v>20.5</v>
      </c>
    </row>
    <row r="201" spans="3:11" ht="15.75" customHeight="1" x14ac:dyDescent="0.2">
      <c r="C201" s="16">
        <v>42968</v>
      </c>
      <c r="D201" s="12">
        <v>0.54861111111111105</v>
      </c>
      <c r="E201" s="1">
        <v>2</v>
      </c>
      <c r="F201" s="207">
        <v>7.75</v>
      </c>
      <c r="G201" s="206">
        <v>86</v>
      </c>
      <c r="H201" s="206">
        <v>20.399999999999999</v>
      </c>
    </row>
    <row r="202" spans="3:11" ht="15.75" customHeight="1" x14ac:dyDescent="0.2">
      <c r="C202" s="16">
        <v>42968</v>
      </c>
      <c r="D202" s="12">
        <v>0.54861111111111105</v>
      </c>
      <c r="E202" s="1">
        <v>3</v>
      </c>
      <c r="F202" s="207">
        <v>7.75</v>
      </c>
      <c r="G202" s="206">
        <v>85.8</v>
      </c>
      <c r="H202" s="206">
        <v>20.3</v>
      </c>
    </row>
    <row r="203" spans="3:11" ht="15.75" customHeight="1" x14ac:dyDescent="0.2">
      <c r="C203" s="16">
        <v>42968</v>
      </c>
      <c r="D203" s="12">
        <v>0.54861111111111105</v>
      </c>
      <c r="E203" s="1">
        <v>4</v>
      </c>
      <c r="F203" s="207">
        <v>7.77</v>
      </c>
      <c r="G203" s="206">
        <v>85.6</v>
      </c>
      <c r="H203" s="206">
        <v>20.2</v>
      </c>
    </row>
    <row r="204" spans="3:11" ht="15.75" customHeight="1" x14ac:dyDescent="0.2">
      <c r="C204" s="16">
        <v>42968</v>
      </c>
      <c r="D204" s="12">
        <v>0.54861111111111105</v>
      </c>
      <c r="E204" s="1">
        <v>5</v>
      </c>
      <c r="F204" s="207">
        <v>7.78</v>
      </c>
      <c r="G204" s="206">
        <v>85.6</v>
      </c>
      <c r="H204" s="206">
        <v>20.100000000000001</v>
      </c>
    </row>
    <row r="205" spans="3:11" ht="15.75" customHeight="1" x14ac:dyDescent="0.2">
      <c r="C205" s="16">
        <v>42968</v>
      </c>
      <c r="D205" s="12">
        <v>0.54861111111111105</v>
      </c>
      <c r="E205" s="1">
        <v>6</v>
      </c>
      <c r="F205" s="207">
        <v>7.78</v>
      </c>
      <c r="G205" s="206">
        <v>85.4</v>
      </c>
      <c r="H205" s="206">
        <v>19.899999999999999</v>
      </c>
    </row>
    <row r="206" spans="3:11" ht="15.75" customHeight="1" x14ac:dyDescent="0.2">
      <c r="C206" s="16">
        <v>42968</v>
      </c>
      <c r="D206" s="12">
        <v>0.54861111111111105</v>
      </c>
      <c r="E206" s="1">
        <v>7</v>
      </c>
      <c r="F206" s="207">
        <v>8.58</v>
      </c>
      <c r="G206" s="206">
        <v>90.9</v>
      </c>
      <c r="H206" s="206">
        <v>18.100000000000001</v>
      </c>
    </row>
    <row r="207" spans="3:11" ht="15.75" customHeight="1" x14ac:dyDescent="0.2">
      <c r="C207" s="16">
        <v>42968</v>
      </c>
      <c r="D207" s="12">
        <v>0.54861111111111105</v>
      </c>
      <c r="E207" s="1">
        <v>8</v>
      </c>
      <c r="F207" s="207">
        <v>9.44</v>
      </c>
      <c r="G207" s="206">
        <v>95.6</v>
      </c>
      <c r="H207" s="206">
        <v>15.9</v>
      </c>
    </row>
    <row r="208" spans="3:11" ht="15.75" customHeight="1" x14ac:dyDescent="0.2">
      <c r="C208" s="16">
        <v>42968</v>
      </c>
      <c r="D208" s="12">
        <v>0.54861111111111105</v>
      </c>
      <c r="E208" s="1">
        <v>9</v>
      </c>
      <c r="F208" s="207"/>
      <c r="G208" s="206"/>
      <c r="H208" s="206"/>
    </row>
    <row r="209" spans="3:8" ht="15.75" customHeight="1" x14ac:dyDescent="0.2">
      <c r="C209" s="16">
        <v>42968</v>
      </c>
      <c r="D209" s="12">
        <v>0.54861111111111105</v>
      </c>
      <c r="E209" s="1">
        <v>10</v>
      </c>
      <c r="F209" s="207">
        <v>9.77</v>
      </c>
      <c r="G209" s="206">
        <v>90.9</v>
      </c>
      <c r="H209" s="206">
        <v>12.1</v>
      </c>
    </row>
    <row r="210" spans="3:8" ht="15.75" customHeight="1" x14ac:dyDescent="0.2">
      <c r="C210" s="16">
        <v>42968</v>
      </c>
      <c r="D210" s="12">
        <v>0.54861111111111105</v>
      </c>
      <c r="E210" s="1">
        <v>11</v>
      </c>
      <c r="F210" s="207"/>
      <c r="G210" s="206"/>
      <c r="H210" s="206"/>
    </row>
    <row r="211" spans="3:8" ht="15.75" customHeight="1" x14ac:dyDescent="0.2">
      <c r="C211" s="16">
        <v>42968</v>
      </c>
      <c r="D211" s="12">
        <v>0.54861111111111105</v>
      </c>
      <c r="E211" s="1">
        <v>12</v>
      </c>
      <c r="F211" s="207">
        <v>9.61</v>
      </c>
      <c r="G211" s="206">
        <v>87.5</v>
      </c>
      <c r="H211" s="206">
        <v>11.2</v>
      </c>
    </row>
    <row r="212" spans="3:8" ht="15.75" customHeight="1" x14ac:dyDescent="0.2">
      <c r="C212" s="16">
        <v>42968</v>
      </c>
      <c r="D212" s="12">
        <v>0.54861111111111105</v>
      </c>
      <c r="E212" s="1">
        <v>13</v>
      </c>
      <c r="F212" s="207"/>
      <c r="G212" s="206"/>
      <c r="H212" s="206"/>
    </row>
    <row r="213" spans="3:8" ht="15.75" customHeight="1" x14ac:dyDescent="0.2">
      <c r="C213" s="16">
        <v>42968</v>
      </c>
      <c r="D213" s="12">
        <v>0.54861111111111105</v>
      </c>
      <c r="E213" s="1">
        <v>14</v>
      </c>
      <c r="F213" s="207">
        <v>9.4</v>
      </c>
      <c r="G213" s="206">
        <v>84.5</v>
      </c>
      <c r="H213" s="206">
        <v>10.7</v>
      </c>
    </row>
    <row r="214" spans="3:8" ht="15.75" customHeight="1" x14ac:dyDescent="0.2">
      <c r="C214" s="16">
        <v>42968</v>
      </c>
      <c r="D214" s="12">
        <v>0.54861111111111105</v>
      </c>
      <c r="E214" s="1">
        <v>15</v>
      </c>
      <c r="F214" s="207"/>
      <c r="G214" s="206"/>
      <c r="H214" s="206"/>
    </row>
    <row r="215" spans="3:8" ht="15.75" customHeight="1" x14ac:dyDescent="0.2">
      <c r="C215" s="16">
        <v>42968</v>
      </c>
      <c r="D215" s="12">
        <v>0.54861111111111105</v>
      </c>
      <c r="E215" s="1">
        <v>16</v>
      </c>
      <c r="F215" s="207">
        <v>9</v>
      </c>
      <c r="G215" s="206">
        <v>79.2</v>
      </c>
      <c r="H215" s="206">
        <v>9.8000000000000007</v>
      </c>
    </row>
    <row r="216" spans="3:8" ht="15.75" customHeight="1" x14ac:dyDescent="0.2">
      <c r="C216" s="16">
        <v>42968</v>
      </c>
      <c r="D216" s="12">
        <v>0.54861111111111105</v>
      </c>
      <c r="E216" s="1">
        <v>17</v>
      </c>
      <c r="F216" s="207"/>
      <c r="G216" s="206"/>
      <c r="H216" s="206"/>
    </row>
    <row r="217" spans="3:8" ht="15.75" customHeight="1" x14ac:dyDescent="0.2">
      <c r="C217" s="16">
        <v>42968</v>
      </c>
      <c r="D217" s="12">
        <v>0.54861111111111105</v>
      </c>
      <c r="E217" s="1">
        <v>18</v>
      </c>
      <c r="F217" s="207">
        <v>8.68</v>
      </c>
      <c r="G217" s="206">
        <v>75.599999999999994</v>
      </c>
      <c r="H217" s="206">
        <v>9.3000000000000007</v>
      </c>
    </row>
    <row r="218" spans="3:8" ht="15.75" customHeight="1" x14ac:dyDescent="0.2">
      <c r="C218" s="16">
        <v>42968</v>
      </c>
      <c r="D218" s="12">
        <v>0.54861111111111105</v>
      </c>
      <c r="E218" s="1">
        <v>19</v>
      </c>
      <c r="F218" s="207"/>
      <c r="G218" s="206"/>
      <c r="H218" s="206"/>
    </row>
    <row r="219" spans="3:8" ht="15.75" customHeight="1" x14ac:dyDescent="0.2">
      <c r="C219" s="16">
        <v>42968</v>
      </c>
      <c r="D219" s="12">
        <v>0.54861111111111105</v>
      </c>
      <c r="E219" s="1">
        <v>20</v>
      </c>
      <c r="F219" s="207">
        <v>8.39</v>
      </c>
      <c r="G219" s="206">
        <v>72.2</v>
      </c>
      <c r="H219" s="206">
        <v>8.9</v>
      </c>
    </row>
    <row r="220" spans="3:8" ht="15.75" customHeight="1" x14ac:dyDescent="0.2">
      <c r="C220" s="16">
        <v>42968</v>
      </c>
      <c r="D220" s="12">
        <v>0.54861111111111105</v>
      </c>
      <c r="E220" s="1">
        <v>21</v>
      </c>
      <c r="F220" s="207"/>
      <c r="G220" s="206"/>
      <c r="H220" s="206"/>
    </row>
    <row r="221" spans="3:8" ht="15.75" customHeight="1" x14ac:dyDescent="0.2">
      <c r="C221" s="16">
        <v>42968</v>
      </c>
      <c r="D221" s="12">
        <v>0.54861111111111105</v>
      </c>
      <c r="E221" s="1">
        <v>22</v>
      </c>
      <c r="F221" s="207">
        <v>8.08</v>
      </c>
      <c r="G221" s="206">
        <v>68.8</v>
      </c>
      <c r="H221" s="206">
        <v>8.4</v>
      </c>
    </row>
    <row r="222" spans="3:8" ht="15.75" customHeight="1" x14ac:dyDescent="0.2">
      <c r="C222" s="16">
        <v>42968</v>
      </c>
      <c r="D222" s="12">
        <v>0.54861111111111105</v>
      </c>
      <c r="E222" s="1">
        <v>23</v>
      </c>
      <c r="F222" s="207"/>
      <c r="G222" s="206"/>
      <c r="H222" s="206"/>
    </row>
    <row r="223" spans="3:8" ht="15.75" customHeight="1" x14ac:dyDescent="0.2">
      <c r="C223" s="16">
        <v>42968</v>
      </c>
      <c r="D223" s="12">
        <v>0.54861111111111105</v>
      </c>
      <c r="E223" s="1">
        <v>24</v>
      </c>
      <c r="F223" s="207">
        <v>7.8</v>
      </c>
      <c r="G223" s="206">
        <v>65.7</v>
      </c>
      <c r="H223" s="206">
        <v>8</v>
      </c>
    </row>
    <row r="224" spans="3:8" ht="15.75" customHeight="1" x14ac:dyDescent="0.2">
      <c r="C224" s="16">
        <v>42968</v>
      </c>
      <c r="D224" s="12">
        <v>0.54861111111111105</v>
      </c>
      <c r="E224" s="1">
        <v>25</v>
      </c>
      <c r="F224" s="207"/>
      <c r="G224" s="206"/>
      <c r="H224" s="206"/>
    </row>
    <row r="225" spans="3:11" ht="15.75" customHeight="1" x14ac:dyDescent="0.2">
      <c r="C225" s="16">
        <v>42968</v>
      </c>
      <c r="D225" s="12">
        <v>0.54861111111111105</v>
      </c>
      <c r="E225" s="1">
        <v>26</v>
      </c>
      <c r="F225" s="207">
        <v>7.5</v>
      </c>
      <c r="G225" s="206">
        <v>62.7</v>
      </c>
      <c r="H225" s="206">
        <v>7.7</v>
      </c>
    </row>
    <row r="226" spans="3:11" ht="15.75" customHeight="1" x14ac:dyDescent="0.2">
      <c r="C226" s="16"/>
      <c r="D226" s="12"/>
      <c r="E226" s="1"/>
      <c r="F226" s="207"/>
      <c r="G226" s="206"/>
      <c r="H226" s="206"/>
    </row>
    <row r="227" spans="3:11" ht="15.75" customHeight="1" x14ac:dyDescent="0.2">
      <c r="C227" s="16">
        <v>42933</v>
      </c>
      <c r="D227" s="12">
        <v>0.54513888888888895</v>
      </c>
      <c r="E227" s="1"/>
      <c r="F227" s="207"/>
      <c r="G227" s="206"/>
      <c r="H227" s="206"/>
      <c r="J227">
        <v>7</v>
      </c>
      <c r="K227">
        <v>10</v>
      </c>
    </row>
    <row r="228" spans="3:11" ht="15.75" customHeight="1" x14ac:dyDescent="0.2">
      <c r="C228" s="16">
        <v>42933</v>
      </c>
      <c r="D228" s="12">
        <v>0.55555555555555558</v>
      </c>
      <c r="E228">
        <v>0.1</v>
      </c>
      <c r="F228" s="207">
        <v>7.86</v>
      </c>
      <c r="G228" s="206">
        <v>87.5</v>
      </c>
      <c r="H228" s="206">
        <v>20.6</v>
      </c>
    </row>
    <row r="229" spans="3:11" ht="15.75" customHeight="1" x14ac:dyDescent="0.2">
      <c r="C229" s="16">
        <v>42933</v>
      </c>
      <c r="D229" s="12">
        <v>0.55555555555555558</v>
      </c>
      <c r="E229">
        <v>1</v>
      </c>
      <c r="F229" s="207">
        <v>7.91</v>
      </c>
      <c r="G229" s="206">
        <v>87.8</v>
      </c>
      <c r="H229" s="206">
        <v>20.399999999999999</v>
      </c>
    </row>
    <row r="230" spans="3:11" ht="15.75" customHeight="1" x14ac:dyDescent="0.2">
      <c r="C230" s="16">
        <v>42933</v>
      </c>
      <c r="D230" s="12">
        <v>0.55555555555555558</v>
      </c>
      <c r="E230">
        <v>2</v>
      </c>
      <c r="F230" s="207">
        <v>7.95</v>
      </c>
      <c r="G230" s="206">
        <v>87.8</v>
      </c>
      <c r="H230" s="206">
        <v>20.2</v>
      </c>
    </row>
    <row r="231" spans="3:11" ht="15.75" customHeight="1" x14ac:dyDescent="0.2">
      <c r="C231" s="16">
        <v>42933</v>
      </c>
      <c r="D231" s="12">
        <v>0.55555555555555558</v>
      </c>
      <c r="E231">
        <v>3</v>
      </c>
      <c r="F231" s="207">
        <v>7.98</v>
      </c>
      <c r="G231" s="206">
        <v>87.8</v>
      </c>
      <c r="H231" s="206">
        <v>20</v>
      </c>
    </row>
    <row r="232" spans="3:11" ht="15.75" customHeight="1" x14ac:dyDescent="0.2">
      <c r="C232" s="16">
        <v>42933</v>
      </c>
      <c r="D232" s="12">
        <v>0.55555555555555558</v>
      </c>
      <c r="E232">
        <v>4</v>
      </c>
      <c r="F232" s="207">
        <v>8.15</v>
      </c>
      <c r="G232" s="206">
        <v>88.9</v>
      </c>
      <c r="H232" s="206">
        <v>19.5</v>
      </c>
    </row>
    <row r="233" spans="3:11" ht="15.75" customHeight="1" x14ac:dyDescent="0.2">
      <c r="C233" s="16">
        <v>42933</v>
      </c>
      <c r="D233" s="12">
        <v>0.55555555555555558</v>
      </c>
      <c r="E233">
        <v>5</v>
      </c>
      <c r="F233" s="207">
        <v>8.25</v>
      </c>
      <c r="G233" s="206">
        <v>89.4</v>
      </c>
      <c r="H233" s="206">
        <v>19.2</v>
      </c>
    </row>
    <row r="234" spans="3:11" ht="15.75" customHeight="1" x14ac:dyDescent="0.2">
      <c r="C234" s="16">
        <v>42933</v>
      </c>
      <c r="D234" s="12">
        <v>0.55555555555555558</v>
      </c>
      <c r="E234">
        <v>6</v>
      </c>
      <c r="F234" s="207">
        <v>9.01</v>
      </c>
      <c r="G234" s="206">
        <v>91.3</v>
      </c>
      <c r="H234" s="206">
        <v>16.100000000000001</v>
      </c>
    </row>
    <row r="235" spans="3:11" ht="15.75" customHeight="1" x14ac:dyDescent="0.2">
      <c r="C235" s="16">
        <v>42933</v>
      </c>
      <c r="D235" s="12">
        <v>0.55555555555555558</v>
      </c>
      <c r="E235">
        <v>7</v>
      </c>
      <c r="F235" s="207">
        <v>9.3699999999999992</v>
      </c>
      <c r="G235" s="206">
        <v>91.2</v>
      </c>
      <c r="H235" s="206">
        <v>14.2</v>
      </c>
    </row>
    <row r="236" spans="3:11" ht="15.75" customHeight="1" x14ac:dyDescent="0.2">
      <c r="C236" s="16">
        <v>42933</v>
      </c>
      <c r="D236" s="12">
        <v>0.55555555555555558</v>
      </c>
      <c r="E236">
        <v>8</v>
      </c>
      <c r="F236" s="207"/>
      <c r="G236" s="206"/>
      <c r="H236" s="206"/>
    </row>
    <row r="237" spans="3:11" ht="15.75" customHeight="1" x14ac:dyDescent="0.2">
      <c r="C237" s="16">
        <v>42933</v>
      </c>
      <c r="D237" s="12">
        <v>0.55555555555555558</v>
      </c>
      <c r="E237">
        <v>9</v>
      </c>
      <c r="F237" s="207">
        <v>9.42</v>
      </c>
      <c r="G237" s="206">
        <v>87.7</v>
      </c>
      <c r="H237" s="206">
        <v>12.2</v>
      </c>
    </row>
    <row r="238" spans="3:11" ht="15.75" customHeight="1" x14ac:dyDescent="0.2">
      <c r="C238" s="16">
        <v>42933</v>
      </c>
      <c r="D238" s="12">
        <v>0.55555555555555558</v>
      </c>
      <c r="E238">
        <v>10</v>
      </c>
      <c r="F238" s="207"/>
      <c r="G238" s="206"/>
      <c r="H238" s="206"/>
    </row>
    <row r="239" spans="3:11" ht="15.75" customHeight="1" x14ac:dyDescent="0.2">
      <c r="C239" s="16">
        <v>42933</v>
      </c>
      <c r="D239" s="12">
        <v>0.55555555555555558</v>
      </c>
      <c r="E239">
        <v>11</v>
      </c>
      <c r="F239" s="207">
        <v>9.31</v>
      </c>
      <c r="G239" s="206">
        <v>83.6</v>
      </c>
      <c r="H239" s="206">
        <v>10.6</v>
      </c>
    </row>
    <row r="240" spans="3:11" ht="15.75" customHeight="1" x14ac:dyDescent="0.2">
      <c r="C240" s="16">
        <v>42933</v>
      </c>
      <c r="D240" s="12">
        <v>0.55555555555555558</v>
      </c>
      <c r="E240">
        <v>12</v>
      </c>
      <c r="F240" s="207"/>
      <c r="G240" s="206"/>
      <c r="H240" s="206"/>
    </row>
    <row r="241" spans="3:8" ht="15.75" customHeight="1" x14ac:dyDescent="0.2">
      <c r="C241" s="16">
        <v>42933</v>
      </c>
      <c r="D241" s="12">
        <v>0.55555555555555558</v>
      </c>
      <c r="E241">
        <v>13</v>
      </c>
      <c r="F241" s="207">
        <v>9.18</v>
      </c>
      <c r="G241" s="206">
        <v>81.099999999999994</v>
      </c>
      <c r="H241" s="206">
        <v>9.9</v>
      </c>
    </row>
    <row r="242" spans="3:8" ht="15.75" customHeight="1" x14ac:dyDescent="0.2">
      <c r="C242" s="16">
        <v>42933</v>
      </c>
      <c r="D242" s="12">
        <v>0.55555555555555558</v>
      </c>
      <c r="E242">
        <v>14</v>
      </c>
      <c r="F242" s="207"/>
      <c r="G242" s="206"/>
      <c r="H242" s="206"/>
    </row>
    <row r="243" spans="3:8" ht="15.75" customHeight="1" x14ac:dyDescent="0.2">
      <c r="C243" s="16">
        <v>42933</v>
      </c>
      <c r="D243" s="12">
        <v>0.55555555555555558</v>
      </c>
      <c r="E243">
        <v>15</v>
      </c>
      <c r="F243" s="207">
        <v>9.1</v>
      </c>
      <c r="G243" s="206">
        <v>79.599999999999994</v>
      </c>
      <c r="H243" s="206">
        <v>9.5</v>
      </c>
    </row>
    <row r="244" spans="3:8" ht="15.75" customHeight="1" x14ac:dyDescent="0.2">
      <c r="C244" s="16">
        <v>42933</v>
      </c>
      <c r="D244" s="12">
        <v>0.55555555555555558</v>
      </c>
      <c r="E244">
        <v>16</v>
      </c>
      <c r="F244" s="207"/>
      <c r="G244" s="206"/>
      <c r="H244" s="206"/>
    </row>
    <row r="245" spans="3:8" ht="15.75" customHeight="1" x14ac:dyDescent="0.2">
      <c r="C245" s="16">
        <v>42933</v>
      </c>
      <c r="D245" s="12">
        <v>0.55555555555555558</v>
      </c>
      <c r="E245">
        <v>17</v>
      </c>
      <c r="F245" s="207">
        <v>8.9600000000000009</v>
      </c>
      <c r="G245" s="206">
        <v>77.599999999999994</v>
      </c>
      <c r="H245" s="206">
        <v>9.1</v>
      </c>
    </row>
    <row r="246" spans="3:8" ht="15.75" customHeight="1" x14ac:dyDescent="0.2">
      <c r="C246" s="16">
        <v>42933</v>
      </c>
      <c r="D246" s="12">
        <v>0.55555555555555558</v>
      </c>
      <c r="E246">
        <v>18</v>
      </c>
      <c r="F246" s="207"/>
      <c r="G246" s="206"/>
      <c r="H246" s="206"/>
    </row>
    <row r="247" spans="3:8" ht="15.75" customHeight="1" x14ac:dyDescent="0.2">
      <c r="C247" s="16">
        <v>42933</v>
      </c>
      <c r="D247" s="12">
        <v>0.55555555555555558</v>
      </c>
      <c r="E247">
        <v>19</v>
      </c>
      <c r="F247" s="207">
        <v>8.8800000000000008</v>
      </c>
      <c r="G247" s="206">
        <v>76.099999999999994</v>
      </c>
      <c r="H247" s="206">
        <v>8.6999999999999993</v>
      </c>
    </row>
    <row r="248" spans="3:8" ht="15.75" customHeight="1" x14ac:dyDescent="0.2">
      <c r="C248" s="16">
        <v>42933</v>
      </c>
      <c r="D248" s="12">
        <v>0.55555555555555558</v>
      </c>
      <c r="E248">
        <v>20</v>
      </c>
      <c r="F248" s="207"/>
      <c r="G248" s="206"/>
      <c r="H248" s="206"/>
    </row>
    <row r="249" spans="3:8" ht="15.75" customHeight="1" x14ac:dyDescent="0.2">
      <c r="C249" s="16">
        <v>42933</v>
      </c>
      <c r="D249" s="12">
        <v>0.55555555555555558</v>
      </c>
      <c r="E249">
        <v>21</v>
      </c>
      <c r="F249" s="207">
        <v>8.73</v>
      </c>
      <c r="G249" s="206">
        <v>74</v>
      </c>
      <c r="H249" s="206">
        <v>8.3000000000000007</v>
      </c>
    </row>
    <row r="250" spans="3:8" ht="15.75" customHeight="1" x14ac:dyDescent="0.2">
      <c r="C250" s="16">
        <v>42933</v>
      </c>
      <c r="D250" s="12">
        <v>0.55555555555555558</v>
      </c>
      <c r="E250">
        <v>22</v>
      </c>
      <c r="F250" s="207"/>
      <c r="G250" s="206"/>
      <c r="H250" s="206"/>
    </row>
    <row r="251" spans="3:8" ht="15.75" customHeight="1" x14ac:dyDescent="0.2">
      <c r="C251" s="16">
        <v>42933</v>
      </c>
      <c r="D251" s="12">
        <v>0.55555555555555558</v>
      </c>
      <c r="E251">
        <v>23</v>
      </c>
      <c r="F251" s="207">
        <v>8.4700000000000006</v>
      </c>
      <c r="G251" s="206">
        <v>71</v>
      </c>
      <c r="H251" s="206">
        <v>7.8</v>
      </c>
    </row>
    <row r="252" spans="3:8" ht="15.75" customHeight="1" x14ac:dyDescent="0.2">
      <c r="C252" s="16">
        <v>42933</v>
      </c>
      <c r="D252" s="12">
        <v>0.55555555555555558</v>
      </c>
      <c r="E252">
        <v>24</v>
      </c>
      <c r="F252" s="207"/>
      <c r="G252" s="206"/>
      <c r="H252" s="206"/>
    </row>
    <row r="253" spans="3:8" ht="15.75" customHeight="1" x14ac:dyDescent="0.2">
      <c r="C253" s="16">
        <v>42933</v>
      </c>
      <c r="D253" s="12">
        <v>0.55555555555555558</v>
      </c>
      <c r="E253">
        <v>25</v>
      </c>
      <c r="F253" s="207">
        <v>8.31</v>
      </c>
      <c r="G253" s="206">
        <v>68.599999999999994</v>
      </c>
      <c r="H253" s="206">
        <v>7.3</v>
      </c>
    </row>
    <row r="254" spans="3:8" ht="15.75" customHeight="1" x14ac:dyDescent="0.2">
      <c r="C254" s="16">
        <v>42933</v>
      </c>
      <c r="D254" s="12">
        <v>0.55555555555555558</v>
      </c>
      <c r="E254">
        <v>26</v>
      </c>
      <c r="F254" s="207"/>
      <c r="G254" s="206"/>
      <c r="H254" s="206"/>
    </row>
    <row r="255" spans="3:8" ht="15.75" customHeight="1" x14ac:dyDescent="0.2">
      <c r="C255" s="16">
        <v>42933</v>
      </c>
      <c r="D255" s="12">
        <v>0.55555555555555558</v>
      </c>
      <c r="E255">
        <v>27</v>
      </c>
      <c r="F255" s="207">
        <v>8.06</v>
      </c>
      <c r="G255" s="206">
        <v>66.099999999999994</v>
      </c>
      <c r="H255" s="206">
        <v>7</v>
      </c>
    </row>
    <row r="256" spans="3:8" ht="15.75" customHeight="1" x14ac:dyDescent="0.2">
      <c r="C256" s="16">
        <v>42933</v>
      </c>
      <c r="D256" s="12">
        <v>0.55555555555555558</v>
      </c>
      <c r="E256">
        <v>28</v>
      </c>
      <c r="F256" s="207"/>
      <c r="G256" s="206"/>
      <c r="H256" s="206"/>
    </row>
    <row r="257" spans="3:11" ht="15.75" customHeight="1" x14ac:dyDescent="0.2">
      <c r="C257" s="16">
        <v>42933</v>
      </c>
      <c r="D257" s="12">
        <v>0.55555555555555558</v>
      </c>
      <c r="E257">
        <v>29</v>
      </c>
      <c r="F257" s="207">
        <v>7.71</v>
      </c>
      <c r="G257" s="206">
        <v>63.2</v>
      </c>
      <c r="H257" s="206">
        <v>6.9</v>
      </c>
    </row>
    <row r="258" spans="3:11" ht="15.75" customHeight="1" x14ac:dyDescent="0.2">
      <c r="C258" s="16">
        <v>42933</v>
      </c>
      <c r="D258" s="12">
        <v>0.55555555555555558</v>
      </c>
      <c r="E258">
        <v>30</v>
      </c>
      <c r="F258" s="207"/>
      <c r="G258" s="206"/>
      <c r="H258" s="206"/>
    </row>
    <row r="259" spans="3:11" ht="15.75" customHeight="1" x14ac:dyDescent="0.2">
      <c r="C259" s="16">
        <v>42933</v>
      </c>
      <c r="D259" s="12">
        <v>0.55555555555555558</v>
      </c>
      <c r="E259">
        <v>31</v>
      </c>
      <c r="F259" s="207">
        <v>7.59</v>
      </c>
      <c r="G259" s="206">
        <v>62.3</v>
      </c>
      <c r="H259" s="206">
        <v>6.9</v>
      </c>
    </row>
    <row r="260" spans="3:11" ht="15.75" customHeight="1" x14ac:dyDescent="0.2">
      <c r="C260" s="16">
        <v>42933</v>
      </c>
      <c r="D260" s="12">
        <v>0.55555555555555558</v>
      </c>
      <c r="E260">
        <v>32</v>
      </c>
      <c r="F260" s="207"/>
      <c r="G260" s="206"/>
      <c r="H260" s="206"/>
    </row>
    <row r="261" spans="3:11" ht="15.75" customHeight="1" x14ac:dyDescent="0.2">
      <c r="C261" s="16">
        <v>42933</v>
      </c>
      <c r="D261" s="12">
        <v>0.55555555555555558</v>
      </c>
      <c r="E261">
        <v>33</v>
      </c>
      <c r="F261" s="207">
        <v>7.51</v>
      </c>
      <c r="G261" s="206">
        <v>61.7</v>
      </c>
      <c r="H261" s="206">
        <v>6.9</v>
      </c>
    </row>
    <row r="262" spans="3:11" ht="15.75" customHeight="1" x14ac:dyDescent="0.2">
      <c r="C262" s="16">
        <v>42933</v>
      </c>
      <c r="D262" s="12">
        <v>0.55555555555555558</v>
      </c>
      <c r="E262">
        <v>34</v>
      </c>
      <c r="F262" s="207"/>
      <c r="G262" s="206"/>
      <c r="H262" s="206"/>
    </row>
    <row r="263" spans="3:11" ht="15.75" customHeight="1" x14ac:dyDescent="0.2">
      <c r="C263" s="16">
        <v>42933</v>
      </c>
      <c r="D263" s="12">
        <v>0.55555555555555558</v>
      </c>
      <c r="E263">
        <v>35</v>
      </c>
      <c r="F263" s="207">
        <v>7.48</v>
      </c>
      <c r="G263" s="206">
        <v>61.3</v>
      </c>
      <c r="H263" s="206">
        <v>6.8</v>
      </c>
    </row>
    <row r="264" spans="3:11" ht="15.75" customHeight="1" x14ac:dyDescent="0.2">
      <c r="C264" s="16"/>
      <c r="D264" s="12"/>
      <c r="E264" s="1"/>
      <c r="F264" s="207"/>
      <c r="G264" s="206"/>
      <c r="H264" s="206"/>
    </row>
    <row r="265" spans="3:11" ht="15.75" customHeight="1" x14ac:dyDescent="0.2">
      <c r="C265" s="205">
        <v>42905</v>
      </c>
      <c r="D265" s="12">
        <v>0.51736111111111105</v>
      </c>
      <c r="E265" s="1"/>
      <c r="F265" s="207"/>
      <c r="G265" s="206"/>
      <c r="H265" s="206"/>
      <c r="J265">
        <v>7</v>
      </c>
      <c r="K265">
        <v>8</v>
      </c>
    </row>
    <row r="266" spans="3:11" ht="15.75" customHeight="1" x14ac:dyDescent="0.2">
      <c r="C266" s="205">
        <v>42905</v>
      </c>
      <c r="D266" s="185">
        <v>0.52777777777777779</v>
      </c>
      <c r="E266">
        <v>0.1</v>
      </c>
      <c r="F266" s="188">
        <v>9.36</v>
      </c>
      <c r="G266" s="186">
        <v>89.5</v>
      </c>
      <c r="H266" s="186">
        <v>13.2</v>
      </c>
    </row>
    <row r="267" spans="3:11" ht="15.75" customHeight="1" x14ac:dyDescent="0.2">
      <c r="C267" s="205">
        <v>42905</v>
      </c>
      <c r="D267" s="185">
        <v>0.52777777777777779</v>
      </c>
      <c r="E267">
        <v>1</v>
      </c>
      <c r="F267" s="188">
        <v>9.51</v>
      </c>
      <c r="G267" s="186">
        <v>89.8</v>
      </c>
      <c r="H267" s="186">
        <v>12.8</v>
      </c>
    </row>
    <row r="268" spans="3:11" ht="15.75" customHeight="1" x14ac:dyDescent="0.2">
      <c r="C268" s="205">
        <v>42905</v>
      </c>
      <c r="D268" s="185">
        <v>0.52777777777777779</v>
      </c>
      <c r="E268">
        <v>2</v>
      </c>
      <c r="F268" s="188">
        <v>9.5500000000000007</v>
      </c>
      <c r="G268" s="186">
        <v>89.3</v>
      </c>
      <c r="H268" s="186">
        <v>12.3</v>
      </c>
    </row>
    <row r="269" spans="3:11" ht="15.75" customHeight="1" x14ac:dyDescent="0.2">
      <c r="C269" s="205">
        <v>42905</v>
      </c>
      <c r="D269" s="185">
        <v>0.52777777777777779</v>
      </c>
      <c r="E269">
        <v>3</v>
      </c>
      <c r="F269" s="188">
        <v>9.6300000000000008</v>
      </c>
      <c r="G269" s="186">
        <v>88.8</v>
      </c>
      <c r="H269" s="186">
        <v>11.8</v>
      </c>
    </row>
    <row r="270" spans="3:11" ht="15.75" customHeight="1" x14ac:dyDescent="0.2">
      <c r="C270" s="205">
        <v>42905</v>
      </c>
      <c r="D270" s="185">
        <v>0.52777777777777779</v>
      </c>
      <c r="E270">
        <v>4</v>
      </c>
      <c r="F270" s="188">
        <v>9.65</v>
      </c>
      <c r="G270" s="186">
        <v>88.3</v>
      </c>
      <c r="H270" s="186">
        <v>11.4</v>
      </c>
    </row>
    <row r="271" spans="3:11" ht="15.75" customHeight="1" x14ac:dyDescent="0.2">
      <c r="C271" s="205">
        <v>42905</v>
      </c>
      <c r="D271" s="185">
        <v>0.52777777777777779</v>
      </c>
      <c r="E271">
        <v>5</v>
      </c>
      <c r="F271" s="188">
        <v>9.64</v>
      </c>
      <c r="G271" s="186">
        <v>87.6</v>
      </c>
      <c r="H271" s="186">
        <v>11.1</v>
      </c>
    </row>
    <row r="272" spans="3:11" ht="15.75" customHeight="1" x14ac:dyDescent="0.2">
      <c r="C272" s="205">
        <v>42905</v>
      </c>
      <c r="D272" s="185">
        <v>0.52777777777777779</v>
      </c>
      <c r="E272">
        <v>6</v>
      </c>
      <c r="F272" s="188">
        <v>9.61</v>
      </c>
      <c r="G272" s="186">
        <v>86.9</v>
      </c>
      <c r="H272" s="186">
        <v>10.9</v>
      </c>
    </row>
    <row r="273" spans="3:8" ht="15.75" customHeight="1" x14ac:dyDescent="0.2">
      <c r="C273" s="205">
        <v>42905</v>
      </c>
      <c r="D273" s="185">
        <v>0.52777777777777779</v>
      </c>
      <c r="E273">
        <v>7</v>
      </c>
      <c r="F273" s="188">
        <v>9.57</v>
      </c>
      <c r="G273" s="186">
        <v>85.9</v>
      </c>
      <c r="H273" s="186">
        <v>10.6</v>
      </c>
    </row>
    <row r="274" spans="3:8" ht="15.75" customHeight="1" x14ac:dyDescent="0.2">
      <c r="C274" s="205">
        <v>42905</v>
      </c>
      <c r="D274" s="185">
        <v>0.52777777777777779</v>
      </c>
      <c r="E274">
        <v>8</v>
      </c>
      <c r="F274" s="188">
        <v>9.58</v>
      </c>
      <c r="G274" s="186">
        <v>84.4</v>
      </c>
      <c r="H274" s="186">
        <v>9.8000000000000007</v>
      </c>
    </row>
    <row r="275" spans="3:8" ht="15.75" customHeight="1" x14ac:dyDescent="0.2">
      <c r="C275" s="205">
        <v>42905</v>
      </c>
      <c r="D275" s="185">
        <v>0.52777777777777779</v>
      </c>
      <c r="E275">
        <v>9</v>
      </c>
      <c r="F275" s="188">
        <v>9.52</v>
      </c>
      <c r="G275" s="186">
        <v>83.5</v>
      </c>
      <c r="H275" s="186">
        <v>9.6</v>
      </c>
    </row>
    <row r="276" spans="3:8" ht="15.75" customHeight="1" x14ac:dyDescent="0.2">
      <c r="C276" s="205">
        <v>42905</v>
      </c>
      <c r="D276" s="185">
        <v>0.52777777777777779</v>
      </c>
      <c r="E276">
        <v>10</v>
      </c>
      <c r="F276" s="188">
        <v>9.49</v>
      </c>
      <c r="G276" s="186">
        <v>82.6</v>
      </c>
      <c r="H276" s="186">
        <v>9.3000000000000007</v>
      </c>
    </row>
    <row r="277" spans="3:8" ht="15.75" customHeight="1" x14ac:dyDescent="0.2">
      <c r="C277" s="205">
        <v>42905</v>
      </c>
      <c r="D277" s="185">
        <v>0.52777777777777779</v>
      </c>
      <c r="E277">
        <v>11</v>
      </c>
      <c r="F277" s="188">
        <v>9.4600000000000009</v>
      </c>
      <c r="G277" s="186">
        <v>82</v>
      </c>
      <c r="H277" s="186">
        <v>9.1</v>
      </c>
    </row>
    <row r="278" spans="3:8" ht="15.75" customHeight="1" x14ac:dyDescent="0.2">
      <c r="C278" s="205">
        <v>42905</v>
      </c>
      <c r="D278" s="185">
        <v>0.52777777777777779</v>
      </c>
      <c r="E278">
        <v>12</v>
      </c>
      <c r="F278" s="188">
        <v>9.43</v>
      </c>
      <c r="G278" s="186">
        <v>81.400000000000006</v>
      </c>
      <c r="H278" s="186">
        <v>8.9</v>
      </c>
    </row>
    <row r="279" spans="3:8" ht="15.75" customHeight="1" x14ac:dyDescent="0.2">
      <c r="C279" s="205">
        <v>42905</v>
      </c>
      <c r="D279" s="185">
        <v>0.52777777777777779</v>
      </c>
      <c r="E279">
        <v>13</v>
      </c>
      <c r="F279" s="188">
        <v>9.41</v>
      </c>
      <c r="G279" s="186">
        <v>80.5</v>
      </c>
      <c r="H279" s="186">
        <v>8.6</v>
      </c>
    </row>
    <row r="280" spans="3:8" ht="15.75" customHeight="1" x14ac:dyDescent="0.2">
      <c r="C280" s="205">
        <v>42905</v>
      </c>
      <c r="D280" s="185">
        <v>0.52777777777777779</v>
      </c>
      <c r="E280">
        <v>14</v>
      </c>
      <c r="F280" s="188">
        <v>9.36</v>
      </c>
      <c r="G280" s="186">
        <v>79.8</v>
      </c>
      <c r="H280" s="186">
        <v>8.5</v>
      </c>
    </row>
    <row r="281" spans="3:8" ht="15.75" customHeight="1" x14ac:dyDescent="0.2">
      <c r="C281" s="205">
        <v>42905</v>
      </c>
      <c r="D281" s="185">
        <v>0.52777777777777779</v>
      </c>
      <c r="E281">
        <v>15</v>
      </c>
      <c r="F281" s="188">
        <v>9.35</v>
      </c>
      <c r="G281" s="186">
        <v>79.099999999999994</v>
      </c>
      <c r="H281" s="186">
        <v>8.1</v>
      </c>
    </row>
    <row r="282" spans="3:8" ht="15.75" customHeight="1" x14ac:dyDescent="0.2">
      <c r="C282" s="205">
        <v>42905</v>
      </c>
      <c r="D282" s="185">
        <v>0.52777777777777779</v>
      </c>
      <c r="E282">
        <v>16</v>
      </c>
      <c r="F282" s="188">
        <v>9.2899999999999991</v>
      </c>
      <c r="G282" s="186">
        <v>78</v>
      </c>
      <c r="H282" s="186">
        <v>7.8</v>
      </c>
    </row>
    <row r="283" spans="3:8" ht="15.75" customHeight="1" x14ac:dyDescent="0.2">
      <c r="C283" s="205">
        <v>42905</v>
      </c>
      <c r="D283" s="185">
        <v>0.52777777777777779</v>
      </c>
      <c r="E283">
        <v>17</v>
      </c>
      <c r="F283" s="188">
        <v>9.26</v>
      </c>
      <c r="G283" s="186">
        <v>77.099999999999994</v>
      </c>
      <c r="H283" s="186">
        <v>7.6</v>
      </c>
    </row>
    <row r="284" spans="3:8" ht="15.75" customHeight="1" x14ac:dyDescent="0.2">
      <c r="C284" s="205">
        <v>42905</v>
      </c>
      <c r="D284" s="185">
        <v>0.52777777777777779</v>
      </c>
      <c r="E284">
        <v>18</v>
      </c>
      <c r="F284" s="188">
        <v>9.19</v>
      </c>
      <c r="G284" s="186">
        <v>76.099999999999994</v>
      </c>
      <c r="H284" s="186">
        <v>7.3</v>
      </c>
    </row>
    <row r="285" spans="3:8" ht="15.75" customHeight="1" x14ac:dyDescent="0.2">
      <c r="C285" s="205">
        <v>42905</v>
      </c>
      <c r="D285" s="185">
        <v>0.52777777777777779</v>
      </c>
      <c r="E285">
        <v>19</v>
      </c>
      <c r="F285" s="188">
        <v>9.16</v>
      </c>
      <c r="G285" s="186">
        <v>75.5</v>
      </c>
      <c r="H285" s="186">
        <v>7.2</v>
      </c>
    </row>
    <row r="286" spans="3:8" ht="15.75" customHeight="1" x14ac:dyDescent="0.2">
      <c r="C286" s="205">
        <v>42905</v>
      </c>
      <c r="D286" s="185">
        <v>0.52777777777777779</v>
      </c>
      <c r="E286">
        <v>20</v>
      </c>
      <c r="F286" s="188">
        <v>9.09</v>
      </c>
      <c r="G286" s="186">
        <v>74.8</v>
      </c>
      <c r="H286" s="186">
        <v>7</v>
      </c>
    </row>
    <row r="287" spans="3:8" ht="15.75" customHeight="1" x14ac:dyDescent="0.2">
      <c r="C287" s="205">
        <v>42905</v>
      </c>
      <c r="D287" s="185">
        <v>0.52777777777777779</v>
      </c>
      <c r="E287">
        <v>21</v>
      </c>
      <c r="F287" s="188">
        <v>9.06</v>
      </c>
      <c r="G287" s="186">
        <v>74.400000000000006</v>
      </c>
      <c r="H287" s="186">
        <v>6.9</v>
      </c>
    </row>
    <row r="288" spans="3:8" ht="15.75" customHeight="1" x14ac:dyDescent="0.2">
      <c r="C288" s="205">
        <v>42905</v>
      </c>
      <c r="D288" s="185">
        <v>0.52777777777777779</v>
      </c>
      <c r="E288">
        <v>22</v>
      </c>
      <c r="F288" s="188">
        <v>9.02</v>
      </c>
      <c r="G288" s="186">
        <v>73.8</v>
      </c>
      <c r="H288" s="186">
        <v>6.8</v>
      </c>
    </row>
    <row r="289" spans="3:12" ht="15.75" customHeight="1" x14ac:dyDescent="0.2">
      <c r="C289" s="205">
        <v>42905</v>
      </c>
      <c r="D289" s="185">
        <v>0.52777777777777779</v>
      </c>
      <c r="E289">
        <v>23</v>
      </c>
      <c r="F289" s="188">
        <v>8.9700000000000006</v>
      </c>
      <c r="G289" s="186">
        <v>73.3</v>
      </c>
      <c r="H289" s="186">
        <v>6.7</v>
      </c>
    </row>
    <row r="290" spans="3:12" ht="15.75" customHeight="1" x14ac:dyDescent="0.2">
      <c r="C290" s="205">
        <v>42905</v>
      </c>
      <c r="D290" s="185">
        <v>0.52777777777777779</v>
      </c>
      <c r="E290">
        <v>24</v>
      </c>
      <c r="F290" s="188">
        <v>8.91</v>
      </c>
      <c r="G290" s="186">
        <v>72.599999999999994</v>
      </c>
      <c r="H290" s="186">
        <v>6.6</v>
      </c>
    </row>
    <row r="291" spans="3:12" ht="15.75" customHeight="1" x14ac:dyDescent="0.2">
      <c r="C291" s="205">
        <v>42905</v>
      </c>
      <c r="D291" s="185">
        <v>0.52777777777777779</v>
      </c>
      <c r="E291">
        <v>25</v>
      </c>
      <c r="F291" s="188">
        <v>8.86</v>
      </c>
      <c r="G291" s="186">
        <v>71.7</v>
      </c>
      <c r="H291" s="186">
        <v>6.5</v>
      </c>
    </row>
    <row r="292" spans="3:12" ht="15.75" customHeight="1" x14ac:dyDescent="0.2">
      <c r="C292" s="205">
        <v>42905</v>
      </c>
      <c r="D292" s="185">
        <v>0.52777777777777779</v>
      </c>
      <c r="E292">
        <v>26</v>
      </c>
      <c r="F292" s="188">
        <v>8.7799999999999994</v>
      </c>
      <c r="G292" s="186">
        <v>70.900000000000006</v>
      </c>
      <c r="H292" s="186">
        <v>6.3</v>
      </c>
    </row>
    <row r="293" spans="3:12" ht="15.75" customHeight="1" x14ac:dyDescent="0.2">
      <c r="C293" s="205">
        <v>42905</v>
      </c>
      <c r="D293" s="185">
        <v>0.52777777777777779</v>
      </c>
      <c r="E293">
        <v>27</v>
      </c>
      <c r="F293" s="188">
        <v>8.66</v>
      </c>
      <c r="G293" s="186">
        <v>70</v>
      </c>
      <c r="H293" s="186">
        <v>6.3</v>
      </c>
    </row>
    <row r="294" spans="3:12" ht="15.75" customHeight="1" x14ac:dyDescent="0.2"/>
    <row r="295" spans="3:12" ht="15.75" customHeight="1" x14ac:dyDescent="0.2">
      <c r="C295" s="205">
        <v>42877</v>
      </c>
      <c r="D295" s="185">
        <v>0.51736111111111105</v>
      </c>
      <c r="J295">
        <v>5</v>
      </c>
      <c r="K295">
        <v>6</v>
      </c>
    </row>
    <row r="296" spans="3:12" ht="15.75" customHeight="1" x14ac:dyDescent="0.2">
      <c r="C296" s="205">
        <v>42877</v>
      </c>
      <c r="D296" s="185">
        <v>0.53125</v>
      </c>
      <c r="E296">
        <v>0.1</v>
      </c>
      <c r="F296" s="188">
        <v>9.93</v>
      </c>
      <c r="G296" s="186">
        <v>91.6</v>
      </c>
      <c r="H296" s="186">
        <v>11.6</v>
      </c>
    </row>
    <row r="297" spans="3:12" ht="15.75" customHeight="1" x14ac:dyDescent="0.2">
      <c r="C297" s="205">
        <v>42877</v>
      </c>
      <c r="D297" s="185">
        <v>0.53125</v>
      </c>
      <c r="E297">
        <v>1</v>
      </c>
      <c r="F297" s="188">
        <v>9.92</v>
      </c>
      <c r="G297" s="186">
        <v>89.9</v>
      </c>
      <c r="H297" s="186">
        <v>11</v>
      </c>
      <c r="J297" s="1"/>
      <c r="K297" s="1"/>
      <c r="L297" s="33"/>
    </row>
    <row r="298" spans="3:12" ht="15.75" customHeight="1" x14ac:dyDescent="0.2">
      <c r="C298" s="205">
        <v>42877</v>
      </c>
      <c r="D298" s="185">
        <v>0.53125</v>
      </c>
      <c r="E298">
        <v>2</v>
      </c>
      <c r="F298" s="188">
        <v>10.07</v>
      </c>
      <c r="G298" s="186">
        <v>87.5</v>
      </c>
      <c r="H298" s="186">
        <v>9.1999999999999993</v>
      </c>
      <c r="J298" s="1"/>
      <c r="K298" s="1"/>
      <c r="L298" s="33"/>
    </row>
    <row r="299" spans="3:12" ht="15.75" customHeight="1" x14ac:dyDescent="0.2">
      <c r="C299" s="205">
        <v>42877</v>
      </c>
      <c r="D299" s="185">
        <v>0.53125</v>
      </c>
      <c r="E299">
        <v>3</v>
      </c>
      <c r="F299" s="188">
        <v>10.09</v>
      </c>
      <c r="G299" s="186">
        <v>86.8</v>
      </c>
      <c r="H299" s="186">
        <v>8.8000000000000007</v>
      </c>
      <c r="J299" s="1"/>
      <c r="K299" s="1"/>
      <c r="L299" s="33"/>
    </row>
    <row r="300" spans="3:12" ht="15.75" customHeight="1" x14ac:dyDescent="0.2">
      <c r="C300" s="205">
        <v>42877</v>
      </c>
      <c r="D300" s="185">
        <v>0.53125</v>
      </c>
      <c r="E300">
        <v>4</v>
      </c>
      <c r="F300" s="188">
        <v>10.24</v>
      </c>
      <c r="G300" s="186">
        <v>86.2</v>
      </c>
      <c r="H300" s="186">
        <v>7.8</v>
      </c>
      <c r="J300" s="1"/>
      <c r="K300" s="1"/>
      <c r="L300" s="33"/>
    </row>
    <row r="301" spans="3:12" ht="15.75" customHeight="1" x14ac:dyDescent="0.2">
      <c r="C301" s="205">
        <v>42877</v>
      </c>
      <c r="D301" s="185">
        <v>0.53125</v>
      </c>
      <c r="E301">
        <v>5</v>
      </c>
      <c r="F301" s="188">
        <v>10.37</v>
      </c>
      <c r="G301" s="186">
        <v>86.2</v>
      </c>
      <c r="H301" s="186">
        <v>7.5</v>
      </c>
      <c r="J301" s="1"/>
      <c r="K301" s="1"/>
      <c r="L301" s="33"/>
    </row>
    <row r="302" spans="3:12" ht="15.75" customHeight="1" x14ac:dyDescent="0.2">
      <c r="C302" s="205">
        <v>42877</v>
      </c>
      <c r="D302" s="185">
        <v>0.53125</v>
      </c>
      <c r="E302">
        <v>6</v>
      </c>
      <c r="F302" s="188">
        <v>10.3</v>
      </c>
      <c r="G302" s="186">
        <v>85.2</v>
      </c>
      <c r="H302" s="186">
        <v>7.2</v>
      </c>
      <c r="J302" s="1"/>
      <c r="K302" s="1"/>
      <c r="L302" s="33"/>
    </row>
    <row r="303" spans="3:12" ht="15.75" customHeight="1" x14ac:dyDescent="0.2">
      <c r="C303" s="205">
        <v>42877</v>
      </c>
      <c r="D303" s="185">
        <v>0.53125</v>
      </c>
      <c r="E303">
        <v>7</v>
      </c>
      <c r="F303" s="188">
        <v>10.19</v>
      </c>
      <c r="G303" s="186">
        <v>83.8</v>
      </c>
      <c r="H303" s="186">
        <v>7</v>
      </c>
      <c r="J303" s="1"/>
      <c r="K303" s="1"/>
      <c r="L303" s="33"/>
    </row>
    <row r="304" spans="3:12" ht="15.75" customHeight="1" x14ac:dyDescent="0.2">
      <c r="C304" s="205">
        <v>42877</v>
      </c>
      <c r="D304" s="185">
        <v>0.53125</v>
      </c>
      <c r="E304">
        <v>8</v>
      </c>
      <c r="F304" s="188">
        <v>10.130000000000001</v>
      </c>
      <c r="G304" s="186">
        <v>83.4</v>
      </c>
      <c r="H304" s="186">
        <v>6.9</v>
      </c>
      <c r="J304" s="1"/>
      <c r="K304" s="1"/>
      <c r="L304" s="33"/>
    </row>
    <row r="305" spans="3:12" ht="15.75" customHeight="1" x14ac:dyDescent="0.2">
      <c r="C305" s="205">
        <v>42877</v>
      </c>
      <c r="D305" s="185">
        <v>0.53125</v>
      </c>
      <c r="E305">
        <v>9</v>
      </c>
      <c r="F305" s="188">
        <v>10.1</v>
      </c>
      <c r="G305" s="186">
        <v>82.7</v>
      </c>
      <c r="H305" s="186">
        <v>6.8</v>
      </c>
      <c r="J305" s="1"/>
      <c r="K305" s="1"/>
      <c r="L305" s="33"/>
    </row>
    <row r="306" spans="3:12" ht="15.75" customHeight="1" x14ac:dyDescent="0.2">
      <c r="C306" s="205">
        <v>42877</v>
      </c>
      <c r="D306" s="185">
        <v>0.53125</v>
      </c>
      <c r="E306">
        <v>10</v>
      </c>
      <c r="F306" s="188">
        <v>10.039999999999999</v>
      </c>
      <c r="G306" s="186">
        <v>81.900000000000006</v>
      </c>
      <c r="H306" s="186">
        <v>6.6</v>
      </c>
      <c r="J306" s="1"/>
      <c r="K306" s="1"/>
      <c r="L306" s="33"/>
    </row>
    <row r="307" spans="3:12" ht="15.75" customHeight="1" x14ac:dyDescent="0.2">
      <c r="C307" s="205">
        <v>42877</v>
      </c>
      <c r="D307" s="185">
        <v>0.53125</v>
      </c>
      <c r="E307">
        <v>11</v>
      </c>
      <c r="F307" s="188">
        <v>10.01</v>
      </c>
      <c r="G307" s="186">
        <v>81.400000000000006</v>
      </c>
      <c r="H307" s="186">
        <v>6.5</v>
      </c>
      <c r="J307" s="1"/>
      <c r="K307" s="1"/>
      <c r="L307" s="33"/>
    </row>
    <row r="308" spans="3:12" ht="15.75" customHeight="1" x14ac:dyDescent="0.2">
      <c r="C308" s="205">
        <v>42877</v>
      </c>
      <c r="D308" s="185">
        <v>0.53125</v>
      </c>
      <c r="E308">
        <v>12</v>
      </c>
      <c r="F308" s="188">
        <v>9.9600000000000009</v>
      </c>
      <c r="G308" s="186">
        <v>80.7</v>
      </c>
      <c r="H308" s="186">
        <v>6.4</v>
      </c>
      <c r="J308" s="1"/>
      <c r="K308" s="1"/>
      <c r="L308" s="33"/>
    </row>
    <row r="309" spans="3:12" ht="15.75" customHeight="1" x14ac:dyDescent="0.2">
      <c r="C309" s="205">
        <v>42877</v>
      </c>
      <c r="D309" s="185">
        <v>0.53125</v>
      </c>
      <c r="E309">
        <v>13</v>
      </c>
      <c r="F309" s="188">
        <v>9.84</v>
      </c>
      <c r="G309" s="186">
        <v>79.400000000000006</v>
      </c>
      <c r="H309" s="186">
        <v>6.2</v>
      </c>
      <c r="J309" s="1"/>
      <c r="K309" s="1"/>
      <c r="L309" s="33"/>
    </row>
    <row r="310" spans="3:12" ht="15.75" customHeight="1" x14ac:dyDescent="0.2">
      <c r="C310" s="205">
        <v>42877</v>
      </c>
      <c r="D310" s="185">
        <v>0.53125</v>
      </c>
      <c r="E310">
        <v>14</v>
      </c>
      <c r="F310" s="188">
        <v>9.75</v>
      </c>
      <c r="G310" s="186">
        <v>78.400000000000006</v>
      </c>
      <c r="H310" s="186">
        <v>6.1</v>
      </c>
      <c r="J310" s="1"/>
      <c r="K310" s="1"/>
      <c r="L310" s="33"/>
    </row>
    <row r="311" spans="3:12" ht="15.75" customHeight="1" x14ac:dyDescent="0.2">
      <c r="C311" s="205">
        <v>42877</v>
      </c>
      <c r="D311" s="185">
        <v>0.53125</v>
      </c>
      <c r="E311">
        <v>15</v>
      </c>
      <c r="F311" s="188">
        <v>9.7100000000000009</v>
      </c>
      <c r="G311" s="186">
        <v>78</v>
      </c>
      <c r="H311" s="186">
        <v>6</v>
      </c>
      <c r="J311" s="1"/>
      <c r="K311" s="1"/>
      <c r="L311" s="33"/>
    </row>
    <row r="312" spans="3:12" ht="15.75" customHeight="1" x14ac:dyDescent="0.2">
      <c r="C312" s="205">
        <v>42877</v>
      </c>
      <c r="D312" s="185">
        <v>0.53125</v>
      </c>
      <c r="E312">
        <v>16</v>
      </c>
      <c r="F312" s="188">
        <v>9.64</v>
      </c>
      <c r="G312" s="186">
        <v>77.400000000000006</v>
      </c>
      <c r="H312" s="186">
        <v>6</v>
      </c>
      <c r="J312" s="1"/>
      <c r="K312" s="1"/>
      <c r="L312" s="33"/>
    </row>
    <row r="313" spans="3:12" ht="15.75" customHeight="1" x14ac:dyDescent="0.2">
      <c r="C313" s="205">
        <v>42877</v>
      </c>
      <c r="D313" s="185">
        <v>0.53125</v>
      </c>
      <c r="E313">
        <v>17</v>
      </c>
      <c r="F313" s="188">
        <v>9.61</v>
      </c>
      <c r="G313" s="186">
        <v>76.900000000000006</v>
      </c>
      <c r="H313" s="186">
        <v>5.9</v>
      </c>
      <c r="J313" s="1"/>
      <c r="K313" s="1"/>
      <c r="L313" s="33"/>
    </row>
    <row r="314" spans="3:12" ht="15.75" customHeight="1" x14ac:dyDescent="0.2">
      <c r="C314" s="205">
        <v>42877</v>
      </c>
      <c r="D314" s="185">
        <v>0.53125</v>
      </c>
      <c r="E314">
        <v>18</v>
      </c>
      <c r="F314" s="188">
        <v>9.5399999999999991</v>
      </c>
      <c r="G314" s="186">
        <v>76.3</v>
      </c>
      <c r="H314" s="186">
        <v>5.9</v>
      </c>
      <c r="J314" s="1"/>
      <c r="K314" s="1"/>
      <c r="L314" s="33"/>
    </row>
    <row r="315" spans="3:12" ht="15.75" customHeight="1" x14ac:dyDescent="0.2">
      <c r="C315" s="205">
        <v>42877</v>
      </c>
      <c r="D315" s="185">
        <v>0.53125</v>
      </c>
      <c r="E315">
        <v>19</v>
      </c>
      <c r="F315" s="188">
        <v>9.51</v>
      </c>
      <c r="G315" s="186">
        <v>75.900000000000006</v>
      </c>
      <c r="H315" s="186">
        <v>5.8</v>
      </c>
      <c r="J315" s="1"/>
      <c r="K315" s="1"/>
      <c r="L315" s="33"/>
    </row>
    <row r="316" spans="3:12" ht="15.75" customHeight="1" x14ac:dyDescent="0.2">
      <c r="C316" s="205">
        <v>42877</v>
      </c>
      <c r="D316" s="185">
        <v>0.53125</v>
      </c>
      <c r="E316">
        <v>20</v>
      </c>
      <c r="F316" s="188">
        <v>9.4499999999999993</v>
      </c>
      <c r="G316" s="186">
        <v>75.2</v>
      </c>
      <c r="H316" s="186">
        <v>5.7</v>
      </c>
      <c r="J316" s="1"/>
      <c r="K316" s="1"/>
      <c r="L316" s="33"/>
    </row>
    <row r="317" spans="3:12" ht="15.75" customHeight="1" x14ac:dyDescent="0.2">
      <c r="C317" s="205">
        <v>42877</v>
      </c>
      <c r="D317" s="185">
        <v>0.53125</v>
      </c>
      <c r="E317">
        <v>21</v>
      </c>
      <c r="F317" s="188">
        <v>9.2799999999999994</v>
      </c>
      <c r="G317" s="186">
        <v>73.7</v>
      </c>
      <c r="H317" s="186">
        <v>5.6</v>
      </c>
      <c r="J317" s="1"/>
      <c r="K317" s="1"/>
      <c r="L317" s="33"/>
    </row>
    <row r="318" spans="3:12" ht="15.75" customHeight="1" x14ac:dyDescent="0.2">
      <c r="C318" s="205">
        <v>42877</v>
      </c>
      <c r="D318" s="185">
        <v>0.53125</v>
      </c>
      <c r="E318">
        <v>22</v>
      </c>
      <c r="F318" s="188">
        <v>9.23</v>
      </c>
      <c r="G318" s="186">
        <v>73.099999999999994</v>
      </c>
      <c r="H318" s="186">
        <v>5.5</v>
      </c>
      <c r="J318" s="1"/>
      <c r="K318" s="1"/>
      <c r="L318" s="33"/>
    </row>
    <row r="319" spans="3:12" ht="15.75" customHeight="1" x14ac:dyDescent="0.2">
      <c r="C319" s="205">
        <v>42877</v>
      </c>
      <c r="D319" s="185">
        <v>0.53125</v>
      </c>
      <c r="E319">
        <v>23</v>
      </c>
      <c r="F319" s="188">
        <v>9.1199999999999992</v>
      </c>
      <c r="G319" s="186">
        <v>72.3</v>
      </c>
      <c r="H319" s="186">
        <v>5.5</v>
      </c>
      <c r="J319" s="1"/>
      <c r="K319" s="1"/>
      <c r="L319" s="33"/>
    </row>
    <row r="320" spans="3:12" ht="15.75" customHeight="1" x14ac:dyDescent="0.2">
      <c r="C320" s="205">
        <v>42877</v>
      </c>
      <c r="D320" s="185">
        <v>0.53125</v>
      </c>
      <c r="E320">
        <v>24</v>
      </c>
      <c r="F320" s="188">
        <v>9.07</v>
      </c>
      <c r="G320" s="186">
        <v>71.900000000000006</v>
      </c>
      <c r="H320" s="186">
        <v>5.5</v>
      </c>
      <c r="J320" s="1"/>
      <c r="K320" s="1"/>
      <c r="L320" s="33"/>
    </row>
    <row r="321" spans="3:12" ht="15.75" customHeight="1" x14ac:dyDescent="0.2">
      <c r="C321" s="205">
        <v>42877</v>
      </c>
      <c r="D321" s="185">
        <v>0.53125</v>
      </c>
      <c r="E321">
        <v>25</v>
      </c>
      <c r="F321" s="188">
        <v>9.0500000000000007</v>
      </c>
      <c r="G321" s="186">
        <v>71.5</v>
      </c>
      <c r="H321" s="186">
        <v>5.4</v>
      </c>
      <c r="J321" s="1"/>
      <c r="K321" s="1"/>
      <c r="L321" s="33"/>
    </row>
    <row r="322" spans="3:12" ht="15.75" customHeight="1" x14ac:dyDescent="0.2">
      <c r="C322" s="205">
        <v>42877</v>
      </c>
      <c r="D322" s="185">
        <v>0.53125</v>
      </c>
      <c r="E322">
        <v>26</v>
      </c>
      <c r="F322" s="188">
        <v>9</v>
      </c>
      <c r="G322" s="186">
        <v>71.2</v>
      </c>
      <c r="H322" s="186">
        <v>5.4</v>
      </c>
      <c r="J322" s="1"/>
      <c r="K322" s="1"/>
      <c r="L322" s="33"/>
    </row>
    <row r="323" spans="3:12" ht="15.75" customHeight="1" x14ac:dyDescent="0.2">
      <c r="C323" s="205">
        <v>42877</v>
      </c>
      <c r="D323" s="185">
        <v>0.53125</v>
      </c>
      <c r="E323">
        <v>27</v>
      </c>
      <c r="F323" s="188">
        <v>8.9</v>
      </c>
      <c r="G323" s="186">
        <v>69.900000000000006</v>
      </c>
      <c r="H323" s="186">
        <v>5.3</v>
      </c>
      <c r="J323" s="1"/>
      <c r="K323" s="1"/>
      <c r="L323" s="33"/>
    </row>
    <row r="324" spans="3:12" ht="15.75" customHeight="1" x14ac:dyDescent="0.2">
      <c r="C324" s="205">
        <v>42877</v>
      </c>
      <c r="D324" s="185">
        <v>0.53125</v>
      </c>
      <c r="E324">
        <v>28</v>
      </c>
      <c r="F324" s="188">
        <v>8.77</v>
      </c>
      <c r="G324" s="186">
        <v>69.099999999999994</v>
      </c>
      <c r="H324" s="186">
        <v>5.3</v>
      </c>
      <c r="J324" s="1"/>
      <c r="K324" s="1"/>
      <c r="L324" s="33"/>
    </row>
    <row r="325" spans="3:12" ht="15.75" customHeight="1" x14ac:dyDescent="0.2">
      <c r="C325" s="205">
        <v>42877</v>
      </c>
      <c r="D325" s="185">
        <v>0.53125</v>
      </c>
      <c r="E325">
        <v>29</v>
      </c>
      <c r="F325" s="188">
        <v>8.4499999999999993</v>
      </c>
      <c r="G325" s="186">
        <v>66.400000000000006</v>
      </c>
      <c r="H325" s="186">
        <v>5.2</v>
      </c>
      <c r="J325" s="1"/>
      <c r="K325" s="1"/>
      <c r="L325" s="33"/>
    </row>
    <row r="326" spans="3:12" ht="15.75" customHeight="1" x14ac:dyDescent="0.2">
      <c r="C326" s="205">
        <v>42877</v>
      </c>
      <c r="D326" s="185">
        <v>0.53125</v>
      </c>
      <c r="E326">
        <v>30</v>
      </c>
      <c r="F326" s="188">
        <v>8.32</v>
      </c>
      <c r="G326" s="186">
        <v>65.2</v>
      </c>
      <c r="H326" s="186">
        <v>5.0999999999999996</v>
      </c>
      <c r="J326" s="1"/>
      <c r="K326" s="1"/>
      <c r="L326" s="33"/>
    </row>
    <row r="327" spans="3:12" ht="15.75" customHeight="1" x14ac:dyDescent="0.2">
      <c r="C327" s="205">
        <v>42877</v>
      </c>
      <c r="D327" s="185">
        <v>0.53125</v>
      </c>
      <c r="E327">
        <v>31</v>
      </c>
      <c r="F327" s="188">
        <v>8.15</v>
      </c>
      <c r="G327" s="186">
        <v>63.6</v>
      </c>
      <c r="H327" s="186">
        <v>5.0999999999999996</v>
      </c>
      <c r="J327" s="1"/>
      <c r="K327" s="1"/>
      <c r="L327" s="33"/>
    </row>
    <row r="328" spans="3:12" ht="15.75" customHeight="1" x14ac:dyDescent="0.2"/>
    <row r="329" spans="3:12" ht="15.75" customHeight="1" x14ac:dyDescent="0.2">
      <c r="C329" s="205">
        <v>42597</v>
      </c>
      <c r="D329" s="185">
        <v>0.51041666666666663</v>
      </c>
      <c r="J329">
        <v>9</v>
      </c>
      <c r="K329">
        <v>10.199999999999999</v>
      </c>
    </row>
    <row r="330" spans="3:12" ht="15.75" customHeight="1" x14ac:dyDescent="0.2">
      <c r="C330" s="205">
        <v>42597</v>
      </c>
      <c r="D330" s="185">
        <v>0.52083333333333337</v>
      </c>
      <c r="E330">
        <v>0.1</v>
      </c>
      <c r="F330" s="188">
        <v>7.7</v>
      </c>
      <c r="G330" s="186">
        <v>86.6</v>
      </c>
      <c r="H330" s="186">
        <v>21.1</v>
      </c>
    </row>
    <row r="331" spans="3:12" ht="15.75" customHeight="1" x14ac:dyDescent="0.2">
      <c r="C331" s="205">
        <v>42597</v>
      </c>
      <c r="D331" s="185">
        <v>0.52083333333333337</v>
      </c>
      <c r="E331">
        <v>1</v>
      </c>
      <c r="F331" s="188">
        <v>7.77</v>
      </c>
      <c r="G331" s="186">
        <v>87</v>
      </c>
      <c r="H331" s="186">
        <v>20.9</v>
      </c>
    </row>
    <row r="332" spans="3:12" ht="15.75" customHeight="1" x14ac:dyDescent="0.2">
      <c r="C332" s="205">
        <v>42597</v>
      </c>
      <c r="D332" s="185">
        <v>0.52083333333333337</v>
      </c>
      <c r="E332">
        <v>2</v>
      </c>
      <c r="F332" s="188">
        <v>7.8</v>
      </c>
      <c r="G332" s="186">
        <v>86.9</v>
      </c>
      <c r="H332" s="186">
        <v>20.6</v>
      </c>
    </row>
    <row r="333" spans="3:12" ht="15.75" customHeight="1" x14ac:dyDescent="0.2">
      <c r="C333" s="205">
        <v>42597</v>
      </c>
      <c r="D333" s="185">
        <v>0.52083333333333337</v>
      </c>
      <c r="E333">
        <v>3</v>
      </c>
      <c r="F333" s="188">
        <v>7.82</v>
      </c>
      <c r="G333" s="186">
        <v>86.5</v>
      </c>
      <c r="H333" s="186">
        <v>20.399999999999999</v>
      </c>
    </row>
    <row r="334" spans="3:12" ht="15.75" customHeight="1" x14ac:dyDescent="0.2">
      <c r="C334" s="205">
        <v>42597</v>
      </c>
      <c r="D334" s="185">
        <v>0.52083333333333337</v>
      </c>
      <c r="E334">
        <v>4</v>
      </c>
      <c r="F334" s="188">
        <v>7.87</v>
      </c>
      <c r="G334" s="186">
        <v>86.7</v>
      </c>
      <c r="H334" s="186">
        <v>20.100000000000001</v>
      </c>
    </row>
    <row r="335" spans="3:12" ht="15.75" customHeight="1" x14ac:dyDescent="0.2">
      <c r="C335" s="205">
        <v>42597</v>
      </c>
      <c r="D335" s="185">
        <v>0.52083333333333337</v>
      </c>
      <c r="E335">
        <v>5</v>
      </c>
      <c r="F335" s="188">
        <v>7.89</v>
      </c>
      <c r="G335" s="186">
        <v>86.8</v>
      </c>
      <c r="H335" s="186">
        <v>20</v>
      </c>
    </row>
    <row r="336" spans="3:12" ht="15.75" customHeight="1" x14ac:dyDescent="0.2">
      <c r="C336" s="205">
        <v>42597</v>
      </c>
      <c r="D336" s="185">
        <v>0.52083333333333337</v>
      </c>
      <c r="E336">
        <v>6</v>
      </c>
      <c r="F336" s="188">
        <v>8.16</v>
      </c>
      <c r="G336" s="186">
        <v>88.2</v>
      </c>
      <c r="H336" s="186">
        <v>19.100000000000001</v>
      </c>
    </row>
    <row r="337" spans="3:8" ht="15.75" customHeight="1" x14ac:dyDescent="0.2">
      <c r="C337" s="205">
        <v>42597</v>
      </c>
      <c r="D337" s="185">
        <v>0.52083333333333337</v>
      </c>
      <c r="E337">
        <v>7</v>
      </c>
      <c r="F337" s="188">
        <v>8.6300000000000008</v>
      </c>
      <c r="G337" s="186">
        <v>90.5</v>
      </c>
      <c r="H337" s="186">
        <v>17.7</v>
      </c>
    </row>
    <row r="338" spans="3:8" ht="15.75" customHeight="1" x14ac:dyDescent="0.2">
      <c r="C338" s="205">
        <v>42597</v>
      </c>
      <c r="D338" s="185">
        <v>0.52083333333333337</v>
      </c>
      <c r="E338">
        <v>8</v>
      </c>
      <c r="F338" s="188">
        <v>9.06</v>
      </c>
      <c r="G338" s="186">
        <v>90.3</v>
      </c>
      <c r="H338" s="186">
        <v>16.2</v>
      </c>
    </row>
    <row r="339" spans="3:8" ht="15.75" customHeight="1" x14ac:dyDescent="0.2">
      <c r="C339" s="205">
        <v>42597</v>
      </c>
      <c r="D339" s="185">
        <v>0.52083333333333337</v>
      </c>
      <c r="E339">
        <v>9</v>
      </c>
      <c r="F339" s="188">
        <v>9.6</v>
      </c>
      <c r="G339" s="186">
        <v>90.4</v>
      </c>
      <c r="H339" s="186">
        <v>14.6</v>
      </c>
    </row>
    <row r="340" spans="3:8" ht="15.75" customHeight="1" x14ac:dyDescent="0.2">
      <c r="C340" s="205">
        <v>42597</v>
      </c>
      <c r="D340" s="185">
        <v>0.52083333333333337</v>
      </c>
      <c r="E340">
        <v>10</v>
      </c>
      <c r="F340" s="188">
        <v>9.73</v>
      </c>
      <c r="G340" s="186">
        <v>94.6</v>
      </c>
      <c r="H340" s="186">
        <v>14.1</v>
      </c>
    </row>
    <row r="341" spans="3:8" ht="15.75" customHeight="1" x14ac:dyDescent="0.2">
      <c r="C341" s="205">
        <v>42597</v>
      </c>
      <c r="D341" s="185">
        <v>0.52083333333333337</v>
      </c>
      <c r="E341">
        <v>11</v>
      </c>
      <c r="F341" s="188">
        <v>10.210000000000001</v>
      </c>
      <c r="G341" s="186">
        <v>95.6</v>
      </c>
      <c r="H341" s="186">
        <v>12.3</v>
      </c>
    </row>
    <row r="342" spans="3:8" ht="15.75" customHeight="1" x14ac:dyDescent="0.2">
      <c r="C342" s="205">
        <v>42597</v>
      </c>
      <c r="D342" s="185">
        <v>0.52083333333333337</v>
      </c>
      <c r="E342">
        <v>12</v>
      </c>
      <c r="F342" s="188">
        <v>10.25</v>
      </c>
      <c r="G342" s="186">
        <v>93.6</v>
      </c>
      <c r="H342" s="186">
        <v>11.4</v>
      </c>
    </row>
    <row r="343" spans="3:8" ht="15.75" customHeight="1" x14ac:dyDescent="0.2">
      <c r="C343" s="205">
        <v>42597</v>
      </c>
      <c r="D343" s="185">
        <v>0.52083333333333337</v>
      </c>
      <c r="E343">
        <v>13</v>
      </c>
      <c r="F343" s="188">
        <v>9.07</v>
      </c>
      <c r="G343" s="186">
        <v>82.2</v>
      </c>
      <c r="H343" s="186">
        <v>11</v>
      </c>
    </row>
    <row r="344" spans="3:8" ht="15.75" customHeight="1" x14ac:dyDescent="0.2">
      <c r="C344" s="205">
        <v>42597</v>
      </c>
      <c r="D344" s="185">
        <v>0.52083333333333337</v>
      </c>
      <c r="E344">
        <v>14</v>
      </c>
      <c r="F344" s="188">
        <v>8.52</v>
      </c>
      <c r="G344" s="186">
        <v>75.8</v>
      </c>
      <c r="H344" s="186">
        <v>11.2</v>
      </c>
    </row>
    <row r="345" spans="3:8" ht="15.75" customHeight="1" x14ac:dyDescent="0.2">
      <c r="C345" s="205">
        <v>42597</v>
      </c>
      <c r="D345" s="185">
        <v>0.52083333333333337</v>
      </c>
      <c r="E345">
        <v>15</v>
      </c>
      <c r="F345" s="188">
        <v>8.1199999999999992</v>
      </c>
      <c r="G345" s="186">
        <v>71.2</v>
      </c>
      <c r="H345" s="186">
        <v>9.6</v>
      </c>
    </row>
    <row r="346" spans="3:8" ht="15.75" customHeight="1" x14ac:dyDescent="0.2">
      <c r="C346" s="205">
        <v>42597</v>
      </c>
      <c r="D346" s="185">
        <v>0.52083333333333337</v>
      </c>
      <c r="E346">
        <v>16</v>
      </c>
      <c r="F346" s="188">
        <v>7.83</v>
      </c>
      <c r="G346" s="186">
        <v>67.8</v>
      </c>
      <c r="H346" s="186">
        <v>9.1999999999999993</v>
      </c>
    </row>
    <row r="347" spans="3:8" ht="15.75" customHeight="1" x14ac:dyDescent="0.2">
      <c r="C347" s="205">
        <v>42597</v>
      </c>
      <c r="D347" s="185">
        <v>0.52083333333333337</v>
      </c>
      <c r="E347">
        <v>17</v>
      </c>
      <c r="F347" s="188">
        <v>7.65</v>
      </c>
      <c r="G347" s="186">
        <v>65.8</v>
      </c>
      <c r="H347" s="186">
        <v>8.8000000000000007</v>
      </c>
    </row>
    <row r="348" spans="3:8" ht="15.75" customHeight="1" x14ac:dyDescent="0.2">
      <c r="C348" s="205">
        <v>42597</v>
      </c>
      <c r="D348" s="185">
        <v>0.52083333333333337</v>
      </c>
      <c r="E348">
        <v>18</v>
      </c>
      <c r="F348" s="188">
        <v>7.45</v>
      </c>
      <c r="G348" s="186">
        <v>63.5</v>
      </c>
      <c r="H348" s="186">
        <v>8.4</v>
      </c>
    </row>
    <row r="349" spans="3:8" ht="15.75" customHeight="1" x14ac:dyDescent="0.2">
      <c r="C349" s="205">
        <v>42597</v>
      </c>
      <c r="D349" s="185">
        <v>0.52083333333333337</v>
      </c>
      <c r="E349">
        <v>19</v>
      </c>
      <c r="F349" s="188">
        <v>7.36</v>
      </c>
      <c r="G349" s="186">
        <v>62.6</v>
      </c>
      <c r="H349" s="186">
        <v>8.3000000000000007</v>
      </c>
    </row>
    <row r="350" spans="3:8" ht="15.75" customHeight="1" x14ac:dyDescent="0.2">
      <c r="C350" s="205">
        <v>42597</v>
      </c>
      <c r="D350" s="185">
        <v>0.52083333333333337</v>
      </c>
      <c r="E350">
        <v>20</v>
      </c>
      <c r="F350" s="188">
        <v>7.15</v>
      </c>
      <c r="G350" s="186">
        <v>60.3</v>
      </c>
      <c r="H350" s="186">
        <v>8.1</v>
      </c>
    </row>
    <row r="351" spans="3:8" ht="15.75" customHeight="1" x14ac:dyDescent="0.2">
      <c r="C351" s="205">
        <v>42597</v>
      </c>
      <c r="D351" s="185">
        <v>0.52083333333333337</v>
      </c>
      <c r="E351">
        <v>21</v>
      </c>
      <c r="F351" s="188">
        <v>6.85</v>
      </c>
      <c r="G351" s="186">
        <v>57.7</v>
      </c>
      <c r="H351" s="186">
        <v>7.9</v>
      </c>
    </row>
    <row r="352" spans="3:8" ht="15.75" customHeight="1" x14ac:dyDescent="0.2">
      <c r="C352" s="205">
        <v>42597</v>
      </c>
      <c r="D352" s="185">
        <v>0.52083333333333337</v>
      </c>
      <c r="E352">
        <v>22</v>
      </c>
      <c r="F352" s="188">
        <v>6.73</v>
      </c>
      <c r="G352" s="186">
        <v>56.4</v>
      </c>
      <c r="H352" s="186">
        <v>7.7</v>
      </c>
    </row>
    <row r="353" spans="2:10" ht="15.75" customHeight="1" x14ac:dyDescent="0.2">
      <c r="C353" s="205">
        <v>42597</v>
      </c>
      <c r="D353" s="185">
        <v>0.52083333333333337</v>
      </c>
      <c r="E353">
        <v>23</v>
      </c>
      <c r="F353" s="188">
        <v>6.76</v>
      </c>
      <c r="G353" s="186">
        <v>56.5</v>
      </c>
      <c r="H353" s="186">
        <v>7.6</v>
      </c>
    </row>
    <row r="354" spans="2:10" ht="15.75" customHeight="1" x14ac:dyDescent="0.2">
      <c r="C354" s="205">
        <v>42597</v>
      </c>
      <c r="D354" s="185">
        <v>0.52083333333333337</v>
      </c>
      <c r="E354">
        <v>24</v>
      </c>
      <c r="F354" s="188">
        <v>6.45</v>
      </c>
      <c r="G354" s="186">
        <v>53.8</v>
      </c>
      <c r="H354" s="186">
        <v>7.5</v>
      </c>
    </row>
    <row r="355" spans="2:10" ht="15.75" customHeight="1" x14ac:dyDescent="0.2">
      <c r="C355" s="205">
        <v>42597</v>
      </c>
      <c r="D355" s="185">
        <v>0.52083333333333337</v>
      </c>
      <c r="E355">
        <v>25</v>
      </c>
      <c r="F355" s="188">
        <v>6.35</v>
      </c>
      <c r="G355" s="186">
        <v>52.8</v>
      </c>
      <c r="H355" s="186">
        <v>7.4</v>
      </c>
    </row>
    <row r="356" spans="2:10" ht="15.75" customHeight="1" x14ac:dyDescent="0.2">
      <c r="C356" s="205">
        <v>42597</v>
      </c>
      <c r="D356" s="185">
        <v>0.52083333333333337</v>
      </c>
      <c r="E356">
        <v>26</v>
      </c>
      <c r="F356" s="188">
        <v>6.36</v>
      </c>
      <c r="G356" s="186">
        <v>52.8</v>
      </c>
      <c r="H356" s="186">
        <v>7.3</v>
      </c>
    </row>
    <row r="357" spans="2:10" ht="15.75" customHeight="1" x14ac:dyDescent="0.2">
      <c r="C357" s="205">
        <v>42597</v>
      </c>
      <c r="D357" s="185">
        <v>0.52083333333333337</v>
      </c>
      <c r="E357">
        <v>27</v>
      </c>
      <c r="F357" s="188">
        <v>6.29</v>
      </c>
      <c r="G357" s="186">
        <v>52</v>
      </c>
      <c r="H357" s="186">
        <v>7.2</v>
      </c>
    </row>
    <row r="358" spans="2:10" ht="15.75" customHeight="1" x14ac:dyDescent="0.2">
      <c r="C358" s="205">
        <v>42597</v>
      </c>
      <c r="D358" s="185">
        <v>0.52083333333333337</v>
      </c>
      <c r="E358">
        <v>28</v>
      </c>
      <c r="F358" s="188">
        <v>6.05</v>
      </c>
      <c r="G358" s="186">
        <v>49.9</v>
      </c>
      <c r="H358" s="186">
        <v>7.1</v>
      </c>
    </row>
    <row r="359" spans="2:10" ht="15.75" customHeight="1" x14ac:dyDescent="0.2">
      <c r="C359" s="205">
        <v>42597</v>
      </c>
      <c r="D359" s="185">
        <v>0.52083333333333337</v>
      </c>
      <c r="E359">
        <v>29</v>
      </c>
      <c r="F359" s="188">
        <v>5.85</v>
      </c>
      <c r="G359" s="186">
        <v>48.2</v>
      </c>
      <c r="H359" s="186">
        <v>7</v>
      </c>
    </row>
    <row r="360" spans="2:10" ht="15.75" customHeight="1" x14ac:dyDescent="0.2">
      <c r="C360" s="205">
        <v>42597</v>
      </c>
      <c r="D360" s="185">
        <v>0.52083333333333337</v>
      </c>
      <c r="E360">
        <v>30</v>
      </c>
      <c r="F360" s="188">
        <v>5.8</v>
      </c>
      <c r="G360" s="186">
        <v>47.8</v>
      </c>
      <c r="H360" s="186">
        <v>7</v>
      </c>
    </row>
    <row r="361" spans="2:10" ht="15.75" customHeight="1" x14ac:dyDescent="0.2"/>
    <row r="362" spans="2:10" ht="16" x14ac:dyDescent="0.2">
      <c r="B362">
        <v>28.3</v>
      </c>
      <c r="C362" s="240">
        <v>34611</v>
      </c>
      <c r="D362" s="225">
        <v>0.44791666666666669</v>
      </c>
      <c r="F362"/>
      <c r="G362"/>
      <c r="H362"/>
      <c r="J362">
        <v>11.3</v>
      </c>
    </row>
    <row r="363" spans="2:10" ht="16" x14ac:dyDescent="0.2">
      <c r="C363" s="240">
        <v>34611</v>
      </c>
      <c r="D363" s="225">
        <v>0.44791666666666669</v>
      </c>
      <c r="E363">
        <v>0</v>
      </c>
      <c r="F363">
        <v>9.6999999999999993</v>
      </c>
      <c r="G363">
        <v>105</v>
      </c>
      <c r="H363">
        <v>15.2</v>
      </c>
    </row>
    <row r="364" spans="2:10" ht="16" x14ac:dyDescent="0.2">
      <c r="C364" s="240">
        <v>34611</v>
      </c>
      <c r="D364" s="225">
        <v>0.44791666666666669</v>
      </c>
      <c r="E364">
        <v>2</v>
      </c>
      <c r="F364">
        <v>9.6</v>
      </c>
      <c r="G364"/>
      <c r="H364">
        <v>15.1</v>
      </c>
    </row>
    <row r="365" spans="2:10" ht="16" x14ac:dyDescent="0.2">
      <c r="C365" s="240">
        <v>34611</v>
      </c>
      <c r="D365" s="225">
        <v>0.44791666666666669</v>
      </c>
      <c r="E365">
        <v>4</v>
      </c>
      <c r="F365">
        <v>9.5</v>
      </c>
      <c r="G365">
        <v>104</v>
      </c>
      <c r="H365">
        <v>15.1</v>
      </c>
    </row>
    <row r="366" spans="2:10" ht="16" x14ac:dyDescent="0.2">
      <c r="C366" s="240">
        <v>34611</v>
      </c>
      <c r="D366" s="225">
        <v>0.44791666666666669</v>
      </c>
      <c r="E366">
        <v>6</v>
      </c>
      <c r="F366">
        <v>9.4</v>
      </c>
      <c r="G366"/>
      <c r="H366">
        <v>15.1</v>
      </c>
    </row>
    <row r="367" spans="2:10" ht="16" x14ac:dyDescent="0.2">
      <c r="C367" s="240">
        <v>34611</v>
      </c>
      <c r="D367" s="225">
        <v>0.44791666666666669</v>
      </c>
      <c r="E367">
        <v>8</v>
      </c>
      <c r="F367">
        <v>9.4</v>
      </c>
      <c r="G367"/>
      <c r="H367">
        <v>15</v>
      </c>
    </row>
    <row r="368" spans="2:10" ht="16" x14ac:dyDescent="0.2">
      <c r="C368" s="240">
        <v>34611</v>
      </c>
      <c r="D368" s="225">
        <v>0.44791666666666669</v>
      </c>
      <c r="E368">
        <v>10</v>
      </c>
      <c r="F368">
        <v>9.4</v>
      </c>
      <c r="G368">
        <v>102</v>
      </c>
      <c r="H368">
        <v>15</v>
      </c>
    </row>
    <row r="369" spans="2:10" ht="16" x14ac:dyDescent="0.2">
      <c r="C369" s="240">
        <v>34611</v>
      </c>
      <c r="D369" s="225">
        <v>0.44791666666666669</v>
      </c>
      <c r="E369">
        <v>11</v>
      </c>
      <c r="F369">
        <v>9.1</v>
      </c>
      <c r="G369">
        <v>98</v>
      </c>
      <c r="H369">
        <v>14.5</v>
      </c>
    </row>
    <row r="370" spans="2:10" ht="16" x14ac:dyDescent="0.2">
      <c r="C370" s="240">
        <v>34611</v>
      </c>
      <c r="D370" s="225">
        <v>0.44791666666666669</v>
      </c>
      <c r="E370">
        <v>12</v>
      </c>
      <c r="F370">
        <v>9.6</v>
      </c>
      <c r="G370">
        <v>95</v>
      </c>
      <c r="H370">
        <v>10.8</v>
      </c>
    </row>
    <row r="371" spans="2:10" ht="16" x14ac:dyDescent="0.2">
      <c r="C371" s="240">
        <v>34611</v>
      </c>
      <c r="D371" s="225">
        <v>0.44791666666666669</v>
      </c>
      <c r="E371">
        <v>14</v>
      </c>
      <c r="F371">
        <v>9.3000000000000007</v>
      </c>
      <c r="G371">
        <v>90</v>
      </c>
      <c r="H371">
        <v>9.6</v>
      </c>
    </row>
    <row r="372" spans="2:10" ht="16" x14ac:dyDescent="0.2">
      <c r="C372" s="240">
        <v>34611</v>
      </c>
      <c r="D372" s="225">
        <v>0.44791666666666669</v>
      </c>
      <c r="E372">
        <v>16</v>
      </c>
      <c r="F372">
        <v>8.6999999999999993</v>
      </c>
      <c r="G372">
        <v>82</v>
      </c>
      <c r="H372">
        <v>8.6999999999999993</v>
      </c>
    </row>
    <row r="373" spans="2:10" ht="16" x14ac:dyDescent="0.2">
      <c r="C373" s="240">
        <v>34611</v>
      </c>
      <c r="D373" s="225">
        <v>0.44791666666666669</v>
      </c>
      <c r="E373">
        <v>18</v>
      </c>
      <c r="F373">
        <v>7.9</v>
      </c>
      <c r="G373">
        <v>73</v>
      </c>
      <c r="H373">
        <v>8</v>
      </c>
    </row>
    <row r="374" spans="2:10" ht="16" x14ac:dyDescent="0.2">
      <c r="C374" s="240">
        <v>34611</v>
      </c>
      <c r="D374" s="225">
        <v>0.44791666666666669</v>
      </c>
      <c r="E374">
        <v>20</v>
      </c>
      <c r="F374">
        <v>7.6</v>
      </c>
      <c r="G374">
        <v>69</v>
      </c>
      <c r="H374">
        <v>7.3</v>
      </c>
    </row>
    <row r="375" spans="2:10" ht="16" x14ac:dyDescent="0.2">
      <c r="C375" s="240">
        <v>34611</v>
      </c>
      <c r="D375" s="225">
        <v>0.44791666666666669</v>
      </c>
      <c r="E375">
        <v>25</v>
      </c>
      <c r="F375">
        <v>6.5</v>
      </c>
      <c r="G375">
        <v>58</v>
      </c>
      <c r="H375">
        <v>5.4</v>
      </c>
    </row>
    <row r="376" spans="2:10" ht="16" x14ac:dyDescent="0.2">
      <c r="C376" s="240">
        <v>34611</v>
      </c>
      <c r="D376" s="225">
        <v>0.44791666666666669</v>
      </c>
      <c r="E376">
        <v>28</v>
      </c>
      <c r="F376">
        <v>5.6</v>
      </c>
      <c r="G376">
        <v>50</v>
      </c>
      <c r="H376">
        <v>6.2</v>
      </c>
    </row>
    <row r="377" spans="2:10" ht="16" x14ac:dyDescent="0.2">
      <c r="C377" s="240"/>
      <c r="D377" s="190"/>
      <c r="F377"/>
      <c r="G377"/>
      <c r="H377"/>
    </row>
    <row r="378" spans="2:10" ht="16" x14ac:dyDescent="0.2">
      <c r="B378">
        <v>28.9</v>
      </c>
      <c r="C378" s="240">
        <v>34584</v>
      </c>
      <c r="D378" s="225">
        <v>0.45833333333333331</v>
      </c>
      <c r="F378"/>
      <c r="G378"/>
      <c r="H378"/>
      <c r="J378">
        <v>12.9</v>
      </c>
    </row>
    <row r="379" spans="2:10" ht="16" x14ac:dyDescent="0.2">
      <c r="C379" s="240">
        <v>34584</v>
      </c>
      <c r="D379" s="225">
        <v>0.45833333333333331</v>
      </c>
      <c r="E379">
        <v>0</v>
      </c>
      <c r="F379">
        <v>9.6</v>
      </c>
      <c r="G379">
        <v>112</v>
      </c>
      <c r="H379">
        <v>18</v>
      </c>
    </row>
    <row r="380" spans="2:10" ht="16" x14ac:dyDescent="0.2">
      <c r="C380" s="240">
        <v>34584</v>
      </c>
      <c r="D380" s="225">
        <v>0.45833333333333331</v>
      </c>
      <c r="E380">
        <v>2</v>
      </c>
      <c r="F380">
        <v>9.1999999999999993</v>
      </c>
      <c r="G380">
        <v>107</v>
      </c>
      <c r="H380">
        <v>17.899999999999999</v>
      </c>
    </row>
    <row r="381" spans="2:10" ht="16" x14ac:dyDescent="0.2">
      <c r="C381" s="240">
        <v>34584</v>
      </c>
      <c r="D381" s="225">
        <v>0.45833333333333331</v>
      </c>
      <c r="E381">
        <v>4</v>
      </c>
      <c r="F381">
        <v>9.1999999999999993</v>
      </c>
      <c r="G381">
        <v>106</v>
      </c>
      <c r="H381">
        <v>17.7</v>
      </c>
    </row>
    <row r="382" spans="2:10" ht="16" x14ac:dyDescent="0.2">
      <c r="C382" s="240">
        <v>34584</v>
      </c>
      <c r="D382" s="225">
        <v>0.45833333333333331</v>
      </c>
      <c r="E382">
        <v>6</v>
      </c>
      <c r="F382">
        <v>9.1999999999999993</v>
      </c>
      <c r="G382">
        <v>106</v>
      </c>
      <c r="H382">
        <v>17.600000000000001</v>
      </c>
    </row>
    <row r="383" spans="2:10" ht="16" x14ac:dyDescent="0.2">
      <c r="C383" s="240">
        <v>34584</v>
      </c>
      <c r="D383" s="225">
        <v>0.45833333333333331</v>
      </c>
      <c r="E383">
        <v>8</v>
      </c>
      <c r="F383">
        <v>9.1</v>
      </c>
      <c r="G383">
        <v>104</v>
      </c>
      <c r="H383">
        <v>17.399999999999999</v>
      </c>
    </row>
    <row r="384" spans="2:10" ht="16" x14ac:dyDescent="0.2">
      <c r="C384" s="240">
        <v>34584</v>
      </c>
      <c r="D384" s="225">
        <v>0.45833333333333331</v>
      </c>
      <c r="E384">
        <v>9</v>
      </c>
      <c r="F384">
        <v>10</v>
      </c>
      <c r="G384">
        <v>110</v>
      </c>
      <c r="H384">
        <v>15.8</v>
      </c>
    </row>
    <row r="385" spans="2:10" ht="16" x14ac:dyDescent="0.2">
      <c r="C385" s="240">
        <v>34584</v>
      </c>
      <c r="D385" s="225">
        <v>0.45833333333333331</v>
      </c>
      <c r="E385">
        <v>10</v>
      </c>
      <c r="F385">
        <v>10.6</v>
      </c>
      <c r="G385">
        <v>110</v>
      </c>
      <c r="H385">
        <v>13</v>
      </c>
    </row>
    <row r="386" spans="2:10" ht="16" x14ac:dyDescent="0.2">
      <c r="C386" s="240">
        <v>34584</v>
      </c>
      <c r="D386" s="225">
        <v>0.45833333333333331</v>
      </c>
      <c r="E386">
        <v>12</v>
      </c>
      <c r="F386">
        <v>10.3</v>
      </c>
      <c r="G386">
        <v>102</v>
      </c>
      <c r="H386">
        <v>10.8</v>
      </c>
    </row>
    <row r="387" spans="2:10" ht="16" x14ac:dyDescent="0.2">
      <c r="C387" s="240">
        <v>34584</v>
      </c>
      <c r="D387" s="225">
        <v>0.45833333333333331</v>
      </c>
      <c r="E387">
        <v>13</v>
      </c>
      <c r="F387">
        <v>9.8000000000000007</v>
      </c>
      <c r="G387">
        <v>95</v>
      </c>
      <c r="H387">
        <v>9.6999999999999993</v>
      </c>
    </row>
    <row r="388" spans="2:10" ht="16" x14ac:dyDescent="0.2">
      <c r="C388" s="240">
        <v>34584</v>
      </c>
      <c r="D388" s="225">
        <v>0.45833333333333331</v>
      </c>
      <c r="E388">
        <v>14</v>
      </c>
      <c r="F388">
        <v>9.4</v>
      </c>
      <c r="G388">
        <v>88</v>
      </c>
      <c r="H388">
        <v>8.8000000000000007</v>
      </c>
    </row>
    <row r="389" spans="2:10" ht="16" x14ac:dyDescent="0.2">
      <c r="C389" s="240">
        <v>34584</v>
      </c>
      <c r="D389" s="225">
        <v>0.45833333333333331</v>
      </c>
      <c r="E389">
        <v>16</v>
      </c>
      <c r="F389">
        <v>9.1</v>
      </c>
      <c r="G389">
        <v>85</v>
      </c>
      <c r="H389">
        <v>8.3000000000000007</v>
      </c>
    </row>
    <row r="390" spans="2:10" ht="16" x14ac:dyDescent="0.2">
      <c r="C390" s="240">
        <v>34584</v>
      </c>
      <c r="D390" s="225">
        <v>0.45833333333333331</v>
      </c>
      <c r="E390">
        <v>18</v>
      </c>
      <c r="F390">
        <v>8.6999999999999993</v>
      </c>
      <c r="G390">
        <v>79</v>
      </c>
      <c r="H390">
        <v>7.3</v>
      </c>
    </row>
    <row r="391" spans="2:10" ht="16" x14ac:dyDescent="0.2">
      <c r="C391" s="240">
        <v>34584</v>
      </c>
      <c r="D391" s="225">
        <v>0.45833333333333331</v>
      </c>
      <c r="E391">
        <v>20</v>
      </c>
      <c r="F391">
        <v>8.3000000000000007</v>
      </c>
      <c r="G391">
        <v>75</v>
      </c>
      <c r="H391">
        <v>6.5</v>
      </c>
    </row>
    <row r="392" spans="2:10" ht="16" x14ac:dyDescent="0.2">
      <c r="C392" s="240">
        <v>34584</v>
      </c>
      <c r="D392" s="225">
        <v>0.45833333333333331</v>
      </c>
      <c r="E392">
        <v>25</v>
      </c>
      <c r="F392">
        <v>7.2</v>
      </c>
      <c r="G392">
        <v>64</v>
      </c>
      <c r="H392">
        <v>6.3</v>
      </c>
    </row>
    <row r="393" spans="2:10" ht="16" x14ac:dyDescent="0.2">
      <c r="C393" s="240">
        <v>34584</v>
      </c>
      <c r="D393" s="225">
        <v>0.45833333333333331</v>
      </c>
      <c r="E393">
        <v>28</v>
      </c>
      <c r="F393">
        <v>6.3</v>
      </c>
      <c r="G393">
        <v>53</v>
      </c>
      <c r="H393">
        <v>5.9</v>
      </c>
    </row>
    <row r="394" spans="2:10" ht="16" x14ac:dyDescent="0.2">
      <c r="C394" s="240"/>
      <c r="D394" s="190"/>
      <c r="F394"/>
      <c r="G394"/>
      <c r="H394"/>
    </row>
    <row r="395" spans="2:10" ht="16" x14ac:dyDescent="0.2">
      <c r="B395">
        <v>30.8</v>
      </c>
      <c r="C395" s="192">
        <v>34554</v>
      </c>
      <c r="D395" s="225">
        <v>0.4861111111111111</v>
      </c>
      <c r="F395"/>
      <c r="G395"/>
      <c r="H395"/>
      <c r="J395">
        <v>8</v>
      </c>
    </row>
    <row r="396" spans="2:10" ht="16" x14ac:dyDescent="0.2">
      <c r="C396" s="192">
        <v>34554</v>
      </c>
      <c r="D396" s="225">
        <v>0.4861111111111111</v>
      </c>
      <c r="E396">
        <v>0</v>
      </c>
      <c r="F396">
        <v>9.1</v>
      </c>
      <c r="G396">
        <v>113</v>
      </c>
      <c r="H396">
        <v>21.3</v>
      </c>
    </row>
    <row r="397" spans="2:10" ht="16" x14ac:dyDescent="0.2">
      <c r="C397" s="192">
        <v>34554</v>
      </c>
      <c r="D397" s="225">
        <v>0.4861111111111111</v>
      </c>
      <c r="E397">
        <v>2</v>
      </c>
      <c r="F397">
        <v>8.6999999999999993</v>
      </c>
      <c r="G397">
        <v>108</v>
      </c>
      <c r="H397">
        <v>21.3</v>
      </c>
    </row>
    <row r="398" spans="2:10" ht="16" x14ac:dyDescent="0.2">
      <c r="C398" s="192">
        <v>34554</v>
      </c>
      <c r="D398" s="225">
        <v>0.4861111111111111</v>
      </c>
      <c r="E398">
        <v>4</v>
      </c>
      <c r="F398">
        <v>8.4</v>
      </c>
      <c r="G398">
        <v>104</v>
      </c>
      <c r="H398">
        <v>21.3</v>
      </c>
    </row>
    <row r="399" spans="2:10" ht="16" x14ac:dyDescent="0.2">
      <c r="C399" s="192">
        <v>34554</v>
      </c>
      <c r="D399" s="225">
        <v>0.4861111111111111</v>
      </c>
      <c r="E399">
        <v>5</v>
      </c>
      <c r="F399">
        <v>8.4</v>
      </c>
      <c r="G399"/>
      <c r="H399">
        <v>21.1</v>
      </c>
    </row>
    <row r="400" spans="2:10" ht="16" x14ac:dyDescent="0.2">
      <c r="C400" s="192">
        <v>34554</v>
      </c>
      <c r="D400" s="225">
        <v>0.4861111111111111</v>
      </c>
      <c r="E400">
        <v>6</v>
      </c>
      <c r="F400">
        <v>10.5</v>
      </c>
      <c r="G400">
        <v>118</v>
      </c>
      <c r="H400">
        <v>17</v>
      </c>
    </row>
    <row r="401" spans="2:10" ht="16" x14ac:dyDescent="0.2">
      <c r="C401" s="192">
        <v>34554</v>
      </c>
      <c r="D401" s="225">
        <v>0.4861111111111111</v>
      </c>
      <c r="E401">
        <v>8</v>
      </c>
      <c r="F401">
        <v>11</v>
      </c>
      <c r="G401">
        <v>116</v>
      </c>
      <c r="H401">
        <v>13.8</v>
      </c>
    </row>
    <row r="402" spans="2:10" ht="16" x14ac:dyDescent="0.2">
      <c r="C402" s="192">
        <v>34554</v>
      </c>
      <c r="D402" s="225">
        <v>0.4861111111111111</v>
      </c>
      <c r="E402">
        <v>10</v>
      </c>
      <c r="F402">
        <v>10.9</v>
      </c>
      <c r="G402">
        <v>110</v>
      </c>
      <c r="H402">
        <v>11.6</v>
      </c>
    </row>
    <row r="403" spans="2:10" ht="16" x14ac:dyDescent="0.2">
      <c r="C403" s="192">
        <v>34554</v>
      </c>
      <c r="D403" s="225">
        <v>0.4861111111111111</v>
      </c>
      <c r="E403">
        <v>12</v>
      </c>
      <c r="F403">
        <v>10.5</v>
      </c>
      <c r="G403">
        <v>102</v>
      </c>
      <c r="H403">
        <v>0.1</v>
      </c>
    </row>
    <row r="404" spans="2:10" ht="16" x14ac:dyDescent="0.2">
      <c r="C404" s="192">
        <v>34554</v>
      </c>
      <c r="D404" s="225">
        <v>0.4861111111111111</v>
      </c>
      <c r="E404">
        <v>14</v>
      </c>
      <c r="F404">
        <v>10.199999999999999</v>
      </c>
      <c r="G404">
        <v>96</v>
      </c>
      <c r="H404">
        <v>8.9</v>
      </c>
    </row>
    <row r="405" spans="2:10" ht="16" x14ac:dyDescent="0.2">
      <c r="C405" s="192">
        <v>34554</v>
      </c>
      <c r="D405" s="225">
        <v>0.4861111111111111</v>
      </c>
      <c r="E405">
        <v>16</v>
      </c>
      <c r="F405">
        <v>9.6</v>
      </c>
      <c r="G405">
        <v>90</v>
      </c>
      <c r="H405">
        <v>8.1999999999999993</v>
      </c>
    </row>
    <row r="406" spans="2:10" ht="16" x14ac:dyDescent="0.2">
      <c r="C406" s="192">
        <v>34554</v>
      </c>
      <c r="D406" s="225">
        <v>0.4861111111111111</v>
      </c>
      <c r="E406">
        <v>18</v>
      </c>
      <c r="F406">
        <v>9.4</v>
      </c>
      <c r="G406">
        <v>86</v>
      </c>
      <c r="H406">
        <v>7.6</v>
      </c>
    </row>
    <row r="407" spans="2:10" ht="16" x14ac:dyDescent="0.2">
      <c r="C407" s="192">
        <v>34554</v>
      </c>
      <c r="D407" s="225">
        <v>0.4861111111111111</v>
      </c>
      <c r="E407">
        <v>20</v>
      </c>
      <c r="F407">
        <v>9.1999999999999993</v>
      </c>
      <c r="G407">
        <v>83</v>
      </c>
      <c r="H407">
        <v>7</v>
      </c>
    </row>
    <row r="408" spans="2:10" ht="16" x14ac:dyDescent="0.2">
      <c r="C408" s="192">
        <v>34554</v>
      </c>
      <c r="D408" s="225">
        <v>0.4861111111111111</v>
      </c>
      <c r="E408">
        <v>25</v>
      </c>
      <c r="F408">
        <v>8.8000000000000007</v>
      </c>
      <c r="G408">
        <v>80</v>
      </c>
      <c r="H408">
        <v>6.3</v>
      </c>
    </row>
    <row r="409" spans="2:10" ht="16" x14ac:dyDescent="0.2">
      <c r="C409" s="192">
        <v>34554</v>
      </c>
      <c r="D409" s="225">
        <v>0.4861111111111111</v>
      </c>
      <c r="E409">
        <v>30</v>
      </c>
      <c r="F409">
        <v>7.6</v>
      </c>
      <c r="G409">
        <v>67</v>
      </c>
      <c r="H409">
        <v>5.9</v>
      </c>
    </row>
    <row r="410" spans="2:10" ht="16" x14ac:dyDescent="0.2">
      <c r="C410" s="192"/>
      <c r="D410" s="190"/>
      <c r="F410"/>
      <c r="G410"/>
      <c r="H410"/>
    </row>
    <row r="411" spans="2:10" ht="16" x14ac:dyDescent="0.2">
      <c r="B411">
        <v>28</v>
      </c>
      <c r="C411" s="240">
        <v>34527</v>
      </c>
      <c r="D411" s="225">
        <v>0.45833333333333331</v>
      </c>
      <c r="F411"/>
      <c r="G411"/>
      <c r="H411"/>
      <c r="J411">
        <v>7.6</v>
      </c>
    </row>
    <row r="412" spans="2:10" ht="16" x14ac:dyDescent="0.2">
      <c r="C412" s="240">
        <v>34527</v>
      </c>
      <c r="D412" s="225">
        <v>0.45833333333333331</v>
      </c>
      <c r="E412">
        <v>0</v>
      </c>
      <c r="F412">
        <v>9.6</v>
      </c>
      <c r="G412">
        <v>113</v>
      </c>
      <c r="H412">
        <v>18.899999999999999</v>
      </c>
    </row>
    <row r="413" spans="2:10" ht="16" x14ac:dyDescent="0.2">
      <c r="C413" s="240">
        <v>34527</v>
      </c>
      <c r="D413" s="225">
        <v>0.45833333333333331</v>
      </c>
      <c r="E413">
        <v>2</v>
      </c>
      <c r="F413">
        <v>9.5</v>
      </c>
      <c r="G413">
        <v>112</v>
      </c>
      <c r="H413">
        <v>18.2</v>
      </c>
    </row>
    <row r="414" spans="2:10" ht="16" x14ac:dyDescent="0.2">
      <c r="C414" s="240">
        <v>34527</v>
      </c>
      <c r="D414" s="225">
        <v>0.45833333333333331</v>
      </c>
      <c r="E414">
        <v>4</v>
      </c>
      <c r="F414">
        <v>9.6999999999999993</v>
      </c>
      <c r="G414">
        <v>112</v>
      </c>
      <c r="H414">
        <v>17.899999999999999</v>
      </c>
    </row>
    <row r="415" spans="2:10" ht="16" x14ac:dyDescent="0.2">
      <c r="C415" s="240">
        <v>34527</v>
      </c>
      <c r="D415" s="225">
        <v>0.45833333333333331</v>
      </c>
      <c r="E415">
        <v>6</v>
      </c>
      <c r="F415">
        <v>10.199999999999999</v>
      </c>
      <c r="G415">
        <v>108</v>
      </c>
      <c r="H415">
        <v>14.6</v>
      </c>
    </row>
    <row r="416" spans="2:10" ht="16" x14ac:dyDescent="0.2">
      <c r="C416" s="240">
        <v>34527</v>
      </c>
      <c r="D416" s="225">
        <v>0.45833333333333331</v>
      </c>
      <c r="E416">
        <v>8</v>
      </c>
      <c r="F416">
        <v>10.5</v>
      </c>
      <c r="G416">
        <v>106</v>
      </c>
      <c r="H416">
        <v>11.9</v>
      </c>
    </row>
    <row r="417" spans="2:10" ht="16" x14ac:dyDescent="0.2">
      <c r="C417" s="240">
        <v>34527</v>
      </c>
      <c r="D417" s="225">
        <v>0.45833333333333331</v>
      </c>
      <c r="E417">
        <v>10</v>
      </c>
      <c r="F417">
        <v>10.4</v>
      </c>
      <c r="G417">
        <v>104</v>
      </c>
      <c r="H417">
        <v>11.3</v>
      </c>
    </row>
    <row r="418" spans="2:10" ht="16" x14ac:dyDescent="0.2">
      <c r="C418" s="240">
        <v>34527</v>
      </c>
      <c r="D418" s="225">
        <v>0.45833333333333331</v>
      </c>
      <c r="E418">
        <v>12</v>
      </c>
      <c r="F418">
        <v>10.199999999999999</v>
      </c>
      <c r="G418">
        <v>99</v>
      </c>
      <c r="H418">
        <v>9.8000000000000007</v>
      </c>
    </row>
    <row r="419" spans="2:10" ht="16" x14ac:dyDescent="0.2">
      <c r="C419" s="240">
        <v>34527</v>
      </c>
      <c r="D419" s="225">
        <v>0.45833333333333331</v>
      </c>
      <c r="E419">
        <v>14</v>
      </c>
      <c r="F419">
        <v>10.1</v>
      </c>
      <c r="G419">
        <v>96</v>
      </c>
      <c r="H419">
        <v>9</v>
      </c>
    </row>
    <row r="420" spans="2:10" ht="16" x14ac:dyDescent="0.2">
      <c r="C420" s="240">
        <v>34527</v>
      </c>
      <c r="D420" s="225">
        <v>0.45833333333333331</v>
      </c>
      <c r="E420">
        <v>16</v>
      </c>
      <c r="F420">
        <v>10</v>
      </c>
      <c r="G420">
        <v>93</v>
      </c>
      <c r="H420">
        <v>8.4</v>
      </c>
    </row>
    <row r="421" spans="2:10" ht="16" x14ac:dyDescent="0.2">
      <c r="C421" s="240">
        <v>34527</v>
      </c>
      <c r="D421" s="225">
        <v>0.45833333333333331</v>
      </c>
      <c r="E421">
        <v>18</v>
      </c>
      <c r="F421">
        <v>9.9</v>
      </c>
      <c r="G421">
        <v>92</v>
      </c>
      <c r="H421">
        <v>8</v>
      </c>
    </row>
    <row r="422" spans="2:10" ht="16" x14ac:dyDescent="0.2">
      <c r="C422" s="240">
        <v>34527</v>
      </c>
      <c r="D422" s="225">
        <v>0.45833333333333331</v>
      </c>
      <c r="E422">
        <v>20</v>
      </c>
      <c r="F422">
        <v>9.8000000000000007</v>
      </c>
      <c r="G422">
        <v>90</v>
      </c>
      <c r="H422">
        <v>7.5</v>
      </c>
    </row>
    <row r="423" spans="2:10" ht="16" x14ac:dyDescent="0.2">
      <c r="C423" s="240">
        <v>34527</v>
      </c>
      <c r="D423" s="225">
        <v>0.45833333333333331</v>
      </c>
      <c r="E423">
        <v>25</v>
      </c>
      <c r="F423">
        <v>9.6</v>
      </c>
      <c r="G423">
        <v>86</v>
      </c>
      <c r="H423">
        <v>6.5</v>
      </c>
    </row>
    <row r="424" spans="2:10" ht="16" x14ac:dyDescent="0.2">
      <c r="C424" s="240">
        <v>34527</v>
      </c>
      <c r="D424" s="225">
        <v>0.45833333333333331</v>
      </c>
      <c r="E424">
        <v>28</v>
      </c>
      <c r="F424">
        <v>9.1</v>
      </c>
      <c r="G424">
        <v>80</v>
      </c>
      <c r="H424">
        <v>5.9</v>
      </c>
    </row>
    <row r="425" spans="2:10" ht="16" x14ac:dyDescent="0.2">
      <c r="C425" s="240"/>
      <c r="D425" s="190"/>
      <c r="F425"/>
      <c r="G425"/>
      <c r="H425"/>
    </row>
    <row r="426" spans="2:10" ht="16" x14ac:dyDescent="0.2">
      <c r="B426">
        <v>31</v>
      </c>
      <c r="C426" s="192">
        <v>34506</v>
      </c>
      <c r="D426" s="225">
        <v>0.5</v>
      </c>
      <c r="F426"/>
      <c r="G426"/>
      <c r="H426"/>
      <c r="J426">
        <v>6.5</v>
      </c>
    </row>
    <row r="427" spans="2:10" ht="16" x14ac:dyDescent="0.2">
      <c r="C427" s="192">
        <v>34506</v>
      </c>
      <c r="D427" s="225">
        <v>0.5</v>
      </c>
      <c r="E427">
        <v>0</v>
      </c>
      <c r="F427">
        <v>11</v>
      </c>
      <c r="G427">
        <v>120</v>
      </c>
      <c r="H427">
        <v>15.4</v>
      </c>
    </row>
    <row r="428" spans="2:10" ht="16" x14ac:dyDescent="0.2">
      <c r="C428" s="192">
        <v>34506</v>
      </c>
      <c r="D428" s="225">
        <v>0.5</v>
      </c>
      <c r="E428">
        <v>2</v>
      </c>
      <c r="F428">
        <v>10.9</v>
      </c>
      <c r="G428">
        <v>114</v>
      </c>
      <c r="H428">
        <v>13.4</v>
      </c>
    </row>
    <row r="429" spans="2:10" ht="16" x14ac:dyDescent="0.2">
      <c r="C429" s="192">
        <v>34506</v>
      </c>
      <c r="D429" s="225">
        <v>0.5</v>
      </c>
      <c r="E429">
        <v>4</v>
      </c>
      <c r="F429">
        <v>10.9</v>
      </c>
      <c r="G429">
        <v>111</v>
      </c>
      <c r="H429">
        <v>12.1</v>
      </c>
    </row>
    <row r="430" spans="2:10" ht="16" x14ac:dyDescent="0.2">
      <c r="C430" s="192">
        <v>34506</v>
      </c>
      <c r="D430" s="225">
        <v>0.5</v>
      </c>
      <c r="E430">
        <v>6</v>
      </c>
      <c r="F430">
        <v>10.9</v>
      </c>
      <c r="G430">
        <v>108</v>
      </c>
      <c r="H430">
        <v>11.3</v>
      </c>
    </row>
    <row r="431" spans="2:10" ht="16" x14ac:dyDescent="0.2">
      <c r="C431" s="192">
        <v>34506</v>
      </c>
      <c r="D431" s="225">
        <v>0.5</v>
      </c>
      <c r="E431">
        <v>8</v>
      </c>
      <c r="F431">
        <v>10.7</v>
      </c>
      <c r="G431">
        <v>104</v>
      </c>
      <c r="H431">
        <v>10.199999999999999</v>
      </c>
    </row>
    <row r="432" spans="2:10" ht="16" x14ac:dyDescent="0.2">
      <c r="C432" s="192">
        <v>34506</v>
      </c>
      <c r="D432" s="225">
        <v>0.5</v>
      </c>
      <c r="E432">
        <v>10</v>
      </c>
      <c r="F432">
        <v>10.6</v>
      </c>
      <c r="G432">
        <v>102</v>
      </c>
      <c r="H432">
        <v>9.6</v>
      </c>
    </row>
    <row r="433" spans="2:10" ht="16" x14ac:dyDescent="0.2">
      <c r="C433" s="192">
        <v>34506</v>
      </c>
      <c r="D433" s="225">
        <v>0.5</v>
      </c>
      <c r="E433">
        <v>12</v>
      </c>
      <c r="F433">
        <v>10.4</v>
      </c>
      <c r="G433">
        <v>98</v>
      </c>
      <c r="H433">
        <v>8.6999999999999993</v>
      </c>
    </row>
    <row r="434" spans="2:10" ht="16" x14ac:dyDescent="0.2">
      <c r="C434" s="192">
        <v>34506</v>
      </c>
      <c r="D434" s="225">
        <v>0.5</v>
      </c>
      <c r="E434">
        <v>14</v>
      </c>
      <c r="F434">
        <v>10.4</v>
      </c>
      <c r="G434">
        <v>97</v>
      </c>
      <c r="H434">
        <v>8.3000000000000007</v>
      </c>
    </row>
    <row r="435" spans="2:10" ht="16" x14ac:dyDescent="0.2">
      <c r="C435" s="192">
        <v>34506</v>
      </c>
      <c r="D435" s="225">
        <v>0.5</v>
      </c>
      <c r="E435">
        <v>16</v>
      </c>
      <c r="F435">
        <v>10.3</v>
      </c>
      <c r="G435">
        <v>94</v>
      </c>
      <c r="H435">
        <v>7.4</v>
      </c>
    </row>
    <row r="436" spans="2:10" ht="16" x14ac:dyDescent="0.2">
      <c r="C436" s="192">
        <v>34506</v>
      </c>
      <c r="D436" s="225">
        <v>0.5</v>
      </c>
      <c r="E436">
        <v>18</v>
      </c>
      <c r="F436">
        <v>10.199999999999999</v>
      </c>
      <c r="G436">
        <v>92</v>
      </c>
      <c r="H436">
        <v>6.9</v>
      </c>
    </row>
    <row r="437" spans="2:10" ht="16" x14ac:dyDescent="0.2">
      <c r="C437" s="192">
        <v>34506</v>
      </c>
      <c r="D437" s="225">
        <v>0.5</v>
      </c>
      <c r="E437">
        <v>20</v>
      </c>
      <c r="F437">
        <v>10.1</v>
      </c>
      <c r="G437">
        <v>90</v>
      </c>
      <c r="H437">
        <v>6.4</v>
      </c>
    </row>
    <row r="438" spans="2:10" ht="16" x14ac:dyDescent="0.2">
      <c r="C438" s="192">
        <v>34506</v>
      </c>
      <c r="D438" s="225">
        <v>0.5</v>
      </c>
      <c r="E438">
        <v>25</v>
      </c>
      <c r="F438">
        <v>10</v>
      </c>
      <c r="G438">
        <v>87</v>
      </c>
      <c r="H438">
        <v>5.6</v>
      </c>
    </row>
    <row r="439" spans="2:10" ht="16" x14ac:dyDescent="0.2">
      <c r="C439" s="192">
        <v>34506</v>
      </c>
      <c r="D439" s="225">
        <v>0.5</v>
      </c>
      <c r="E439">
        <v>30</v>
      </c>
      <c r="F439">
        <v>9.5</v>
      </c>
      <c r="G439">
        <v>82</v>
      </c>
      <c r="H439">
        <v>5.2</v>
      </c>
    </row>
    <row r="440" spans="2:10" ht="16" x14ac:dyDescent="0.2">
      <c r="C440" s="192"/>
      <c r="D440" s="190"/>
      <c r="F440"/>
      <c r="G440"/>
      <c r="H440"/>
    </row>
    <row r="441" spans="2:10" ht="16" x14ac:dyDescent="0.2">
      <c r="B441">
        <v>31.1</v>
      </c>
      <c r="C441" s="240">
        <v>34487</v>
      </c>
      <c r="D441" s="225">
        <v>0.5</v>
      </c>
      <c r="F441"/>
      <c r="G441"/>
      <c r="H441"/>
      <c r="J441">
        <v>7.4</v>
      </c>
    </row>
    <row r="442" spans="2:10" ht="16" x14ac:dyDescent="0.2">
      <c r="C442" s="240">
        <v>34487</v>
      </c>
      <c r="D442" s="225">
        <v>0.5</v>
      </c>
      <c r="E442">
        <v>0</v>
      </c>
      <c r="F442">
        <v>11.9</v>
      </c>
      <c r="G442">
        <v>117</v>
      </c>
      <c r="H442">
        <v>10.8</v>
      </c>
    </row>
    <row r="443" spans="2:10" ht="16" x14ac:dyDescent="0.2">
      <c r="C443" s="240">
        <v>34487</v>
      </c>
      <c r="D443" s="225">
        <v>0.5</v>
      </c>
      <c r="E443">
        <v>2</v>
      </c>
      <c r="F443">
        <v>11.2</v>
      </c>
      <c r="G443">
        <v>108</v>
      </c>
      <c r="H443">
        <v>10.199999999999999</v>
      </c>
    </row>
    <row r="444" spans="2:10" ht="16" x14ac:dyDescent="0.2">
      <c r="C444" s="240">
        <v>34487</v>
      </c>
      <c r="D444" s="225">
        <v>0.5</v>
      </c>
      <c r="E444">
        <v>4</v>
      </c>
      <c r="F444">
        <v>11</v>
      </c>
      <c r="G444">
        <v>106</v>
      </c>
      <c r="H444">
        <v>9.9</v>
      </c>
    </row>
    <row r="445" spans="2:10" ht="16" x14ac:dyDescent="0.2">
      <c r="C445" s="240">
        <v>34487</v>
      </c>
      <c r="D445" s="225">
        <v>0.5</v>
      </c>
      <c r="E445">
        <v>6</v>
      </c>
      <c r="F445">
        <v>10.8</v>
      </c>
      <c r="G445">
        <v>103</v>
      </c>
      <c r="H445">
        <v>9.5</v>
      </c>
    </row>
    <row r="446" spans="2:10" ht="16" x14ac:dyDescent="0.2">
      <c r="C446" s="240">
        <v>34487</v>
      </c>
      <c r="D446" s="225">
        <v>0.5</v>
      </c>
      <c r="E446">
        <v>8</v>
      </c>
      <c r="F446">
        <v>10.9</v>
      </c>
      <c r="G446">
        <v>103</v>
      </c>
      <c r="H446">
        <v>9.1</v>
      </c>
    </row>
    <row r="447" spans="2:10" ht="16" x14ac:dyDescent="0.2">
      <c r="C447" s="240">
        <v>34487</v>
      </c>
      <c r="D447" s="225">
        <v>0.5</v>
      </c>
      <c r="E447">
        <v>10</v>
      </c>
      <c r="F447">
        <v>10.8</v>
      </c>
      <c r="G447">
        <v>101</v>
      </c>
      <c r="H447">
        <v>8.8000000000000007</v>
      </c>
    </row>
    <row r="448" spans="2:10" ht="16" x14ac:dyDescent="0.2">
      <c r="C448" s="240">
        <v>34487</v>
      </c>
      <c r="D448" s="225">
        <v>0.5</v>
      </c>
      <c r="E448">
        <v>12</v>
      </c>
      <c r="F448">
        <v>10.7</v>
      </c>
      <c r="G448">
        <v>98</v>
      </c>
      <c r="H448">
        <v>7.3</v>
      </c>
    </row>
    <row r="449" spans="2:10" ht="16" x14ac:dyDescent="0.2">
      <c r="C449" s="240">
        <v>34487</v>
      </c>
      <c r="D449" s="225">
        <v>0.5</v>
      </c>
      <c r="E449">
        <v>14</v>
      </c>
      <c r="F449">
        <v>10.7</v>
      </c>
      <c r="G449">
        <v>95</v>
      </c>
      <c r="H449">
        <v>6.3</v>
      </c>
    </row>
    <row r="450" spans="2:10" ht="16" x14ac:dyDescent="0.2">
      <c r="C450" s="240">
        <v>34487</v>
      </c>
      <c r="D450" s="225">
        <v>0.5</v>
      </c>
      <c r="E450">
        <v>20</v>
      </c>
      <c r="F450">
        <v>10.4</v>
      </c>
      <c r="G450">
        <v>90</v>
      </c>
      <c r="H450">
        <v>5.5</v>
      </c>
    </row>
    <row r="451" spans="2:10" ht="16" x14ac:dyDescent="0.2">
      <c r="C451" s="240">
        <v>34487</v>
      </c>
      <c r="D451" s="225">
        <v>0.5</v>
      </c>
      <c r="E451">
        <v>25</v>
      </c>
      <c r="F451">
        <v>10.199999999999999</v>
      </c>
      <c r="G451">
        <v>88</v>
      </c>
      <c r="H451">
        <v>5.0999999999999996</v>
      </c>
    </row>
    <row r="452" spans="2:10" ht="16" x14ac:dyDescent="0.2">
      <c r="C452" s="240">
        <v>34487</v>
      </c>
      <c r="D452" s="225">
        <v>0.5</v>
      </c>
      <c r="E452">
        <v>30</v>
      </c>
      <c r="F452">
        <v>10</v>
      </c>
      <c r="G452">
        <v>85</v>
      </c>
      <c r="H452">
        <v>4.8</v>
      </c>
    </row>
    <row r="453" spans="2:10" ht="16" x14ac:dyDescent="0.2">
      <c r="C453" s="240"/>
      <c r="D453" s="190"/>
      <c r="F453"/>
      <c r="G453"/>
      <c r="H453"/>
    </row>
    <row r="454" spans="2:10" ht="16" x14ac:dyDescent="0.2">
      <c r="B454">
        <v>31</v>
      </c>
      <c r="C454" s="240">
        <v>34472</v>
      </c>
      <c r="D454" s="225">
        <v>0.54166666666666663</v>
      </c>
      <c r="F454"/>
      <c r="G454"/>
      <c r="H454"/>
      <c r="J454">
        <v>5.6</v>
      </c>
    </row>
    <row r="455" spans="2:10" ht="16" x14ac:dyDescent="0.2">
      <c r="C455" s="240">
        <v>34472</v>
      </c>
      <c r="D455" s="225">
        <v>0.54166666666666663</v>
      </c>
      <c r="E455">
        <v>0</v>
      </c>
      <c r="F455">
        <v>11.2</v>
      </c>
      <c r="G455">
        <v>103</v>
      </c>
      <c r="H455">
        <v>9.6</v>
      </c>
    </row>
    <row r="456" spans="2:10" ht="16" x14ac:dyDescent="0.2">
      <c r="C456" s="240">
        <v>34472</v>
      </c>
      <c r="D456" s="225">
        <v>0.54166666666666663</v>
      </c>
      <c r="E456">
        <v>5</v>
      </c>
      <c r="F456">
        <v>11.4</v>
      </c>
      <c r="G456">
        <v>106</v>
      </c>
      <c r="H456">
        <v>8.6</v>
      </c>
    </row>
    <row r="457" spans="2:10" ht="16" x14ac:dyDescent="0.2">
      <c r="C457" s="240">
        <v>34472</v>
      </c>
      <c r="D457" s="225">
        <v>0.54166666666666663</v>
      </c>
      <c r="E457">
        <v>10</v>
      </c>
      <c r="F457">
        <v>11</v>
      </c>
      <c r="G457">
        <v>101</v>
      </c>
      <c r="H457">
        <v>7.7</v>
      </c>
    </row>
    <row r="458" spans="2:10" ht="16" x14ac:dyDescent="0.2">
      <c r="C458" s="240">
        <v>34472</v>
      </c>
      <c r="D458" s="225">
        <v>0.54166666666666663</v>
      </c>
      <c r="E458">
        <v>15</v>
      </c>
      <c r="F458">
        <v>11</v>
      </c>
      <c r="G458">
        <v>98</v>
      </c>
      <c r="H458">
        <v>6.7</v>
      </c>
    </row>
    <row r="459" spans="2:10" ht="16" x14ac:dyDescent="0.2">
      <c r="C459" s="240">
        <v>34472</v>
      </c>
      <c r="D459" s="225">
        <v>0.54166666666666663</v>
      </c>
      <c r="E459">
        <v>20</v>
      </c>
      <c r="F459">
        <v>11</v>
      </c>
      <c r="G459">
        <v>97</v>
      </c>
      <c r="H459">
        <v>6.1</v>
      </c>
    </row>
    <row r="460" spans="2:10" ht="16" x14ac:dyDescent="0.2">
      <c r="C460" s="240">
        <v>34472</v>
      </c>
      <c r="D460" s="225">
        <v>0.54166666666666663</v>
      </c>
      <c r="E460">
        <v>25</v>
      </c>
      <c r="F460">
        <v>10.199999999999999</v>
      </c>
      <c r="G460">
        <v>93</v>
      </c>
      <c r="H460">
        <v>5.2</v>
      </c>
    </row>
    <row r="461" spans="2:10" ht="16" x14ac:dyDescent="0.2">
      <c r="C461" s="240">
        <v>34472</v>
      </c>
      <c r="D461" s="225">
        <v>0.54166666666666663</v>
      </c>
      <c r="E461">
        <v>30</v>
      </c>
      <c r="F461">
        <v>10.4</v>
      </c>
      <c r="G461">
        <v>89</v>
      </c>
      <c r="H461">
        <v>4.8</v>
      </c>
    </row>
    <row r="462" spans="2:10" ht="16" x14ac:dyDescent="0.2">
      <c r="C462" s="240"/>
      <c r="D462" s="190"/>
      <c r="F462"/>
      <c r="G462"/>
      <c r="H462"/>
    </row>
    <row r="463" spans="2:10" ht="16" x14ac:dyDescent="0.2">
      <c r="B463">
        <v>30</v>
      </c>
      <c r="C463" s="240">
        <v>34450</v>
      </c>
      <c r="D463" s="225">
        <v>0.54166666666666663</v>
      </c>
      <c r="F463"/>
      <c r="G463"/>
      <c r="H463"/>
      <c r="J463">
        <v>4.3</v>
      </c>
    </row>
    <row r="464" spans="2:10" ht="16" x14ac:dyDescent="0.2">
      <c r="C464" s="240">
        <v>34450</v>
      </c>
      <c r="D464" s="225">
        <v>0.54166666666666663</v>
      </c>
      <c r="E464">
        <v>0</v>
      </c>
      <c r="F464">
        <v>11.8</v>
      </c>
      <c r="G464">
        <v>105</v>
      </c>
      <c r="H464">
        <v>6.5</v>
      </c>
    </row>
    <row r="465" spans="2:10" ht="16" x14ac:dyDescent="0.2">
      <c r="C465" s="240">
        <v>34450</v>
      </c>
      <c r="D465" s="225">
        <v>0.54166666666666663</v>
      </c>
      <c r="E465">
        <v>5</v>
      </c>
      <c r="F465">
        <v>11.6</v>
      </c>
      <c r="G465">
        <v>100</v>
      </c>
      <c r="H465">
        <v>5.3</v>
      </c>
    </row>
    <row r="466" spans="2:10" ht="16" x14ac:dyDescent="0.2">
      <c r="C466" s="240">
        <v>34450</v>
      </c>
      <c r="D466" s="225">
        <v>0.54166666666666663</v>
      </c>
      <c r="E466">
        <v>10</v>
      </c>
      <c r="F466">
        <v>11.4</v>
      </c>
      <c r="G466">
        <v>98</v>
      </c>
      <c r="H466">
        <v>5.0999999999999996</v>
      </c>
    </row>
    <row r="467" spans="2:10" ht="16" x14ac:dyDescent="0.2">
      <c r="C467" s="240">
        <v>34450</v>
      </c>
      <c r="D467" s="225">
        <v>0.54166666666666663</v>
      </c>
      <c r="E467">
        <v>15</v>
      </c>
      <c r="F467">
        <v>11.3</v>
      </c>
      <c r="G467">
        <v>97</v>
      </c>
      <c r="H467">
        <v>5</v>
      </c>
    </row>
    <row r="468" spans="2:10" ht="16" x14ac:dyDescent="0.2">
      <c r="C468" s="240">
        <v>34450</v>
      </c>
      <c r="D468" s="225">
        <v>0.54166666666666663</v>
      </c>
      <c r="E468">
        <v>20</v>
      </c>
      <c r="F468">
        <v>11.2</v>
      </c>
      <c r="G468"/>
      <c r="H468">
        <v>4.5999999999999996</v>
      </c>
    </row>
    <row r="469" spans="2:10" ht="16" x14ac:dyDescent="0.2">
      <c r="C469" s="240">
        <v>34450</v>
      </c>
      <c r="D469" s="225">
        <v>0.54166666666666663</v>
      </c>
      <c r="E469">
        <v>25</v>
      </c>
      <c r="F469">
        <v>11.2</v>
      </c>
      <c r="G469">
        <v>95</v>
      </c>
      <c r="H469">
        <v>4.5</v>
      </c>
    </row>
    <row r="470" spans="2:10" ht="16" x14ac:dyDescent="0.2">
      <c r="C470" s="240">
        <v>34450</v>
      </c>
      <c r="D470" s="225">
        <v>0.54166666666666663</v>
      </c>
      <c r="E470">
        <v>28</v>
      </c>
      <c r="F470">
        <v>11</v>
      </c>
      <c r="G470">
        <v>93</v>
      </c>
      <c r="H470">
        <v>4.5</v>
      </c>
    </row>
    <row r="471" spans="2:10" ht="16" x14ac:dyDescent="0.2">
      <c r="C471" s="190"/>
      <c r="D471" s="190"/>
      <c r="F471"/>
      <c r="G471"/>
      <c r="H471"/>
    </row>
    <row r="472" spans="2:10" ht="16" x14ac:dyDescent="0.2">
      <c r="B472">
        <v>30</v>
      </c>
      <c r="C472" s="240">
        <v>34254</v>
      </c>
      <c r="D472" s="225">
        <v>0.43055555555555558</v>
      </c>
      <c r="F472"/>
      <c r="G472"/>
      <c r="H472"/>
      <c r="J472">
        <v>9.4</v>
      </c>
    </row>
    <row r="473" spans="2:10" ht="16" x14ac:dyDescent="0.2">
      <c r="C473" s="240">
        <v>34254</v>
      </c>
      <c r="D473" s="225">
        <v>0.43055555555555558</v>
      </c>
      <c r="E473">
        <v>0</v>
      </c>
      <c r="F473">
        <v>9.43</v>
      </c>
      <c r="G473">
        <v>88</v>
      </c>
      <c r="H473">
        <v>12.74</v>
      </c>
    </row>
    <row r="474" spans="2:10" ht="16" x14ac:dyDescent="0.2">
      <c r="C474" s="240">
        <v>34254</v>
      </c>
      <c r="D474" s="225">
        <v>0.43055555555555558</v>
      </c>
      <c r="E474">
        <v>2</v>
      </c>
      <c r="F474">
        <v>9.66</v>
      </c>
      <c r="G474">
        <v>101</v>
      </c>
      <c r="H474">
        <v>12.74</v>
      </c>
    </row>
    <row r="475" spans="2:10" ht="16" x14ac:dyDescent="0.2">
      <c r="C475" s="240">
        <v>34254</v>
      </c>
      <c r="D475" s="225">
        <v>0.43055555555555558</v>
      </c>
      <c r="E475">
        <v>4</v>
      </c>
      <c r="F475">
        <v>9.7100000000000009</v>
      </c>
      <c r="G475">
        <v>101</v>
      </c>
      <c r="H475">
        <v>12.75</v>
      </c>
    </row>
    <row r="476" spans="2:10" ht="16" x14ac:dyDescent="0.2">
      <c r="C476" s="240">
        <v>34254</v>
      </c>
      <c r="D476" s="225">
        <v>0.43055555555555558</v>
      </c>
      <c r="E476">
        <v>6</v>
      </c>
      <c r="F476">
        <v>9.7100000000000009</v>
      </c>
      <c r="G476">
        <v>101</v>
      </c>
      <c r="H476">
        <v>12.75</v>
      </c>
    </row>
    <row r="477" spans="2:10" ht="16" x14ac:dyDescent="0.2">
      <c r="C477" s="240">
        <v>34254</v>
      </c>
      <c r="D477" s="225">
        <v>0.43055555555555558</v>
      </c>
      <c r="E477">
        <v>8</v>
      </c>
      <c r="F477">
        <v>9.7200000000000006</v>
      </c>
      <c r="G477">
        <v>101</v>
      </c>
      <c r="H477">
        <v>12.74</v>
      </c>
    </row>
    <row r="478" spans="2:10" ht="16" x14ac:dyDescent="0.2">
      <c r="C478" s="240">
        <v>34254</v>
      </c>
      <c r="D478" s="225">
        <v>0.43055555555555558</v>
      </c>
      <c r="E478">
        <v>10</v>
      </c>
      <c r="F478">
        <v>9.73</v>
      </c>
      <c r="G478">
        <v>101</v>
      </c>
      <c r="H478">
        <v>12.71</v>
      </c>
    </row>
    <row r="479" spans="2:10" ht="16" x14ac:dyDescent="0.2">
      <c r="C479" s="240">
        <v>34254</v>
      </c>
      <c r="D479" s="225">
        <v>0.43055555555555558</v>
      </c>
      <c r="E479">
        <v>12</v>
      </c>
      <c r="F479">
        <v>9.8000000000000007</v>
      </c>
      <c r="G479">
        <v>102</v>
      </c>
      <c r="H479">
        <v>12.69</v>
      </c>
    </row>
    <row r="480" spans="2:10" ht="16" x14ac:dyDescent="0.2">
      <c r="C480" s="240">
        <v>34254</v>
      </c>
      <c r="D480" s="225">
        <v>0.43055555555555558</v>
      </c>
      <c r="E480">
        <v>14</v>
      </c>
      <c r="F480">
        <v>9.58</v>
      </c>
      <c r="G480">
        <v>95</v>
      </c>
      <c r="H480">
        <v>11</v>
      </c>
    </row>
    <row r="481" spans="2:10" ht="16" x14ac:dyDescent="0.2">
      <c r="C481" s="240">
        <v>34254</v>
      </c>
      <c r="D481" s="225">
        <v>0.43055555555555558</v>
      </c>
      <c r="E481">
        <v>16</v>
      </c>
      <c r="F481">
        <v>9.35</v>
      </c>
      <c r="G481">
        <v>91</v>
      </c>
      <c r="H481">
        <v>9.7799999999999994</v>
      </c>
    </row>
    <row r="482" spans="2:10" ht="16" x14ac:dyDescent="0.2">
      <c r="C482" s="240">
        <v>34254</v>
      </c>
      <c r="D482" s="225">
        <v>0.43055555555555558</v>
      </c>
      <c r="E482">
        <v>18</v>
      </c>
      <c r="F482">
        <v>9.19</v>
      </c>
      <c r="G482">
        <v>87</v>
      </c>
      <c r="H482">
        <v>8.9</v>
      </c>
    </row>
    <row r="483" spans="2:10" ht="16" x14ac:dyDescent="0.2">
      <c r="C483" s="240">
        <v>34254</v>
      </c>
      <c r="D483" s="225">
        <v>0.43055555555555558</v>
      </c>
      <c r="E483">
        <v>20</v>
      </c>
      <c r="F483">
        <v>8.85</v>
      </c>
      <c r="G483">
        <v>82</v>
      </c>
      <c r="H483">
        <v>7.91</v>
      </c>
    </row>
    <row r="484" spans="2:10" ht="16" x14ac:dyDescent="0.2">
      <c r="C484" s="240">
        <v>34254</v>
      </c>
      <c r="D484" s="225">
        <v>0.43055555555555558</v>
      </c>
      <c r="E484">
        <v>25</v>
      </c>
      <c r="F484">
        <v>8.19</v>
      </c>
      <c r="G484">
        <v>74</v>
      </c>
      <c r="H484">
        <v>6.66</v>
      </c>
    </row>
    <row r="485" spans="2:10" ht="16" x14ac:dyDescent="0.2">
      <c r="C485" s="240">
        <v>34254</v>
      </c>
      <c r="D485" s="225">
        <v>0.43055555555555558</v>
      </c>
      <c r="E485">
        <v>28</v>
      </c>
      <c r="F485">
        <v>7.23</v>
      </c>
      <c r="G485">
        <v>65</v>
      </c>
      <c r="H485">
        <v>6.33</v>
      </c>
    </row>
    <row r="486" spans="2:10" ht="16" x14ac:dyDescent="0.2">
      <c r="C486" s="240"/>
      <c r="D486" s="225"/>
      <c r="F486"/>
      <c r="G486"/>
      <c r="H486"/>
    </row>
    <row r="487" spans="2:10" ht="16" x14ac:dyDescent="0.2">
      <c r="B487">
        <v>30.5</v>
      </c>
      <c r="C487" s="240">
        <v>34226</v>
      </c>
      <c r="D487" s="225">
        <v>0.4861111111111111</v>
      </c>
      <c r="F487"/>
      <c r="G487"/>
      <c r="H487"/>
      <c r="J487">
        <v>11</v>
      </c>
    </row>
    <row r="488" spans="2:10" ht="16" x14ac:dyDescent="0.2">
      <c r="C488" s="240">
        <v>34226</v>
      </c>
      <c r="D488" s="225">
        <v>0.4861111111111111</v>
      </c>
      <c r="E488">
        <v>0</v>
      </c>
      <c r="F488">
        <v>8.6999999999999993</v>
      </c>
      <c r="G488">
        <v>98</v>
      </c>
      <c r="H488">
        <v>16.5</v>
      </c>
    </row>
    <row r="489" spans="2:10" ht="16" x14ac:dyDescent="0.2">
      <c r="C489" s="240">
        <v>34226</v>
      </c>
      <c r="D489" s="225">
        <v>0.4861111111111111</v>
      </c>
      <c r="E489">
        <v>2</v>
      </c>
      <c r="F489">
        <v>8.8000000000000007</v>
      </c>
      <c r="G489">
        <v>99</v>
      </c>
      <c r="H489">
        <v>16.3</v>
      </c>
    </row>
    <row r="490" spans="2:10" ht="16" x14ac:dyDescent="0.2">
      <c r="C490" s="240">
        <v>34226</v>
      </c>
      <c r="D490" s="225">
        <v>0.4861111111111111</v>
      </c>
      <c r="E490">
        <v>4</v>
      </c>
      <c r="F490">
        <v>8.8000000000000007</v>
      </c>
      <c r="G490">
        <v>99</v>
      </c>
      <c r="H490">
        <v>16.3</v>
      </c>
    </row>
    <row r="491" spans="2:10" ht="16" x14ac:dyDescent="0.2">
      <c r="C491" s="240">
        <v>34226</v>
      </c>
      <c r="D491" s="225">
        <v>0.4861111111111111</v>
      </c>
      <c r="E491">
        <v>6</v>
      </c>
      <c r="F491">
        <v>8.8000000000000007</v>
      </c>
      <c r="G491">
        <v>99</v>
      </c>
      <c r="H491">
        <v>16.2</v>
      </c>
    </row>
    <row r="492" spans="2:10" ht="16" x14ac:dyDescent="0.2">
      <c r="C492" s="240">
        <v>34226</v>
      </c>
      <c r="D492" s="225">
        <v>0.4861111111111111</v>
      </c>
      <c r="E492">
        <v>8</v>
      </c>
      <c r="F492">
        <v>9</v>
      </c>
      <c r="G492">
        <v>100</v>
      </c>
      <c r="H492">
        <v>15.7</v>
      </c>
    </row>
    <row r="493" spans="2:10" ht="16" x14ac:dyDescent="0.2">
      <c r="C493" s="240">
        <v>34226</v>
      </c>
      <c r="D493" s="225">
        <v>0.4861111111111111</v>
      </c>
      <c r="E493">
        <v>10</v>
      </c>
      <c r="F493">
        <v>9.3000000000000007</v>
      </c>
      <c r="G493">
        <v>97</v>
      </c>
      <c r="H493">
        <v>12.8</v>
      </c>
    </row>
    <row r="494" spans="2:10" ht="16" x14ac:dyDescent="0.2">
      <c r="C494" s="240">
        <v>34226</v>
      </c>
      <c r="D494" s="225">
        <v>0.4861111111111111</v>
      </c>
      <c r="E494">
        <v>12</v>
      </c>
      <c r="F494">
        <v>9</v>
      </c>
      <c r="G494">
        <v>88</v>
      </c>
      <c r="H494">
        <v>9.9</v>
      </c>
    </row>
    <row r="495" spans="2:10" ht="16" x14ac:dyDescent="0.2">
      <c r="C495" s="240">
        <v>34226</v>
      </c>
      <c r="D495" s="225">
        <v>0.4861111111111111</v>
      </c>
      <c r="E495">
        <v>14</v>
      </c>
      <c r="F495">
        <v>9</v>
      </c>
      <c r="G495">
        <v>85</v>
      </c>
      <c r="H495">
        <v>9</v>
      </c>
    </row>
    <row r="496" spans="2:10" ht="16" x14ac:dyDescent="0.2">
      <c r="C496" s="240">
        <v>34226</v>
      </c>
      <c r="D496" s="225">
        <v>0.4861111111111111</v>
      </c>
      <c r="E496">
        <v>16</v>
      </c>
      <c r="F496">
        <v>8.8000000000000007</v>
      </c>
      <c r="G496">
        <v>82</v>
      </c>
      <c r="H496">
        <v>8.3000000000000007</v>
      </c>
    </row>
    <row r="497" spans="2:10" ht="16" x14ac:dyDescent="0.2">
      <c r="C497" s="240">
        <v>34226</v>
      </c>
      <c r="D497" s="225">
        <v>0.4861111111111111</v>
      </c>
      <c r="E497">
        <v>20</v>
      </c>
      <c r="F497">
        <v>8.6</v>
      </c>
      <c r="G497">
        <v>80</v>
      </c>
      <c r="H497">
        <v>7.7</v>
      </c>
    </row>
    <row r="498" spans="2:10" ht="16" x14ac:dyDescent="0.2">
      <c r="C498" s="240">
        <v>34226</v>
      </c>
      <c r="D498" s="225">
        <v>0.4861111111111111</v>
      </c>
      <c r="E498">
        <v>25</v>
      </c>
      <c r="F498">
        <v>8.1</v>
      </c>
      <c r="G498">
        <v>73</v>
      </c>
      <c r="H498">
        <v>6.8</v>
      </c>
    </row>
    <row r="499" spans="2:10" ht="16" x14ac:dyDescent="0.2">
      <c r="C499" s="240">
        <v>34226</v>
      </c>
      <c r="D499" s="225">
        <v>0.4861111111111111</v>
      </c>
      <c r="E499">
        <v>29</v>
      </c>
      <c r="F499">
        <v>7.4</v>
      </c>
      <c r="G499">
        <v>66</v>
      </c>
      <c r="H499">
        <v>6.2</v>
      </c>
    </row>
    <row r="500" spans="2:10" ht="16" x14ac:dyDescent="0.2">
      <c r="C500" s="240"/>
      <c r="D500" s="225"/>
      <c r="F500"/>
      <c r="G500"/>
      <c r="H500"/>
    </row>
    <row r="501" spans="2:10" ht="16" x14ac:dyDescent="0.2">
      <c r="B501">
        <v>26.5</v>
      </c>
      <c r="C501" s="240">
        <v>34198</v>
      </c>
      <c r="D501" s="225">
        <v>0.41666666666666669</v>
      </c>
      <c r="F501"/>
      <c r="G501"/>
      <c r="H501"/>
      <c r="J501">
        <v>6.5</v>
      </c>
    </row>
    <row r="502" spans="2:10" ht="16" x14ac:dyDescent="0.2">
      <c r="C502" s="240">
        <v>34198</v>
      </c>
      <c r="D502" s="225">
        <v>0.41666666666666669</v>
      </c>
      <c r="E502">
        <v>0</v>
      </c>
      <c r="F502">
        <v>9.17</v>
      </c>
      <c r="G502">
        <v>106</v>
      </c>
      <c r="H502">
        <v>17.73</v>
      </c>
    </row>
    <row r="503" spans="2:10" ht="16" x14ac:dyDescent="0.2">
      <c r="C503" s="240">
        <v>34198</v>
      </c>
      <c r="D503" s="225">
        <v>0.41666666666666669</v>
      </c>
      <c r="E503">
        <v>2</v>
      </c>
      <c r="F503">
        <v>8.8800000000000008</v>
      </c>
      <c r="G503">
        <v>103</v>
      </c>
      <c r="H503">
        <v>17.7</v>
      </c>
    </row>
    <row r="504" spans="2:10" ht="16" x14ac:dyDescent="0.2">
      <c r="C504" s="240">
        <v>34198</v>
      </c>
      <c r="D504" s="225">
        <v>0.41666666666666669</v>
      </c>
      <c r="E504">
        <v>4</v>
      </c>
      <c r="F504">
        <v>8.91</v>
      </c>
      <c r="G504">
        <v>102</v>
      </c>
      <c r="H504">
        <v>17.41</v>
      </c>
    </row>
    <row r="505" spans="2:10" ht="16" x14ac:dyDescent="0.2">
      <c r="C505" s="240">
        <v>34198</v>
      </c>
      <c r="D505" s="225">
        <v>0.41666666666666669</v>
      </c>
      <c r="E505">
        <v>6</v>
      </c>
      <c r="F505">
        <v>9.19</v>
      </c>
      <c r="G505">
        <v>104</v>
      </c>
      <c r="H505">
        <v>16.579999999999998</v>
      </c>
    </row>
    <row r="506" spans="2:10" ht="16" x14ac:dyDescent="0.2">
      <c r="C506" s="240">
        <v>34198</v>
      </c>
      <c r="D506" s="225">
        <v>0.41666666666666669</v>
      </c>
      <c r="E506">
        <v>8</v>
      </c>
      <c r="F506">
        <v>9.42</v>
      </c>
      <c r="G506">
        <v>102</v>
      </c>
      <c r="H506">
        <v>15.17</v>
      </c>
    </row>
    <row r="507" spans="2:10" ht="16" x14ac:dyDescent="0.2">
      <c r="C507" s="240">
        <v>34198</v>
      </c>
      <c r="D507" s="225">
        <v>0.41666666666666669</v>
      </c>
      <c r="E507">
        <v>10</v>
      </c>
      <c r="F507">
        <v>9.8000000000000007</v>
      </c>
      <c r="G507">
        <v>99</v>
      </c>
      <c r="H507">
        <v>11.68</v>
      </c>
    </row>
    <row r="508" spans="2:10" ht="16" x14ac:dyDescent="0.2">
      <c r="C508" s="240">
        <v>34198</v>
      </c>
      <c r="D508" s="225">
        <v>0.41666666666666669</v>
      </c>
      <c r="E508">
        <v>14</v>
      </c>
      <c r="F508">
        <v>9.94</v>
      </c>
      <c r="G508">
        <v>94</v>
      </c>
      <c r="H508">
        <v>9.1199999999999992</v>
      </c>
    </row>
    <row r="509" spans="2:10" ht="16" x14ac:dyDescent="0.2">
      <c r="C509" s="240">
        <v>34198</v>
      </c>
      <c r="D509" s="225">
        <v>0.41666666666666669</v>
      </c>
      <c r="E509">
        <v>15</v>
      </c>
      <c r="F509">
        <v>9.6999999999999993</v>
      </c>
      <c r="G509">
        <v>90</v>
      </c>
      <c r="H509">
        <v>7.99</v>
      </c>
    </row>
    <row r="510" spans="2:10" ht="16" x14ac:dyDescent="0.2">
      <c r="C510" s="240">
        <v>34198</v>
      </c>
      <c r="D510" s="225">
        <v>0.41666666666666669</v>
      </c>
      <c r="E510">
        <v>20</v>
      </c>
      <c r="F510">
        <v>9.68</v>
      </c>
      <c r="G510">
        <v>87</v>
      </c>
      <c r="H510">
        <v>6.78</v>
      </c>
    </row>
    <row r="511" spans="2:10" ht="16" x14ac:dyDescent="0.2">
      <c r="C511" s="240">
        <v>34198</v>
      </c>
      <c r="D511" s="225">
        <v>0.41666666666666669</v>
      </c>
      <c r="E511">
        <v>25</v>
      </c>
      <c r="F511">
        <v>9.1999999999999993</v>
      </c>
      <c r="G511">
        <v>81</v>
      </c>
      <c r="H511">
        <v>5.97</v>
      </c>
    </row>
    <row r="512" spans="2:10" ht="16" x14ac:dyDescent="0.2">
      <c r="C512" s="240"/>
      <c r="D512" s="190"/>
      <c r="F512"/>
      <c r="G512"/>
      <c r="H512"/>
    </row>
    <row r="513" spans="2:10" ht="16" x14ac:dyDescent="0.2">
      <c r="B513">
        <v>27</v>
      </c>
      <c r="C513" s="240">
        <v>34177</v>
      </c>
      <c r="D513" s="225">
        <v>0.44444444444444442</v>
      </c>
      <c r="F513"/>
      <c r="G513"/>
      <c r="H513"/>
      <c r="J513">
        <v>6.7</v>
      </c>
    </row>
    <row r="514" spans="2:10" ht="16" x14ac:dyDescent="0.2">
      <c r="C514" s="240">
        <v>34177</v>
      </c>
      <c r="D514" s="225">
        <v>0.44444444444444442</v>
      </c>
      <c r="E514">
        <v>0</v>
      </c>
      <c r="F514">
        <v>9.99</v>
      </c>
      <c r="G514"/>
      <c r="H514">
        <v>16</v>
      </c>
    </row>
    <row r="515" spans="2:10" ht="16" x14ac:dyDescent="0.2">
      <c r="C515" s="240">
        <v>34177</v>
      </c>
      <c r="D515" s="225">
        <v>0.44444444444444442</v>
      </c>
      <c r="E515">
        <v>2</v>
      </c>
      <c r="F515">
        <v>9.81</v>
      </c>
      <c r="G515"/>
      <c r="H515">
        <v>15.58</v>
      </c>
    </row>
    <row r="516" spans="2:10" ht="16" x14ac:dyDescent="0.2">
      <c r="C516" s="240">
        <v>34177</v>
      </c>
      <c r="D516" s="225">
        <v>0.44444444444444442</v>
      </c>
      <c r="E516">
        <v>4</v>
      </c>
      <c r="F516">
        <v>9.86</v>
      </c>
      <c r="G516"/>
      <c r="H516">
        <v>14.95</v>
      </c>
    </row>
    <row r="517" spans="2:10" ht="16" x14ac:dyDescent="0.2">
      <c r="C517" s="240">
        <v>34177</v>
      </c>
      <c r="D517" s="225">
        <v>0.44444444444444442</v>
      </c>
      <c r="E517">
        <v>6</v>
      </c>
      <c r="F517">
        <v>10.039999999999999</v>
      </c>
      <c r="G517"/>
      <c r="H517">
        <v>13.97</v>
      </c>
    </row>
    <row r="518" spans="2:10" ht="16" x14ac:dyDescent="0.2">
      <c r="C518" s="240">
        <v>34177</v>
      </c>
      <c r="D518" s="225">
        <v>0.44444444444444442</v>
      </c>
      <c r="E518">
        <v>8</v>
      </c>
      <c r="F518">
        <v>10.17</v>
      </c>
      <c r="G518"/>
      <c r="H518">
        <v>12.45</v>
      </c>
    </row>
    <row r="519" spans="2:10" ht="16" x14ac:dyDescent="0.2">
      <c r="C519" s="240">
        <v>34177</v>
      </c>
      <c r="D519" s="225">
        <v>0.44444444444444442</v>
      </c>
      <c r="E519">
        <v>9</v>
      </c>
      <c r="F519">
        <v>9.8800000000000008</v>
      </c>
      <c r="G519"/>
      <c r="H519">
        <v>11</v>
      </c>
      <c r="I519" t="s">
        <v>610</v>
      </c>
    </row>
    <row r="520" spans="2:10" ht="16" x14ac:dyDescent="0.2">
      <c r="C520" s="240">
        <v>34177</v>
      </c>
      <c r="D520" s="225">
        <v>0.44444444444444442</v>
      </c>
      <c r="E520">
        <v>10</v>
      </c>
      <c r="F520">
        <v>10.57</v>
      </c>
      <c r="G520"/>
      <c r="H520">
        <v>9.81</v>
      </c>
    </row>
    <row r="521" spans="2:10" ht="16" x14ac:dyDescent="0.2">
      <c r="C521" s="240">
        <v>34177</v>
      </c>
      <c r="D521" s="225">
        <v>0.44444444444444442</v>
      </c>
      <c r="E521">
        <v>12</v>
      </c>
      <c r="F521">
        <v>10.43</v>
      </c>
      <c r="G521"/>
      <c r="H521">
        <v>8.59</v>
      </c>
    </row>
    <row r="522" spans="2:10" ht="16" x14ac:dyDescent="0.2">
      <c r="C522" s="240">
        <v>34177</v>
      </c>
      <c r="D522" s="225">
        <v>0.44444444444444442</v>
      </c>
      <c r="E522">
        <v>15</v>
      </c>
      <c r="F522">
        <v>10.34</v>
      </c>
      <c r="G522"/>
      <c r="H522">
        <v>7.07</v>
      </c>
    </row>
    <row r="523" spans="2:10" ht="16" x14ac:dyDescent="0.2">
      <c r="C523" s="240">
        <v>34177</v>
      </c>
      <c r="D523" s="225">
        <v>0.44444444444444442</v>
      </c>
      <c r="E523">
        <v>20</v>
      </c>
      <c r="F523">
        <v>10</v>
      </c>
      <c r="G523"/>
      <c r="H523">
        <v>6.38</v>
      </c>
    </row>
    <row r="524" spans="2:10" ht="16" x14ac:dyDescent="0.2">
      <c r="C524" s="240">
        <v>34177</v>
      </c>
      <c r="D524" s="225">
        <v>0.44444444444444442</v>
      </c>
      <c r="E524">
        <v>25</v>
      </c>
      <c r="F524">
        <v>9.7100000000000009</v>
      </c>
      <c r="G524"/>
      <c r="H524">
        <v>6.77</v>
      </c>
    </row>
    <row r="525" spans="2:10" ht="16" x14ac:dyDescent="0.2">
      <c r="C525" s="240"/>
      <c r="D525" s="190"/>
      <c r="F525"/>
      <c r="G525"/>
      <c r="H525"/>
    </row>
    <row r="526" spans="2:10" ht="16" x14ac:dyDescent="0.2">
      <c r="B526">
        <v>28</v>
      </c>
      <c r="C526" s="240">
        <v>34157</v>
      </c>
      <c r="D526" s="225">
        <v>0.41666666666666669</v>
      </c>
      <c r="F526"/>
      <c r="G526"/>
      <c r="H526"/>
      <c r="J526">
        <v>5</v>
      </c>
    </row>
    <row r="527" spans="2:10" ht="16" x14ac:dyDescent="0.2">
      <c r="C527" s="240">
        <v>34157</v>
      </c>
      <c r="D527" s="225">
        <v>0.41666666666666669</v>
      </c>
      <c r="E527">
        <v>0</v>
      </c>
      <c r="F527">
        <v>9.94</v>
      </c>
      <c r="G527">
        <v>110</v>
      </c>
      <c r="H527">
        <v>15.21</v>
      </c>
    </row>
    <row r="528" spans="2:10" ht="16" x14ac:dyDescent="0.2">
      <c r="C528" s="240">
        <v>34157</v>
      </c>
      <c r="D528" s="225">
        <v>0.41666666666666669</v>
      </c>
      <c r="E528">
        <v>2</v>
      </c>
      <c r="F528">
        <v>9.98</v>
      </c>
      <c r="G528">
        <v>109</v>
      </c>
      <c r="H528">
        <v>15.16</v>
      </c>
    </row>
    <row r="529" spans="2:10" ht="16" x14ac:dyDescent="0.2">
      <c r="C529" s="240">
        <v>34157</v>
      </c>
      <c r="D529" s="225">
        <v>0.41666666666666669</v>
      </c>
      <c r="E529">
        <v>4</v>
      </c>
      <c r="F529">
        <v>10</v>
      </c>
      <c r="G529">
        <v>108</v>
      </c>
      <c r="H529">
        <v>14.86</v>
      </c>
    </row>
    <row r="530" spans="2:10" ht="16" x14ac:dyDescent="0.2">
      <c r="C530" s="240">
        <v>34157</v>
      </c>
      <c r="D530" s="225">
        <v>0.41666666666666669</v>
      </c>
      <c r="E530">
        <v>6</v>
      </c>
      <c r="F530">
        <v>9.91</v>
      </c>
      <c r="G530">
        <v>107</v>
      </c>
      <c r="H530">
        <v>14.6</v>
      </c>
    </row>
    <row r="531" spans="2:10" ht="16" x14ac:dyDescent="0.2">
      <c r="C531" s="240">
        <v>34157</v>
      </c>
      <c r="D531" s="225">
        <v>0.41666666666666669</v>
      </c>
      <c r="E531">
        <v>7</v>
      </c>
      <c r="F531"/>
      <c r="G531"/>
      <c r="H531">
        <v>13.8</v>
      </c>
    </row>
    <row r="532" spans="2:10" ht="16" x14ac:dyDescent="0.2">
      <c r="C532" s="240">
        <v>34157</v>
      </c>
      <c r="D532" s="225">
        <v>0.41666666666666669</v>
      </c>
      <c r="E532">
        <v>8</v>
      </c>
      <c r="F532">
        <v>10.220000000000001</v>
      </c>
      <c r="G532">
        <v>102</v>
      </c>
      <c r="H532">
        <v>11.29</v>
      </c>
    </row>
    <row r="533" spans="2:10" ht="16" x14ac:dyDescent="0.2">
      <c r="C533" s="240">
        <v>34157</v>
      </c>
      <c r="D533" s="225">
        <v>0.41666666666666669</v>
      </c>
      <c r="E533">
        <v>10</v>
      </c>
      <c r="F533">
        <v>10.4</v>
      </c>
      <c r="G533">
        <v>99</v>
      </c>
      <c r="H533">
        <v>9</v>
      </c>
    </row>
    <row r="534" spans="2:10" ht="16" x14ac:dyDescent="0.2">
      <c r="C534" s="240">
        <v>34157</v>
      </c>
      <c r="D534" s="225">
        <v>0.41666666666666669</v>
      </c>
      <c r="E534">
        <v>12</v>
      </c>
      <c r="F534">
        <v>10.46</v>
      </c>
      <c r="G534">
        <v>96</v>
      </c>
      <c r="H534">
        <v>7.47</v>
      </c>
    </row>
    <row r="535" spans="2:10" ht="16" x14ac:dyDescent="0.2">
      <c r="C535" s="240">
        <v>34157</v>
      </c>
      <c r="D535" s="225">
        <v>0.41666666666666669</v>
      </c>
      <c r="E535">
        <v>15</v>
      </c>
      <c r="F535">
        <v>10.37</v>
      </c>
      <c r="G535">
        <v>93</v>
      </c>
      <c r="H535">
        <v>6.85</v>
      </c>
    </row>
    <row r="536" spans="2:10" ht="16" x14ac:dyDescent="0.2">
      <c r="C536" s="240">
        <v>34157</v>
      </c>
      <c r="D536" s="225">
        <v>0.41666666666666669</v>
      </c>
      <c r="E536">
        <v>20</v>
      </c>
      <c r="F536">
        <v>10.29</v>
      </c>
      <c r="G536">
        <v>92</v>
      </c>
      <c r="H536">
        <v>6.31</v>
      </c>
    </row>
    <row r="537" spans="2:10" ht="16" x14ac:dyDescent="0.2">
      <c r="C537" s="240">
        <v>34157</v>
      </c>
      <c r="D537" s="225">
        <v>0.41666666666666669</v>
      </c>
      <c r="E537">
        <v>25</v>
      </c>
      <c r="F537">
        <v>9.9</v>
      </c>
      <c r="G537">
        <v>86</v>
      </c>
      <c r="H537">
        <v>5.4</v>
      </c>
    </row>
    <row r="538" spans="2:10" ht="16" x14ac:dyDescent="0.2">
      <c r="C538" s="240">
        <v>34157</v>
      </c>
      <c r="D538" s="225">
        <v>0.41666666666666669</v>
      </c>
      <c r="E538">
        <v>30</v>
      </c>
      <c r="F538">
        <v>9.6199999999999992</v>
      </c>
      <c r="G538">
        <v>83</v>
      </c>
      <c r="H538">
        <v>5.36</v>
      </c>
    </row>
    <row r="539" spans="2:10" ht="16" x14ac:dyDescent="0.2">
      <c r="C539" s="240">
        <v>34157</v>
      </c>
      <c r="D539" s="225">
        <v>0.41666666666666669</v>
      </c>
      <c r="E539">
        <v>35</v>
      </c>
      <c r="F539">
        <v>9.43</v>
      </c>
      <c r="G539"/>
      <c r="H539">
        <v>5.59</v>
      </c>
      <c r="I539" t="s">
        <v>611</v>
      </c>
    </row>
    <row r="540" spans="2:10" ht="16" x14ac:dyDescent="0.2">
      <c r="C540" s="240">
        <v>34157</v>
      </c>
      <c r="D540" s="225">
        <v>0.41666666666666669</v>
      </c>
      <c r="E540">
        <v>40</v>
      </c>
      <c r="F540">
        <v>9.1999999999999993</v>
      </c>
      <c r="G540"/>
      <c r="H540">
        <v>5.56</v>
      </c>
      <c r="I540" t="s">
        <v>611</v>
      </c>
    </row>
    <row r="541" spans="2:10" ht="16" x14ac:dyDescent="0.2">
      <c r="C541" s="240"/>
      <c r="D541" s="190"/>
      <c r="F541"/>
      <c r="G541"/>
      <c r="H541"/>
    </row>
    <row r="542" spans="2:10" ht="16" x14ac:dyDescent="0.2">
      <c r="B542">
        <v>33</v>
      </c>
      <c r="C542" s="240">
        <v>34135</v>
      </c>
      <c r="D542" s="225">
        <v>0.4375</v>
      </c>
      <c r="F542"/>
      <c r="G542"/>
      <c r="H542"/>
      <c r="J542">
        <v>5</v>
      </c>
    </row>
    <row r="543" spans="2:10" ht="16" x14ac:dyDescent="0.2">
      <c r="C543" s="240">
        <v>34135</v>
      </c>
      <c r="D543" s="225">
        <v>0.4375</v>
      </c>
      <c r="E543">
        <v>0</v>
      </c>
      <c r="F543">
        <v>10.4</v>
      </c>
      <c r="G543"/>
      <c r="H543">
        <v>14</v>
      </c>
    </row>
    <row r="544" spans="2:10" ht="16" x14ac:dyDescent="0.2">
      <c r="C544" s="240">
        <v>34135</v>
      </c>
      <c r="D544" s="225">
        <v>0.4375</v>
      </c>
      <c r="E544">
        <v>5</v>
      </c>
      <c r="F544">
        <v>10.4</v>
      </c>
      <c r="G544"/>
      <c r="H544">
        <v>12</v>
      </c>
    </row>
    <row r="545" spans="2:10" ht="16" x14ac:dyDescent="0.2">
      <c r="C545" s="240">
        <v>34135</v>
      </c>
      <c r="D545" s="225">
        <v>0.4375</v>
      </c>
      <c r="E545">
        <v>10</v>
      </c>
      <c r="F545">
        <v>10.6</v>
      </c>
      <c r="G545"/>
      <c r="H545">
        <v>9.4</v>
      </c>
    </row>
    <row r="546" spans="2:10" ht="16" x14ac:dyDescent="0.2">
      <c r="C546" s="240">
        <v>34135</v>
      </c>
      <c r="D546" s="225">
        <v>0.4375</v>
      </c>
      <c r="E546">
        <v>15</v>
      </c>
      <c r="F546">
        <v>11</v>
      </c>
      <c r="G546"/>
      <c r="H546">
        <v>6.7</v>
      </c>
    </row>
    <row r="547" spans="2:10" ht="16" x14ac:dyDescent="0.2">
      <c r="C547" s="240">
        <v>34135</v>
      </c>
      <c r="D547" s="225">
        <v>0.4375</v>
      </c>
      <c r="E547">
        <v>20</v>
      </c>
      <c r="F547">
        <v>11</v>
      </c>
      <c r="G547"/>
      <c r="H547">
        <v>6.1</v>
      </c>
    </row>
    <row r="548" spans="2:10" ht="16" x14ac:dyDescent="0.2">
      <c r="C548" s="240">
        <v>34135</v>
      </c>
      <c r="D548" s="225">
        <v>0.4375</v>
      </c>
      <c r="E548">
        <v>25</v>
      </c>
      <c r="F548">
        <v>11</v>
      </c>
      <c r="G548"/>
      <c r="H548">
        <v>5.4</v>
      </c>
    </row>
    <row r="549" spans="2:10" ht="16" x14ac:dyDescent="0.2">
      <c r="C549" s="240">
        <v>34135</v>
      </c>
      <c r="D549" s="225">
        <v>0.4375</v>
      </c>
      <c r="E549">
        <v>30</v>
      </c>
      <c r="F549">
        <v>10.7</v>
      </c>
      <c r="G549"/>
      <c r="H549">
        <v>5.0999999999999996</v>
      </c>
    </row>
    <row r="550" spans="2:10" ht="16" x14ac:dyDescent="0.2">
      <c r="C550" s="240"/>
      <c r="D550" s="190"/>
      <c r="F550"/>
      <c r="G550"/>
      <c r="H550"/>
    </row>
    <row r="551" spans="2:10" ht="16" x14ac:dyDescent="0.2">
      <c r="B551">
        <v>32</v>
      </c>
      <c r="C551" s="240">
        <v>34107</v>
      </c>
      <c r="D551" s="225">
        <v>0.43819444444444444</v>
      </c>
      <c r="F551"/>
      <c r="G551"/>
      <c r="H551"/>
      <c r="J551">
        <v>3</v>
      </c>
    </row>
    <row r="552" spans="2:10" ht="16" x14ac:dyDescent="0.2">
      <c r="C552" s="240">
        <v>34107</v>
      </c>
      <c r="D552" s="225">
        <v>0.43819444444444444</v>
      </c>
      <c r="E552">
        <v>0</v>
      </c>
      <c r="F552">
        <v>10.7</v>
      </c>
      <c r="G552">
        <v>109</v>
      </c>
      <c r="H552">
        <v>12.4</v>
      </c>
    </row>
    <row r="553" spans="2:10" ht="16" x14ac:dyDescent="0.2">
      <c r="C553" s="240">
        <v>34107</v>
      </c>
      <c r="D553" s="225">
        <v>0.43819444444444444</v>
      </c>
      <c r="E553">
        <v>10</v>
      </c>
      <c r="F553">
        <v>11.6</v>
      </c>
      <c r="G553">
        <v>106</v>
      </c>
      <c r="H553">
        <v>7.7</v>
      </c>
    </row>
    <row r="554" spans="2:10" ht="16" x14ac:dyDescent="0.2">
      <c r="C554" s="240">
        <v>34107</v>
      </c>
      <c r="D554" s="225">
        <v>0.43819444444444444</v>
      </c>
      <c r="E554">
        <v>20</v>
      </c>
      <c r="F554">
        <v>11.7</v>
      </c>
      <c r="G554">
        <v>101</v>
      </c>
      <c r="H554">
        <v>5.5</v>
      </c>
    </row>
    <row r="555" spans="2:10" ht="16" x14ac:dyDescent="0.2">
      <c r="C555" s="240">
        <v>34107</v>
      </c>
      <c r="D555" s="225">
        <v>0.43819444444444444</v>
      </c>
      <c r="E555">
        <v>30</v>
      </c>
      <c r="F555">
        <v>11.2</v>
      </c>
      <c r="G555">
        <v>95</v>
      </c>
      <c r="H555">
        <v>4.7</v>
      </c>
    </row>
    <row r="556" spans="2:10" ht="16" x14ac:dyDescent="0.2">
      <c r="C556" s="240">
        <v>34107</v>
      </c>
      <c r="D556" s="225">
        <v>0.43819444444444444</v>
      </c>
      <c r="E556">
        <v>40</v>
      </c>
      <c r="F556">
        <v>10.8</v>
      </c>
      <c r="G556"/>
      <c r="H556">
        <v>4.8</v>
      </c>
      <c r="I556" t="s">
        <v>612</v>
      </c>
    </row>
    <row r="557" spans="2:10" ht="16" x14ac:dyDescent="0.2">
      <c r="C557" s="240">
        <v>34107</v>
      </c>
      <c r="D557" s="225">
        <v>0.43819444444444444</v>
      </c>
      <c r="E557">
        <v>50</v>
      </c>
      <c r="F557">
        <v>10.7</v>
      </c>
      <c r="G557"/>
      <c r="H557">
        <v>4.8</v>
      </c>
      <c r="I557" t="s">
        <v>612</v>
      </c>
    </row>
    <row r="558" spans="2:10" ht="16" x14ac:dyDescent="0.2">
      <c r="C558" s="240">
        <v>34107</v>
      </c>
      <c r="D558" s="225">
        <v>0.43819444444444444</v>
      </c>
      <c r="E558">
        <v>60</v>
      </c>
      <c r="F558">
        <v>10.6</v>
      </c>
      <c r="G558"/>
      <c r="H558">
        <v>4.7</v>
      </c>
      <c r="I558" t="s">
        <v>612</v>
      </c>
    </row>
    <row r="559" spans="2:10" ht="16" x14ac:dyDescent="0.2">
      <c r="C559" s="240">
        <v>34107</v>
      </c>
      <c r="D559" s="225">
        <v>0.43819444444444444</v>
      </c>
      <c r="E559">
        <v>70</v>
      </c>
      <c r="F559">
        <v>10.5</v>
      </c>
      <c r="G559"/>
      <c r="H559">
        <v>4.9000000000000004</v>
      </c>
      <c r="I559" t="s">
        <v>612</v>
      </c>
    </row>
    <row r="560" spans="2:10" ht="16" x14ac:dyDescent="0.2">
      <c r="C560" s="190"/>
      <c r="D560" s="190"/>
      <c r="F560"/>
      <c r="G560"/>
      <c r="H560"/>
    </row>
    <row r="561" spans="2:10" ht="16" x14ac:dyDescent="0.2">
      <c r="B561">
        <v>30</v>
      </c>
      <c r="C561" s="240">
        <v>34082</v>
      </c>
      <c r="D561" s="225">
        <v>0.4513888888888889</v>
      </c>
      <c r="F561"/>
      <c r="G561"/>
      <c r="H561"/>
      <c r="J561">
        <v>6</v>
      </c>
    </row>
    <row r="562" spans="2:10" ht="16" x14ac:dyDescent="0.2">
      <c r="C562" s="240">
        <v>34082</v>
      </c>
      <c r="D562" s="225">
        <v>0.4513888888888889</v>
      </c>
      <c r="E562">
        <v>0</v>
      </c>
      <c r="F562">
        <v>11.96</v>
      </c>
      <c r="G562">
        <v>100</v>
      </c>
      <c r="H562">
        <v>3.85</v>
      </c>
    </row>
    <row r="563" spans="2:10" ht="16" x14ac:dyDescent="0.2">
      <c r="C563" s="240">
        <v>34082</v>
      </c>
      <c r="D563" s="225">
        <v>0.4513888888888889</v>
      </c>
      <c r="E563">
        <v>10</v>
      </c>
      <c r="F563">
        <v>11.75</v>
      </c>
      <c r="G563">
        <v>96</v>
      </c>
      <c r="H563">
        <v>3.83</v>
      </c>
    </row>
    <row r="564" spans="2:10" ht="16" x14ac:dyDescent="0.2">
      <c r="C564" s="240">
        <v>34082</v>
      </c>
      <c r="D564" s="225">
        <v>0.4513888888888889</v>
      </c>
      <c r="E564">
        <v>20</v>
      </c>
      <c r="F564">
        <v>11.6</v>
      </c>
      <c r="G564">
        <v>96</v>
      </c>
      <c r="H564">
        <v>3.78</v>
      </c>
    </row>
    <row r="565" spans="2:10" ht="16" x14ac:dyDescent="0.2">
      <c r="C565" s="240">
        <v>34082</v>
      </c>
      <c r="D565" s="225">
        <v>0.4513888888888889</v>
      </c>
      <c r="E565">
        <v>30</v>
      </c>
      <c r="F565">
        <v>10.7</v>
      </c>
      <c r="G565">
        <v>88</v>
      </c>
      <c r="H565">
        <v>3.66</v>
      </c>
    </row>
    <row r="566" spans="2:10" ht="15.75" customHeight="1" x14ac:dyDescent="0.2"/>
    <row r="567" spans="2:10" ht="15.75" customHeight="1" x14ac:dyDescent="0.2"/>
    <row r="568" spans="2:10" ht="15.75" customHeight="1" x14ac:dyDescent="0.2"/>
    <row r="569" spans="2:10" ht="15.75" customHeight="1" x14ac:dyDescent="0.2"/>
    <row r="570" spans="2:10" ht="15.75" customHeight="1" x14ac:dyDescent="0.2"/>
    <row r="571" spans="2:10" ht="15.75" customHeight="1" x14ac:dyDescent="0.2"/>
    <row r="572" spans="2:10" ht="15.75" customHeight="1" x14ac:dyDescent="0.2"/>
    <row r="573" spans="2:10" ht="15.75" customHeight="1" x14ac:dyDescent="0.2"/>
    <row r="574" spans="2:10" ht="15.75" customHeight="1" x14ac:dyDescent="0.2"/>
    <row r="575" spans="2:10" ht="15.75" customHeight="1" x14ac:dyDescent="0.2"/>
    <row r="576" spans="2:10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  <row r="1082" ht="15.75" customHeight="1" x14ac:dyDescent="0.2"/>
    <row r="1083" ht="15.75" customHeight="1" x14ac:dyDescent="0.2"/>
    <row r="1084" ht="15.75" customHeight="1" x14ac:dyDescent="0.2"/>
    <row r="1085" ht="15.75" customHeight="1" x14ac:dyDescent="0.2"/>
    <row r="1086" ht="15.75" customHeight="1" x14ac:dyDescent="0.2"/>
    <row r="1087" ht="15.75" customHeight="1" x14ac:dyDescent="0.2"/>
    <row r="1088" ht="15.75" customHeight="1" x14ac:dyDescent="0.2"/>
    <row r="1089" ht="15.75" customHeight="1" x14ac:dyDescent="0.2"/>
    <row r="1090" ht="15.75" customHeight="1" x14ac:dyDescent="0.2"/>
    <row r="1091" ht="15.75" customHeight="1" x14ac:dyDescent="0.2"/>
    <row r="1092" ht="15.75" customHeight="1" x14ac:dyDescent="0.2"/>
    <row r="1093" ht="15.75" customHeight="1" x14ac:dyDescent="0.2"/>
    <row r="1094" ht="15.75" customHeight="1" x14ac:dyDescent="0.2"/>
    <row r="1095" ht="15.75" customHeight="1" x14ac:dyDescent="0.2"/>
    <row r="1096" ht="15.75" customHeight="1" x14ac:dyDescent="0.2"/>
    <row r="1097" ht="15.75" customHeight="1" x14ac:dyDescent="0.2"/>
    <row r="1098" ht="15.75" customHeight="1" x14ac:dyDescent="0.2"/>
    <row r="1099" ht="15.75" customHeight="1" x14ac:dyDescent="0.2"/>
    <row r="1100" ht="15.75" customHeight="1" x14ac:dyDescent="0.2"/>
    <row r="1101" ht="15.75" customHeight="1" x14ac:dyDescent="0.2"/>
    <row r="1102" ht="15.75" customHeight="1" x14ac:dyDescent="0.2"/>
    <row r="1103" ht="15.75" customHeight="1" x14ac:dyDescent="0.2"/>
    <row r="1104" ht="15.75" customHeight="1" x14ac:dyDescent="0.2"/>
    <row r="1105" ht="15.75" customHeight="1" x14ac:dyDescent="0.2"/>
    <row r="1106" ht="15.75" customHeight="1" x14ac:dyDescent="0.2"/>
    <row r="1107" ht="15.75" customHeight="1" x14ac:dyDescent="0.2"/>
    <row r="1108" ht="15.75" customHeight="1" x14ac:dyDescent="0.2"/>
    <row r="1109" ht="15.75" customHeight="1" x14ac:dyDescent="0.2"/>
    <row r="1110" ht="15.75" customHeight="1" x14ac:dyDescent="0.2"/>
    <row r="1111" ht="15.75" customHeight="1" x14ac:dyDescent="0.2"/>
    <row r="1112" ht="15.75" customHeight="1" x14ac:dyDescent="0.2"/>
    <row r="1113" ht="15.75" customHeight="1" x14ac:dyDescent="0.2"/>
    <row r="1114" ht="15.75" customHeight="1" x14ac:dyDescent="0.2"/>
    <row r="1115" ht="15.75" customHeight="1" x14ac:dyDescent="0.2"/>
    <row r="1116" ht="15.75" customHeight="1" x14ac:dyDescent="0.2"/>
    <row r="1117" ht="15.75" customHeight="1" x14ac:dyDescent="0.2"/>
    <row r="1118" ht="15.75" customHeight="1" x14ac:dyDescent="0.2"/>
    <row r="1119" ht="15.75" customHeight="1" x14ac:dyDescent="0.2"/>
    <row r="1120" ht="15.75" customHeight="1" x14ac:dyDescent="0.2"/>
    <row r="1121" ht="15.75" customHeight="1" x14ac:dyDescent="0.2"/>
    <row r="1122" ht="15.75" customHeight="1" x14ac:dyDescent="0.2"/>
    <row r="1123" ht="15.75" customHeight="1" x14ac:dyDescent="0.2"/>
    <row r="1124" ht="15.75" customHeight="1" x14ac:dyDescent="0.2"/>
    <row r="1125" ht="15.75" customHeight="1" x14ac:dyDescent="0.2"/>
    <row r="1126" ht="15.75" customHeight="1" x14ac:dyDescent="0.2"/>
    <row r="1127" ht="15.75" customHeight="1" x14ac:dyDescent="0.2"/>
    <row r="1128" ht="15.75" customHeight="1" x14ac:dyDescent="0.2"/>
    <row r="1129" ht="15.75" customHeight="1" x14ac:dyDescent="0.2"/>
    <row r="1130" ht="15.75" customHeight="1" x14ac:dyDescent="0.2"/>
    <row r="1131" ht="15.75" customHeight="1" x14ac:dyDescent="0.2"/>
    <row r="1132" ht="15.75" customHeight="1" x14ac:dyDescent="0.2"/>
    <row r="1133" ht="15.75" customHeight="1" x14ac:dyDescent="0.2"/>
    <row r="1134" ht="15.75" customHeight="1" x14ac:dyDescent="0.2"/>
    <row r="1135" ht="15.75" customHeight="1" x14ac:dyDescent="0.2"/>
    <row r="1136" ht="15.75" customHeight="1" x14ac:dyDescent="0.2"/>
    <row r="1137" ht="15.75" customHeight="1" x14ac:dyDescent="0.2"/>
    <row r="1138" ht="15.75" customHeight="1" x14ac:dyDescent="0.2"/>
    <row r="1139" ht="15.75" customHeight="1" x14ac:dyDescent="0.2"/>
    <row r="1140" ht="15.75" customHeight="1" x14ac:dyDescent="0.2"/>
    <row r="1141" ht="15.75" customHeight="1" x14ac:dyDescent="0.2"/>
    <row r="1142" ht="15.75" customHeight="1" x14ac:dyDescent="0.2"/>
    <row r="1143" ht="15.75" customHeight="1" x14ac:dyDescent="0.2"/>
    <row r="1144" ht="15.75" customHeight="1" x14ac:dyDescent="0.2"/>
    <row r="1145" ht="15.75" customHeight="1" x14ac:dyDescent="0.2"/>
    <row r="1146" ht="15.75" customHeight="1" x14ac:dyDescent="0.2"/>
    <row r="1147" ht="15.75" customHeight="1" x14ac:dyDescent="0.2"/>
    <row r="1148" ht="15.75" customHeight="1" x14ac:dyDescent="0.2"/>
    <row r="1149" ht="15.75" customHeight="1" x14ac:dyDescent="0.2"/>
    <row r="1150" ht="15.75" customHeight="1" x14ac:dyDescent="0.2"/>
    <row r="1151" ht="15.75" customHeight="1" x14ac:dyDescent="0.2"/>
    <row r="1152" ht="15.75" customHeight="1" x14ac:dyDescent="0.2"/>
    <row r="1153" ht="15.75" customHeight="1" x14ac:dyDescent="0.2"/>
    <row r="1154" ht="15.75" customHeight="1" x14ac:dyDescent="0.2"/>
    <row r="1155" ht="15.75" customHeight="1" x14ac:dyDescent="0.2"/>
    <row r="1156" ht="15.75" customHeight="1" x14ac:dyDescent="0.2"/>
    <row r="1157" ht="15.75" customHeight="1" x14ac:dyDescent="0.2"/>
    <row r="1158" ht="15.75" customHeight="1" x14ac:dyDescent="0.2"/>
    <row r="1159" ht="15.75" customHeight="1" x14ac:dyDescent="0.2"/>
    <row r="1160" ht="15.75" customHeight="1" x14ac:dyDescent="0.2"/>
    <row r="1161" ht="15.75" customHeight="1" x14ac:dyDescent="0.2"/>
    <row r="1162" ht="15.75" customHeight="1" x14ac:dyDescent="0.2"/>
    <row r="1163" ht="15.75" customHeight="1" x14ac:dyDescent="0.2"/>
    <row r="1164" ht="15.75" customHeight="1" x14ac:dyDescent="0.2"/>
    <row r="1165" ht="15.75" customHeight="1" x14ac:dyDescent="0.2"/>
    <row r="1166" ht="15.75" customHeight="1" x14ac:dyDescent="0.2"/>
    <row r="1167" ht="15.75" customHeight="1" x14ac:dyDescent="0.2"/>
    <row r="1168" ht="15.75" customHeight="1" x14ac:dyDescent="0.2"/>
    <row r="1169" ht="15.75" customHeight="1" x14ac:dyDescent="0.2"/>
    <row r="1170" ht="15.75" customHeight="1" x14ac:dyDescent="0.2"/>
    <row r="1171" ht="15.75" customHeight="1" x14ac:dyDescent="0.2"/>
    <row r="1172" ht="15.75" customHeight="1" x14ac:dyDescent="0.2"/>
    <row r="1173" ht="15.75" customHeight="1" x14ac:dyDescent="0.2"/>
    <row r="1174" ht="15.75" customHeight="1" x14ac:dyDescent="0.2"/>
    <row r="1175" ht="15.75" customHeight="1" x14ac:dyDescent="0.2"/>
    <row r="1176" ht="15.75" customHeight="1" x14ac:dyDescent="0.2"/>
    <row r="1177" ht="15.75" customHeight="1" x14ac:dyDescent="0.2"/>
    <row r="1178" ht="15.75" customHeight="1" x14ac:dyDescent="0.2"/>
    <row r="1179" ht="15.75" customHeight="1" x14ac:dyDescent="0.2"/>
    <row r="1180" ht="15.75" customHeight="1" x14ac:dyDescent="0.2"/>
    <row r="1181" ht="15.75" customHeight="1" x14ac:dyDescent="0.2"/>
    <row r="1182" ht="15.75" customHeight="1" x14ac:dyDescent="0.2"/>
    <row r="1183" ht="15.75" customHeight="1" x14ac:dyDescent="0.2"/>
    <row r="1184" ht="15.75" customHeight="1" x14ac:dyDescent="0.2"/>
    <row r="1185" ht="15.75" customHeight="1" x14ac:dyDescent="0.2"/>
    <row r="1186" ht="15.75" customHeight="1" x14ac:dyDescent="0.2"/>
    <row r="1187" ht="15.75" customHeight="1" x14ac:dyDescent="0.2"/>
    <row r="1188" ht="15.75" customHeight="1" x14ac:dyDescent="0.2"/>
    <row r="1189" ht="15.75" customHeight="1" x14ac:dyDescent="0.2"/>
    <row r="1190" ht="15.75" customHeight="1" x14ac:dyDescent="0.2"/>
    <row r="1191" ht="15.75" customHeight="1" x14ac:dyDescent="0.2"/>
    <row r="1192" ht="15.75" customHeight="1" x14ac:dyDescent="0.2"/>
    <row r="1193" ht="15.75" customHeight="1" x14ac:dyDescent="0.2"/>
    <row r="1194" ht="15.75" customHeight="1" x14ac:dyDescent="0.2"/>
    <row r="1195" ht="15.75" customHeight="1" x14ac:dyDescent="0.2"/>
    <row r="1196" ht="15.75" customHeight="1" x14ac:dyDescent="0.2"/>
    <row r="1197" ht="15.75" customHeight="1" x14ac:dyDescent="0.2"/>
    <row r="1198" ht="15.75" customHeight="1" x14ac:dyDescent="0.2"/>
    <row r="1199" ht="15.75" customHeight="1" x14ac:dyDescent="0.2"/>
    <row r="1200" ht="15.75" customHeight="1" x14ac:dyDescent="0.2"/>
    <row r="1201" ht="15.75" customHeight="1" x14ac:dyDescent="0.2"/>
    <row r="1202" ht="15.75" customHeight="1" x14ac:dyDescent="0.2"/>
    <row r="1203" ht="15.75" customHeight="1" x14ac:dyDescent="0.2"/>
    <row r="1204" ht="15.75" customHeight="1" x14ac:dyDescent="0.2"/>
    <row r="1205" ht="15.75" customHeight="1" x14ac:dyDescent="0.2"/>
    <row r="1206" ht="15.75" customHeight="1" x14ac:dyDescent="0.2"/>
    <row r="1207" ht="15.75" customHeight="1" x14ac:dyDescent="0.2"/>
    <row r="1208" ht="15.75" customHeight="1" x14ac:dyDescent="0.2"/>
    <row r="1209" ht="15.75" customHeight="1" x14ac:dyDescent="0.2"/>
    <row r="1210" ht="15.75" customHeight="1" x14ac:dyDescent="0.2"/>
    <row r="1211" ht="15.75" customHeight="1" x14ac:dyDescent="0.2"/>
    <row r="1212" ht="15.75" customHeight="1" x14ac:dyDescent="0.2"/>
    <row r="1213" ht="15.75" customHeight="1" x14ac:dyDescent="0.2"/>
    <row r="1214" ht="15.75" customHeight="1" x14ac:dyDescent="0.2"/>
    <row r="1215" ht="15.75" customHeight="1" x14ac:dyDescent="0.2"/>
    <row r="1216" ht="15.75" customHeight="1" x14ac:dyDescent="0.2"/>
    <row r="1217" ht="15.75" customHeight="1" x14ac:dyDescent="0.2"/>
    <row r="1218" ht="15.75" customHeight="1" x14ac:dyDescent="0.2"/>
    <row r="1219" ht="15.75" customHeight="1" x14ac:dyDescent="0.2"/>
    <row r="1220" ht="15.75" customHeight="1" x14ac:dyDescent="0.2"/>
    <row r="1221" ht="15.75" customHeight="1" x14ac:dyDescent="0.2"/>
    <row r="1222" ht="15.75" customHeight="1" x14ac:dyDescent="0.2"/>
    <row r="1223" ht="15.75" customHeight="1" x14ac:dyDescent="0.2"/>
    <row r="1224" ht="15.75" customHeight="1" x14ac:dyDescent="0.2"/>
    <row r="1225" ht="15.75" customHeight="1" x14ac:dyDescent="0.2"/>
    <row r="1226" ht="15.75" customHeight="1" x14ac:dyDescent="0.2"/>
    <row r="1227" ht="15.75" customHeight="1" x14ac:dyDescent="0.2"/>
    <row r="1228" ht="15.75" customHeight="1" x14ac:dyDescent="0.2"/>
    <row r="1229" ht="15.75" customHeight="1" x14ac:dyDescent="0.2"/>
    <row r="1230" ht="15.75" customHeight="1" x14ac:dyDescent="0.2"/>
    <row r="1231" ht="15.75" customHeight="1" x14ac:dyDescent="0.2"/>
    <row r="1232" ht="15.75" customHeight="1" x14ac:dyDescent="0.2"/>
    <row r="1233" ht="15.75" customHeight="1" x14ac:dyDescent="0.2"/>
    <row r="1234" ht="15.75" customHeight="1" x14ac:dyDescent="0.2"/>
    <row r="1235" ht="15.75" customHeight="1" x14ac:dyDescent="0.2"/>
    <row r="1236" ht="15.75" customHeight="1" x14ac:dyDescent="0.2"/>
    <row r="1237" ht="15.75" customHeight="1" x14ac:dyDescent="0.2"/>
    <row r="1238" ht="15.75" customHeight="1" x14ac:dyDescent="0.2"/>
    <row r="1239" ht="15.75" customHeight="1" x14ac:dyDescent="0.2"/>
    <row r="1240" ht="15.75" customHeight="1" x14ac:dyDescent="0.2"/>
    <row r="1241" ht="15.75" customHeight="1" x14ac:dyDescent="0.2"/>
    <row r="1242" ht="15.75" customHeight="1" x14ac:dyDescent="0.2"/>
    <row r="1243" ht="15.75" customHeight="1" x14ac:dyDescent="0.2"/>
    <row r="1244" ht="15.75" customHeight="1" x14ac:dyDescent="0.2"/>
    <row r="1245" ht="15.75" customHeight="1" x14ac:dyDescent="0.2"/>
    <row r="1246" ht="15.75" customHeight="1" x14ac:dyDescent="0.2"/>
    <row r="1247" ht="15.75" customHeight="1" x14ac:dyDescent="0.2"/>
    <row r="1248" ht="15.75" customHeight="1" x14ac:dyDescent="0.2"/>
    <row r="1249" ht="15.75" customHeight="1" x14ac:dyDescent="0.2"/>
    <row r="1250" ht="15.75" customHeight="1" x14ac:dyDescent="0.2"/>
    <row r="1251" ht="15.75" customHeight="1" x14ac:dyDescent="0.2"/>
    <row r="1252" ht="15.75" customHeight="1" x14ac:dyDescent="0.2"/>
    <row r="1253" ht="15.75" customHeight="1" x14ac:dyDescent="0.2"/>
    <row r="1254" ht="15.75" customHeight="1" x14ac:dyDescent="0.2"/>
    <row r="1255" ht="15.75" customHeight="1" x14ac:dyDescent="0.2"/>
    <row r="1256" ht="15.75" customHeight="1" x14ac:dyDescent="0.2"/>
    <row r="1257" ht="15.75" customHeight="1" x14ac:dyDescent="0.2"/>
    <row r="1258" ht="15.75" customHeight="1" x14ac:dyDescent="0.2"/>
    <row r="1259" ht="15.75" customHeight="1" x14ac:dyDescent="0.2"/>
    <row r="1260" ht="15.75" customHeight="1" x14ac:dyDescent="0.2"/>
    <row r="1261" ht="15.75" customHeight="1" x14ac:dyDescent="0.2"/>
    <row r="1262" ht="15.75" customHeight="1" x14ac:dyDescent="0.2"/>
    <row r="1263" ht="15.75" customHeight="1" x14ac:dyDescent="0.2"/>
    <row r="1264" ht="15.75" customHeight="1" x14ac:dyDescent="0.2"/>
    <row r="1265" ht="15.75" customHeight="1" x14ac:dyDescent="0.2"/>
    <row r="1266" ht="15.75" customHeight="1" x14ac:dyDescent="0.2"/>
    <row r="1267" ht="15.75" customHeight="1" x14ac:dyDescent="0.2"/>
    <row r="1268" ht="15.75" customHeight="1" x14ac:dyDescent="0.2"/>
    <row r="1269" ht="15.75" customHeight="1" x14ac:dyDescent="0.2"/>
    <row r="1270" ht="15.75" customHeight="1" x14ac:dyDescent="0.2"/>
    <row r="1271" ht="15.75" customHeight="1" x14ac:dyDescent="0.2"/>
    <row r="1272" ht="15.75" customHeight="1" x14ac:dyDescent="0.2"/>
    <row r="1273" ht="15.75" customHeight="1" x14ac:dyDescent="0.2"/>
    <row r="1274" ht="15.75" customHeight="1" x14ac:dyDescent="0.2"/>
    <row r="1275" ht="15.75" customHeight="1" x14ac:dyDescent="0.2"/>
    <row r="1276" ht="15.75" customHeight="1" x14ac:dyDescent="0.2"/>
    <row r="1277" ht="15.75" customHeight="1" x14ac:dyDescent="0.2"/>
    <row r="1278" ht="15.75" customHeight="1" x14ac:dyDescent="0.2"/>
    <row r="1279" ht="15.75" customHeight="1" x14ac:dyDescent="0.2"/>
    <row r="1280" ht="15.75" customHeight="1" x14ac:dyDescent="0.2"/>
    <row r="1281" ht="15.75" customHeight="1" x14ac:dyDescent="0.2"/>
    <row r="1282" ht="15.75" customHeight="1" x14ac:dyDescent="0.2"/>
    <row r="1283" ht="15.75" customHeight="1" x14ac:dyDescent="0.2"/>
    <row r="1284" ht="15.75" customHeight="1" x14ac:dyDescent="0.2"/>
    <row r="1285" ht="15.75" customHeight="1" x14ac:dyDescent="0.2"/>
    <row r="1286" ht="15.75" customHeight="1" x14ac:dyDescent="0.2"/>
    <row r="1287" ht="15.75" customHeight="1" x14ac:dyDescent="0.2"/>
    <row r="1288" ht="15.75" customHeight="1" x14ac:dyDescent="0.2"/>
    <row r="1289" ht="15.75" customHeight="1" x14ac:dyDescent="0.2"/>
    <row r="1290" ht="15.75" customHeight="1" x14ac:dyDescent="0.2"/>
    <row r="1291" ht="15.75" customHeight="1" x14ac:dyDescent="0.2"/>
    <row r="1292" ht="15.75" customHeight="1" x14ac:dyDescent="0.2"/>
    <row r="1293" ht="15.75" customHeight="1" x14ac:dyDescent="0.2"/>
    <row r="1294" ht="15.75" customHeight="1" x14ac:dyDescent="0.2"/>
    <row r="1295" ht="15.75" customHeight="1" x14ac:dyDescent="0.2"/>
    <row r="1296" ht="15.75" customHeight="1" x14ac:dyDescent="0.2"/>
    <row r="1297" ht="15.75" customHeight="1" x14ac:dyDescent="0.2"/>
    <row r="1298" ht="15.75" customHeight="1" x14ac:dyDescent="0.2"/>
    <row r="1299" ht="15.75" customHeight="1" x14ac:dyDescent="0.2"/>
    <row r="1300" ht="15.75" customHeight="1" x14ac:dyDescent="0.2"/>
    <row r="1301" ht="15.75" customHeight="1" x14ac:dyDescent="0.2"/>
    <row r="1302" ht="15.75" customHeight="1" x14ac:dyDescent="0.2"/>
    <row r="1303" ht="15.75" customHeight="1" x14ac:dyDescent="0.2"/>
    <row r="1304" ht="15.75" customHeight="1" x14ac:dyDescent="0.2"/>
    <row r="1305" ht="15.75" customHeight="1" x14ac:dyDescent="0.2"/>
    <row r="1306" ht="15.75" customHeight="1" x14ac:dyDescent="0.2"/>
    <row r="1307" ht="15.75" customHeight="1" x14ac:dyDescent="0.2"/>
    <row r="1308" ht="15.75" customHeight="1" x14ac:dyDescent="0.2"/>
    <row r="1309" ht="15.75" customHeight="1" x14ac:dyDescent="0.2"/>
    <row r="1310" ht="15.75" customHeight="1" x14ac:dyDescent="0.2"/>
    <row r="1311" ht="15.75" customHeight="1" x14ac:dyDescent="0.2"/>
    <row r="1312" ht="15.75" customHeight="1" x14ac:dyDescent="0.2"/>
    <row r="1313" ht="15.75" customHeight="1" x14ac:dyDescent="0.2"/>
    <row r="1314" ht="15.75" customHeight="1" x14ac:dyDescent="0.2"/>
    <row r="1315" ht="15.75" customHeight="1" x14ac:dyDescent="0.2"/>
    <row r="1316" ht="15.75" customHeight="1" x14ac:dyDescent="0.2"/>
    <row r="1317" ht="15.75" customHeight="1" x14ac:dyDescent="0.2"/>
    <row r="1318" ht="15.75" customHeight="1" x14ac:dyDescent="0.2"/>
    <row r="1319" ht="15.75" customHeight="1" x14ac:dyDescent="0.2"/>
    <row r="1320" ht="15.75" customHeight="1" x14ac:dyDescent="0.2"/>
    <row r="1321" ht="15.75" customHeight="1" x14ac:dyDescent="0.2"/>
    <row r="1322" ht="15.75" customHeight="1" x14ac:dyDescent="0.2"/>
    <row r="1323" ht="15.75" customHeight="1" x14ac:dyDescent="0.2"/>
    <row r="1324" ht="15.75" customHeight="1" x14ac:dyDescent="0.2"/>
    <row r="1325" ht="15.75" customHeight="1" x14ac:dyDescent="0.2"/>
    <row r="1326" ht="15.75" customHeight="1" x14ac:dyDescent="0.2"/>
    <row r="1327" ht="15.75" customHeight="1" x14ac:dyDescent="0.2"/>
    <row r="1328" ht="15.75" customHeight="1" x14ac:dyDescent="0.2"/>
    <row r="1329" ht="15.75" customHeight="1" x14ac:dyDescent="0.2"/>
    <row r="1330" ht="15.75" customHeight="1" x14ac:dyDescent="0.2"/>
    <row r="1331" ht="15.75" customHeight="1" x14ac:dyDescent="0.2"/>
    <row r="1332" ht="15.75" customHeight="1" x14ac:dyDescent="0.2"/>
    <row r="1333" ht="15.75" customHeight="1" x14ac:dyDescent="0.2"/>
    <row r="1334" ht="15.75" customHeight="1" x14ac:dyDescent="0.2"/>
    <row r="1335" ht="15.75" customHeight="1" x14ac:dyDescent="0.2"/>
    <row r="1336" ht="15.75" customHeight="1" x14ac:dyDescent="0.2"/>
    <row r="1337" ht="15.75" customHeight="1" x14ac:dyDescent="0.2"/>
    <row r="1338" ht="15.75" customHeight="1" x14ac:dyDescent="0.2"/>
    <row r="1339" ht="15.75" customHeight="1" x14ac:dyDescent="0.2"/>
    <row r="1340" ht="15.75" customHeight="1" x14ac:dyDescent="0.2"/>
    <row r="1341" ht="15.75" customHeight="1" x14ac:dyDescent="0.2"/>
    <row r="1342" ht="15.75" customHeight="1" x14ac:dyDescent="0.2"/>
    <row r="1343" ht="15.75" customHeight="1" x14ac:dyDescent="0.2"/>
    <row r="1344" ht="15.75" customHeight="1" x14ac:dyDescent="0.2"/>
    <row r="1345" ht="15.75" customHeight="1" x14ac:dyDescent="0.2"/>
    <row r="1346" ht="15.75" customHeight="1" x14ac:dyDescent="0.2"/>
    <row r="1347" ht="15.75" customHeight="1" x14ac:dyDescent="0.2"/>
    <row r="1348" ht="15.75" customHeight="1" x14ac:dyDescent="0.2"/>
    <row r="1349" ht="15.75" customHeight="1" x14ac:dyDescent="0.2"/>
    <row r="1350" ht="15.75" customHeight="1" x14ac:dyDescent="0.2"/>
    <row r="1351" ht="15.75" customHeight="1" x14ac:dyDescent="0.2"/>
    <row r="1352" ht="15.75" customHeight="1" x14ac:dyDescent="0.2"/>
    <row r="1353" ht="15.75" customHeight="1" x14ac:dyDescent="0.2"/>
    <row r="1354" ht="15.75" customHeight="1" x14ac:dyDescent="0.2"/>
    <row r="1355" ht="15.75" customHeight="1" x14ac:dyDescent="0.2"/>
    <row r="1356" ht="15.75" customHeight="1" x14ac:dyDescent="0.2"/>
    <row r="1357" ht="15.75" customHeight="1" x14ac:dyDescent="0.2"/>
    <row r="1358" ht="15.75" customHeight="1" x14ac:dyDescent="0.2"/>
    <row r="1359" ht="15.75" customHeight="1" x14ac:dyDescent="0.2"/>
    <row r="1360" ht="15.75" customHeight="1" x14ac:dyDescent="0.2"/>
    <row r="1361" ht="15.75" customHeight="1" x14ac:dyDescent="0.2"/>
    <row r="1362" ht="15.75" customHeight="1" x14ac:dyDescent="0.2"/>
    <row r="1363" ht="15.75" customHeight="1" x14ac:dyDescent="0.2"/>
    <row r="1364" ht="15.75" customHeight="1" x14ac:dyDescent="0.2"/>
    <row r="1365" ht="15.75" customHeight="1" x14ac:dyDescent="0.2"/>
    <row r="1366" ht="15.75" customHeight="1" x14ac:dyDescent="0.2"/>
    <row r="1367" ht="15.75" customHeight="1" x14ac:dyDescent="0.2"/>
    <row r="1368" ht="15.75" customHeight="1" x14ac:dyDescent="0.2"/>
    <row r="1369" ht="15.75" customHeight="1" x14ac:dyDescent="0.2"/>
    <row r="1370" ht="15.75" customHeight="1" x14ac:dyDescent="0.2"/>
    <row r="1371" ht="15.75" customHeight="1" x14ac:dyDescent="0.2"/>
    <row r="1372" ht="15.75" customHeight="1" x14ac:dyDescent="0.2"/>
    <row r="1373" ht="15.75" customHeight="1" x14ac:dyDescent="0.2"/>
    <row r="1374" ht="15.75" customHeight="1" x14ac:dyDescent="0.2"/>
    <row r="1375" ht="15.75" customHeight="1" x14ac:dyDescent="0.2"/>
    <row r="1376" ht="15.75" customHeight="1" x14ac:dyDescent="0.2"/>
    <row r="1377" ht="15.75" customHeight="1" x14ac:dyDescent="0.2"/>
    <row r="1378" ht="15.75" customHeight="1" x14ac:dyDescent="0.2"/>
    <row r="1379" ht="15.75" customHeight="1" x14ac:dyDescent="0.2"/>
    <row r="1380" ht="15.75" customHeight="1" x14ac:dyDescent="0.2"/>
    <row r="1381" ht="15.75" customHeight="1" x14ac:dyDescent="0.2"/>
    <row r="1382" ht="15.75" customHeight="1" x14ac:dyDescent="0.2"/>
    <row r="1383" ht="15.75" customHeight="1" x14ac:dyDescent="0.2"/>
    <row r="1384" ht="15.75" customHeight="1" x14ac:dyDescent="0.2"/>
    <row r="1385" ht="15.75" customHeight="1" x14ac:dyDescent="0.2"/>
    <row r="1386" ht="15.75" customHeight="1" x14ac:dyDescent="0.2"/>
    <row r="1387" ht="15.75" customHeight="1" x14ac:dyDescent="0.2"/>
    <row r="1388" ht="15.75" customHeight="1" x14ac:dyDescent="0.2"/>
    <row r="1389" ht="15.75" customHeight="1" x14ac:dyDescent="0.2"/>
    <row r="1390" ht="15.75" customHeight="1" x14ac:dyDescent="0.2"/>
    <row r="1391" ht="15.75" customHeight="1" x14ac:dyDescent="0.2"/>
    <row r="1392" ht="15.75" customHeight="1" x14ac:dyDescent="0.2"/>
    <row r="1393" ht="15.75" customHeight="1" x14ac:dyDescent="0.2"/>
    <row r="1394" ht="15.75" customHeight="1" x14ac:dyDescent="0.2"/>
    <row r="1395" ht="15.75" customHeight="1" x14ac:dyDescent="0.2"/>
    <row r="1396" ht="15.75" customHeight="1" x14ac:dyDescent="0.2"/>
    <row r="1397" ht="15.75" customHeight="1" x14ac:dyDescent="0.2"/>
    <row r="1398" ht="15.75" customHeight="1" x14ac:dyDescent="0.2"/>
    <row r="1399" ht="15.75" customHeight="1" x14ac:dyDescent="0.2"/>
    <row r="1400" ht="15.75" customHeight="1" x14ac:dyDescent="0.2"/>
    <row r="1401" ht="15.75" customHeight="1" x14ac:dyDescent="0.2"/>
    <row r="1402" ht="15.75" customHeight="1" x14ac:dyDescent="0.2"/>
    <row r="1403" ht="15.75" customHeight="1" x14ac:dyDescent="0.2"/>
    <row r="1404" ht="15.75" customHeight="1" x14ac:dyDescent="0.2"/>
    <row r="1405" ht="15.75" customHeight="1" x14ac:dyDescent="0.2"/>
    <row r="1406" ht="15.75" customHeight="1" x14ac:dyDescent="0.2"/>
    <row r="1407" ht="15.75" customHeight="1" x14ac:dyDescent="0.2"/>
    <row r="1408" ht="15.75" customHeight="1" x14ac:dyDescent="0.2"/>
    <row r="1409" ht="15.75" customHeight="1" x14ac:dyDescent="0.2"/>
    <row r="1410" ht="15.75" customHeight="1" x14ac:dyDescent="0.2"/>
    <row r="1411" ht="15.75" customHeight="1" x14ac:dyDescent="0.2"/>
    <row r="1412" ht="15.75" customHeight="1" x14ac:dyDescent="0.2"/>
    <row r="1413" ht="15.75" customHeight="1" x14ac:dyDescent="0.2"/>
    <row r="1414" ht="15.75" customHeight="1" x14ac:dyDescent="0.2"/>
    <row r="1415" ht="15.75" customHeight="1" x14ac:dyDescent="0.2"/>
    <row r="1416" ht="15.75" customHeight="1" x14ac:dyDescent="0.2"/>
    <row r="1417" ht="15.75" customHeight="1" x14ac:dyDescent="0.2"/>
    <row r="1418" ht="15.75" customHeight="1" x14ac:dyDescent="0.2"/>
    <row r="1419" ht="15.75" customHeight="1" x14ac:dyDescent="0.2"/>
    <row r="1420" ht="15.75" customHeight="1" x14ac:dyDescent="0.2"/>
    <row r="1421" ht="15.75" customHeight="1" x14ac:dyDescent="0.2"/>
    <row r="1422" ht="15.75" customHeight="1" x14ac:dyDescent="0.2"/>
    <row r="1423" ht="15.75" customHeight="1" x14ac:dyDescent="0.2"/>
    <row r="1424" ht="15.75" customHeight="1" x14ac:dyDescent="0.2"/>
    <row r="1425" ht="15.75" customHeight="1" x14ac:dyDescent="0.2"/>
    <row r="1426" ht="15.75" customHeight="1" x14ac:dyDescent="0.2"/>
    <row r="1427" ht="15.75" customHeight="1" x14ac:dyDescent="0.2"/>
    <row r="1428" ht="15.75" customHeight="1" x14ac:dyDescent="0.2"/>
    <row r="1429" ht="15.75" customHeight="1" x14ac:dyDescent="0.2"/>
    <row r="1430" ht="15.75" customHeight="1" x14ac:dyDescent="0.2"/>
    <row r="1431" ht="15.75" customHeight="1" x14ac:dyDescent="0.2"/>
    <row r="1432" ht="15.75" customHeight="1" x14ac:dyDescent="0.2"/>
    <row r="1433" ht="15.75" customHeight="1" x14ac:dyDescent="0.2"/>
    <row r="1434" ht="15.75" customHeight="1" x14ac:dyDescent="0.2"/>
    <row r="1435" ht="15.75" customHeight="1" x14ac:dyDescent="0.2"/>
    <row r="1436" ht="15.75" customHeight="1" x14ac:dyDescent="0.2"/>
    <row r="1437" ht="15.75" customHeight="1" x14ac:dyDescent="0.2"/>
    <row r="1438" ht="15.75" customHeight="1" x14ac:dyDescent="0.2"/>
    <row r="1439" ht="15.75" customHeight="1" x14ac:dyDescent="0.2"/>
    <row r="1440" ht="15.75" customHeight="1" x14ac:dyDescent="0.2"/>
    <row r="1441" ht="15.75" customHeight="1" x14ac:dyDescent="0.2"/>
    <row r="1442" ht="15.75" customHeight="1" x14ac:dyDescent="0.2"/>
    <row r="1443" ht="15.75" customHeight="1" x14ac:dyDescent="0.2"/>
    <row r="1444" ht="15.75" customHeight="1" x14ac:dyDescent="0.2"/>
    <row r="1445" ht="15.75" customHeight="1" x14ac:dyDescent="0.2"/>
    <row r="1446" ht="15.75" customHeight="1" x14ac:dyDescent="0.2"/>
    <row r="1447" ht="15.75" customHeight="1" x14ac:dyDescent="0.2"/>
    <row r="1448" ht="15.75" customHeight="1" x14ac:dyDescent="0.2"/>
    <row r="1449" ht="15.75" customHeight="1" x14ac:dyDescent="0.2"/>
    <row r="1450" ht="15.75" customHeight="1" x14ac:dyDescent="0.2"/>
    <row r="1451" ht="15.75" customHeight="1" x14ac:dyDescent="0.2"/>
    <row r="1452" ht="15.75" customHeight="1" x14ac:dyDescent="0.2"/>
    <row r="1453" ht="15.75" customHeight="1" x14ac:dyDescent="0.2"/>
    <row r="1454" ht="15.75" customHeight="1" x14ac:dyDescent="0.2"/>
    <row r="1455" ht="15.75" customHeight="1" x14ac:dyDescent="0.2"/>
    <row r="1456" ht="15.75" customHeight="1" x14ac:dyDescent="0.2"/>
    <row r="1457" ht="15.75" customHeight="1" x14ac:dyDescent="0.2"/>
    <row r="1458" ht="15.75" customHeight="1" x14ac:dyDescent="0.2"/>
    <row r="1459" ht="15.75" customHeight="1" x14ac:dyDescent="0.2"/>
    <row r="1460" ht="15.75" customHeight="1" x14ac:dyDescent="0.2"/>
    <row r="1461" ht="15.75" customHeight="1" x14ac:dyDescent="0.2"/>
    <row r="1462" ht="15.75" customHeight="1" x14ac:dyDescent="0.2"/>
    <row r="1463" ht="15.75" customHeight="1" x14ac:dyDescent="0.2"/>
    <row r="1464" ht="15.75" customHeight="1" x14ac:dyDescent="0.2"/>
    <row r="1465" ht="15.75" customHeight="1" x14ac:dyDescent="0.2"/>
    <row r="1466" ht="15.75" customHeight="1" x14ac:dyDescent="0.2"/>
    <row r="1467" ht="15.75" customHeight="1" x14ac:dyDescent="0.2"/>
    <row r="1468" ht="15.75" customHeight="1" x14ac:dyDescent="0.2"/>
    <row r="1469" ht="15.75" customHeight="1" x14ac:dyDescent="0.2"/>
    <row r="1470" ht="15.75" customHeight="1" x14ac:dyDescent="0.2"/>
    <row r="1471" ht="15.75" customHeight="1" x14ac:dyDescent="0.2"/>
    <row r="1472" ht="15.75" customHeight="1" x14ac:dyDescent="0.2"/>
    <row r="1473" ht="15.75" customHeight="1" x14ac:dyDescent="0.2"/>
    <row r="1474" ht="15.75" customHeight="1" x14ac:dyDescent="0.2"/>
    <row r="1475" ht="15.75" customHeight="1" x14ac:dyDescent="0.2"/>
    <row r="1476" ht="15.75" customHeight="1" x14ac:dyDescent="0.2"/>
    <row r="1477" ht="15.75" customHeight="1" x14ac:dyDescent="0.2"/>
    <row r="1478" ht="15.75" customHeight="1" x14ac:dyDescent="0.2"/>
    <row r="1479" ht="15.75" customHeight="1" x14ac:dyDescent="0.2"/>
    <row r="1480" ht="15.75" customHeight="1" x14ac:dyDescent="0.2"/>
    <row r="1481" ht="15.75" customHeight="1" x14ac:dyDescent="0.2"/>
    <row r="1482" ht="15.75" customHeight="1" x14ac:dyDescent="0.2"/>
    <row r="1483" ht="15.75" customHeight="1" x14ac:dyDescent="0.2"/>
    <row r="1484" ht="15.75" customHeight="1" x14ac:dyDescent="0.2"/>
    <row r="1485" ht="15.75" customHeight="1" x14ac:dyDescent="0.2"/>
    <row r="1486" ht="15.75" customHeight="1" x14ac:dyDescent="0.2"/>
    <row r="1487" ht="15.75" customHeight="1" x14ac:dyDescent="0.2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995"/>
  <sheetViews>
    <sheetView workbookViewId="0">
      <pane ySplit="1" topLeftCell="A2" activePane="bottomLeft" state="frozen"/>
      <selection pane="bottomLeft" activeCell="F5" sqref="F5"/>
    </sheetView>
  </sheetViews>
  <sheetFormatPr baseColWidth="10" defaultColWidth="11.1640625" defaultRowHeight="15" customHeight="1" x14ac:dyDescent="0.2"/>
  <cols>
    <col min="1" max="5" width="10.5" customWidth="1"/>
    <col min="6" max="8" width="10.83203125" customWidth="1"/>
    <col min="9" max="26" width="10.5" customWidth="1"/>
  </cols>
  <sheetData>
    <row r="1" spans="1:26" ht="33.75" customHeight="1" x14ac:dyDescent="0.2">
      <c r="A1" s="3"/>
      <c r="B1" s="3" t="s">
        <v>49</v>
      </c>
      <c r="C1" s="3" t="s">
        <v>50</v>
      </c>
      <c r="D1" s="3" t="s">
        <v>51</v>
      </c>
      <c r="E1" s="3" t="s">
        <v>52</v>
      </c>
      <c r="F1" s="2" t="s">
        <v>53</v>
      </c>
      <c r="G1" s="3" t="s">
        <v>54</v>
      </c>
      <c r="H1" s="2" t="s">
        <v>55</v>
      </c>
      <c r="I1" s="2" t="s">
        <v>56</v>
      </c>
      <c r="J1" s="2" t="s">
        <v>57</v>
      </c>
      <c r="K1" s="2" t="s">
        <v>58</v>
      </c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B2" s="1" t="s">
        <v>32</v>
      </c>
      <c r="F2" s="24"/>
      <c r="G2" s="3"/>
      <c r="H2" s="7"/>
    </row>
    <row r="3" spans="1:26" ht="15.75" customHeight="1" x14ac:dyDescent="0.2">
      <c r="B3" s="1" t="s">
        <v>99</v>
      </c>
      <c r="F3" s="24"/>
      <c r="G3" s="3"/>
      <c r="H3" s="7"/>
    </row>
    <row r="4" spans="1:26" ht="15.75" customHeight="1" x14ac:dyDescent="0.2">
      <c r="F4" s="24"/>
      <c r="G4" s="3"/>
      <c r="H4" s="7"/>
    </row>
    <row r="5" spans="1:26" ht="15.75" customHeight="1" x14ac:dyDescent="0.2">
      <c r="C5" s="16">
        <v>43634</v>
      </c>
      <c r="D5" s="30">
        <v>0.43055555555555558</v>
      </c>
      <c r="F5" s="24"/>
      <c r="G5" s="3"/>
      <c r="H5" s="7"/>
      <c r="J5" s="1">
        <v>6.5</v>
      </c>
      <c r="K5" s="1">
        <v>7.5</v>
      </c>
    </row>
    <row r="6" spans="1:26" ht="15.75" customHeight="1" x14ac:dyDescent="0.2">
      <c r="C6" s="16">
        <v>43634</v>
      </c>
      <c r="D6" s="12">
        <v>0.4375</v>
      </c>
      <c r="E6" s="1">
        <v>0.1</v>
      </c>
      <c r="F6" s="24">
        <v>7.56</v>
      </c>
      <c r="G6" s="3">
        <v>83.1</v>
      </c>
      <c r="H6" s="7">
        <v>20</v>
      </c>
    </row>
    <row r="7" spans="1:26" ht="15.75" customHeight="1" x14ac:dyDescent="0.2">
      <c r="C7" s="16">
        <v>43634</v>
      </c>
      <c r="D7" s="12">
        <v>0.4375</v>
      </c>
      <c r="E7" s="1">
        <v>1</v>
      </c>
      <c r="F7" s="24">
        <v>7.65</v>
      </c>
      <c r="G7" s="3"/>
      <c r="H7" s="7">
        <v>19.8</v>
      </c>
    </row>
    <row r="8" spans="1:26" ht="15.75" customHeight="1" x14ac:dyDescent="0.2">
      <c r="C8" s="16">
        <v>43634</v>
      </c>
      <c r="D8" s="12">
        <v>0.4375</v>
      </c>
      <c r="E8" s="1">
        <v>2</v>
      </c>
      <c r="F8" s="24">
        <v>7.65</v>
      </c>
      <c r="G8" s="3"/>
      <c r="H8" s="7">
        <v>19.399999999999999</v>
      </c>
    </row>
    <row r="9" spans="1:26" ht="15.75" customHeight="1" x14ac:dyDescent="0.2">
      <c r="C9" s="16">
        <v>43634</v>
      </c>
      <c r="D9" s="12">
        <v>0.4375</v>
      </c>
      <c r="E9" s="1">
        <v>3</v>
      </c>
      <c r="F9" s="24">
        <v>7.84</v>
      </c>
      <c r="G9" s="3">
        <v>83.8</v>
      </c>
      <c r="H9" s="7">
        <v>18.600000000000001</v>
      </c>
    </row>
    <row r="10" spans="1:26" ht="15.75" customHeight="1" x14ac:dyDescent="0.2">
      <c r="C10" s="16">
        <v>43634</v>
      </c>
      <c r="D10" s="12">
        <v>0.4375</v>
      </c>
      <c r="E10" s="1">
        <v>4</v>
      </c>
      <c r="F10" s="24">
        <v>8.25</v>
      </c>
      <c r="G10" s="3">
        <v>85.4</v>
      </c>
      <c r="H10" s="7">
        <v>17</v>
      </c>
    </row>
    <row r="11" spans="1:26" ht="15.75" customHeight="1" x14ac:dyDescent="0.2">
      <c r="C11" s="16">
        <v>43634</v>
      </c>
      <c r="D11" s="12">
        <v>0.4375</v>
      </c>
      <c r="E11" s="1">
        <v>5</v>
      </c>
      <c r="F11" s="24">
        <v>8.52</v>
      </c>
      <c r="G11" s="3"/>
      <c r="H11" s="7">
        <v>15.8</v>
      </c>
    </row>
    <row r="12" spans="1:26" ht="15.75" customHeight="1" x14ac:dyDescent="0.2">
      <c r="C12" s="16">
        <v>43634</v>
      </c>
      <c r="D12" s="12">
        <v>0.4375</v>
      </c>
      <c r="E12" s="1">
        <v>6</v>
      </c>
      <c r="F12" s="24">
        <v>8.6300000000000008</v>
      </c>
      <c r="G12" s="3"/>
      <c r="H12" s="7">
        <v>14.8</v>
      </c>
    </row>
    <row r="13" spans="1:26" ht="15.75" customHeight="1" x14ac:dyDescent="0.2">
      <c r="C13" s="16">
        <v>43634</v>
      </c>
      <c r="D13" s="12">
        <v>0.4375</v>
      </c>
      <c r="E13" s="1">
        <v>7</v>
      </c>
      <c r="F13" s="24">
        <v>8.99</v>
      </c>
      <c r="G13" s="3"/>
      <c r="H13" s="7">
        <v>13</v>
      </c>
    </row>
    <row r="14" spans="1:26" ht="15.75" customHeight="1" x14ac:dyDescent="0.2">
      <c r="C14" s="16">
        <v>43634</v>
      </c>
      <c r="D14" s="12">
        <v>0.4375</v>
      </c>
      <c r="E14" s="1">
        <v>8</v>
      </c>
      <c r="F14" s="24">
        <v>9.23</v>
      </c>
      <c r="G14" s="3"/>
      <c r="H14" s="7">
        <v>12</v>
      </c>
    </row>
    <row r="15" spans="1:26" ht="15.75" customHeight="1" x14ac:dyDescent="0.2">
      <c r="C15" s="16">
        <v>43634</v>
      </c>
      <c r="D15" s="12">
        <v>0.4375</v>
      </c>
      <c r="E15" s="1">
        <v>9</v>
      </c>
      <c r="F15" s="24">
        <v>9.49</v>
      </c>
      <c r="G15" s="3"/>
      <c r="H15" s="7">
        <v>11.2</v>
      </c>
    </row>
    <row r="16" spans="1:26" ht="15.75" customHeight="1" x14ac:dyDescent="0.2">
      <c r="C16" s="16">
        <v>43634</v>
      </c>
      <c r="D16" s="12">
        <v>0.4375</v>
      </c>
      <c r="E16" s="1">
        <v>10</v>
      </c>
      <c r="F16" s="24">
        <v>9.3000000000000007</v>
      </c>
      <c r="G16" s="3">
        <v>84</v>
      </c>
      <c r="H16" s="7">
        <v>11.1</v>
      </c>
    </row>
    <row r="17" spans="3:11" ht="15.75" customHeight="1" x14ac:dyDescent="0.2">
      <c r="F17" s="24"/>
      <c r="G17" s="3"/>
      <c r="H17" s="7"/>
    </row>
    <row r="18" spans="3:11" ht="15.75" customHeight="1" x14ac:dyDescent="0.2">
      <c r="F18" s="24"/>
      <c r="G18" s="3"/>
      <c r="H18" s="7"/>
    </row>
    <row r="19" spans="3:11" ht="15.75" customHeight="1" x14ac:dyDescent="0.2">
      <c r="C19" s="205">
        <v>42898</v>
      </c>
      <c r="D19" s="185">
        <v>0.55902777777777779</v>
      </c>
      <c r="F19" s="24"/>
      <c r="G19" s="3"/>
      <c r="H19" s="7"/>
      <c r="J19">
        <v>8</v>
      </c>
      <c r="K19">
        <v>10.5</v>
      </c>
    </row>
    <row r="20" spans="3:11" ht="15.75" customHeight="1" x14ac:dyDescent="0.2">
      <c r="C20" s="205">
        <v>42898</v>
      </c>
      <c r="D20" s="185">
        <v>0.56597222222222221</v>
      </c>
      <c r="E20">
        <v>0.1</v>
      </c>
      <c r="F20" s="24">
        <v>8.5399999999999991</v>
      </c>
      <c r="G20" s="3">
        <v>88.6</v>
      </c>
      <c r="H20" s="7">
        <v>17.100000000000001</v>
      </c>
    </row>
    <row r="21" spans="3:11" ht="15.75" customHeight="1" x14ac:dyDescent="0.2">
      <c r="C21" s="205">
        <v>42898</v>
      </c>
      <c r="D21" s="185">
        <v>0.56597222222222221</v>
      </c>
      <c r="E21">
        <v>1</v>
      </c>
      <c r="F21" s="24">
        <v>8.6300000000000008</v>
      </c>
      <c r="G21" s="3">
        <v>88.5</v>
      </c>
      <c r="H21" s="7">
        <v>16.7</v>
      </c>
    </row>
    <row r="22" spans="3:11" ht="15.75" customHeight="1" x14ac:dyDescent="0.2">
      <c r="C22" s="205">
        <v>42898</v>
      </c>
      <c r="D22" s="185">
        <v>0.56597222222222221</v>
      </c>
      <c r="E22">
        <v>2</v>
      </c>
      <c r="F22" s="24">
        <v>8.6300000000000008</v>
      </c>
      <c r="G22" s="3">
        <v>87.5</v>
      </c>
      <c r="H22" s="7">
        <v>16</v>
      </c>
    </row>
    <row r="23" spans="3:11" ht="15.75" customHeight="1" x14ac:dyDescent="0.2">
      <c r="C23" s="205">
        <v>42898</v>
      </c>
      <c r="D23" s="185">
        <v>0.56597222222222221</v>
      </c>
      <c r="E23">
        <v>3</v>
      </c>
      <c r="F23" s="24">
        <v>8.73</v>
      </c>
      <c r="G23" s="3">
        <v>87.3</v>
      </c>
      <c r="H23" s="7">
        <v>15.4</v>
      </c>
    </row>
    <row r="24" spans="3:11" ht="15.75" customHeight="1" x14ac:dyDescent="0.2">
      <c r="C24" s="205">
        <v>42898</v>
      </c>
      <c r="D24" s="185">
        <v>0.56597222222222221</v>
      </c>
      <c r="E24">
        <v>4</v>
      </c>
      <c r="F24" s="24">
        <v>8.7200000000000006</v>
      </c>
      <c r="G24" s="3">
        <v>87.3</v>
      </c>
      <c r="H24" s="7">
        <v>15.3</v>
      </c>
    </row>
    <row r="25" spans="3:11" ht="15.75" customHeight="1" x14ac:dyDescent="0.2">
      <c r="C25" s="205">
        <v>42898</v>
      </c>
      <c r="D25" s="185">
        <v>0.56597222222222221</v>
      </c>
      <c r="E25">
        <v>5</v>
      </c>
      <c r="F25" s="24">
        <v>8.73</v>
      </c>
      <c r="G25" s="3">
        <v>86.6</v>
      </c>
      <c r="H25" s="7">
        <v>15</v>
      </c>
    </row>
    <row r="26" spans="3:11" ht="15.75" customHeight="1" x14ac:dyDescent="0.2">
      <c r="C26" s="205">
        <v>42898</v>
      </c>
      <c r="D26" s="185">
        <v>0.56597222222222221</v>
      </c>
      <c r="E26">
        <v>6</v>
      </c>
      <c r="F26" s="24">
        <v>8.75</v>
      </c>
      <c r="G26" s="3">
        <v>86.6</v>
      </c>
      <c r="H26" s="7">
        <v>14.9</v>
      </c>
    </row>
    <row r="27" spans="3:11" ht="15.75" customHeight="1" x14ac:dyDescent="0.2">
      <c r="C27" s="205">
        <v>42898</v>
      </c>
      <c r="D27" s="185">
        <v>0.56597222222222221</v>
      </c>
      <c r="E27">
        <v>7</v>
      </c>
      <c r="F27" s="24">
        <v>8.8000000000000007</v>
      </c>
      <c r="G27" s="3">
        <v>86.6</v>
      </c>
      <c r="H27" s="7">
        <v>14.7</v>
      </c>
    </row>
    <row r="28" spans="3:11" ht="15.75" customHeight="1" x14ac:dyDescent="0.2">
      <c r="C28" s="205">
        <v>42898</v>
      </c>
      <c r="D28" s="185">
        <v>0.56597222222222221</v>
      </c>
      <c r="E28">
        <v>8</v>
      </c>
      <c r="F28" s="24">
        <v>8.81</v>
      </c>
      <c r="G28" s="3">
        <v>86.6</v>
      </c>
      <c r="H28" s="7">
        <v>14.5</v>
      </c>
    </row>
    <row r="29" spans="3:11" ht="15.75" customHeight="1" x14ac:dyDescent="0.2">
      <c r="C29" s="205">
        <v>42898</v>
      </c>
      <c r="D29" s="185">
        <v>0.56597222222222221</v>
      </c>
      <c r="E29">
        <v>9</v>
      </c>
      <c r="F29" s="24">
        <v>8.85</v>
      </c>
      <c r="G29" s="3">
        <v>86.2</v>
      </c>
      <c r="H29" s="7">
        <v>14.2</v>
      </c>
    </row>
    <row r="30" spans="3:11" ht="15.75" customHeight="1" x14ac:dyDescent="0.2">
      <c r="C30" s="205">
        <v>42898</v>
      </c>
      <c r="D30" s="185">
        <v>0.56597222222222221</v>
      </c>
      <c r="E30">
        <v>10</v>
      </c>
      <c r="F30" s="24">
        <v>8.8800000000000008</v>
      </c>
      <c r="G30" s="3">
        <v>86.2</v>
      </c>
      <c r="H30" s="7">
        <v>14</v>
      </c>
    </row>
    <row r="31" spans="3:11" ht="15.75" customHeight="1" x14ac:dyDescent="0.2">
      <c r="F31" s="24"/>
      <c r="G31" s="3"/>
      <c r="H31" s="7"/>
    </row>
    <row r="32" spans="3:11" ht="15.75" customHeight="1" x14ac:dyDescent="0.2">
      <c r="C32" s="205">
        <v>42928</v>
      </c>
      <c r="D32" s="185">
        <v>0.35902777777777778</v>
      </c>
      <c r="F32" s="24"/>
      <c r="G32" s="3"/>
      <c r="H32" s="7"/>
      <c r="J32">
        <v>11</v>
      </c>
      <c r="K32">
        <v>11.25</v>
      </c>
    </row>
    <row r="33" spans="3:11" ht="15.75" customHeight="1" x14ac:dyDescent="0.2">
      <c r="C33" s="205">
        <v>42928</v>
      </c>
      <c r="D33" s="185">
        <v>0.36805555555555558</v>
      </c>
      <c r="E33">
        <v>0.1</v>
      </c>
      <c r="F33" s="24">
        <v>7.52</v>
      </c>
      <c r="G33" s="3">
        <v>85.7</v>
      </c>
      <c r="H33" s="7">
        <v>21.8</v>
      </c>
    </row>
    <row r="34" spans="3:11" ht="15.75" customHeight="1" x14ac:dyDescent="0.2">
      <c r="C34" s="205">
        <v>42928</v>
      </c>
      <c r="D34" s="185">
        <v>0.36805555555555558</v>
      </c>
      <c r="E34">
        <v>1</v>
      </c>
      <c r="F34" s="24">
        <v>7.54</v>
      </c>
      <c r="G34" s="3">
        <v>85.7</v>
      </c>
      <c r="H34" s="7">
        <v>21.7</v>
      </c>
    </row>
    <row r="35" spans="3:11" ht="15.75" customHeight="1" x14ac:dyDescent="0.2">
      <c r="C35" s="205">
        <v>42928</v>
      </c>
      <c r="D35" s="185">
        <v>0.36805555555555558</v>
      </c>
      <c r="E35">
        <v>2</v>
      </c>
      <c r="F35" s="24">
        <v>7.53</v>
      </c>
      <c r="G35" s="3">
        <v>85.6</v>
      </c>
      <c r="H35" s="7">
        <v>21.7</v>
      </c>
    </row>
    <row r="36" spans="3:11" ht="15.75" customHeight="1" x14ac:dyDescent="0.2">
      <c r="C36" s="205">
        <v>42928</v>
      </c>
      <c r="D36" s="185">
        <v>0.36805555555555558</v>
      </c>
      <c r="E36">
        <v>3</v>
      </c>
      <c r="F36" s="24">
        <v>7.53</v>
      </c>
      <c r="G36" s="3">
        <v>85.4</v>
      </c>
      <c r="H36" s="7">
        <v>21.6</v>
      </c>
    </row>
    <row r="37" spans="3:11" ht="15.75" customHeight="1" x14ac:dyDescent="0.2">
      <c r="C37" s="205">
        <v>42928</v>
      </c>
      <c r="D37" s="185">
        <v>0.36805555555555558</v>
      </c>
      <c r="E37">
        <v>4</v>
      </c>
      <c r="F37" s="24">
        <v>7.51</v>
      </c>
      <c r="G37" s="3">
        <v>85.2</v>
      </c>
      <c r="H37" s="7">
        <v>21.6</v>
      </c>
    </row>
    <row r="38" spans="3:11" ht="15.75" customHeight="1" x14ac:dyDescent="0.2">
      <c r="C38" s="205">
        <v>42928</v>
      </c>
      <c r="D38" s="185">
        <v>0.36805555555555558</v>
      </c>
      <c r="E38">
        <v>5</v>
      </c>
      <c r="F38" s="24">
        <v>7.49</v>
      </c>
      <c r="G38" s="3">
        <v>85</v>
      </c>
      <c r="H38" s="7">
        <v>21.6</v>
      </c>
    </row>
    <row r="39" spans="3:11" ht="15.75" customHeight="1" x14ac:dyDescent="0.2">
      <c r="C39" s="205">
        <v>42928</v>
      </c>
      <c r="D39" s="185">
        <v>0.36805555555555558</v>
      </c>
      <c r="E39">
        <v>6</v>
      </c>
      <c r="F39" s="24">
        <v>7.5</v>
      </c>
      <c r="G39" s="3">
        <v>85</v>
      </c>
      <c r="H39" s="7">
        <v>21.5</v>
      </c>
    </row>
    <row r="40" spans="3:11" ht="15.75" customHeight="1" x14ac:dyDescent="0.2">
      <c r="C40" s="205">
        <v>42928</v>
      </c>
      <c r="D40" s="185">
        <v>0.36805555555555558</v>
      </c>
      <c r="E40">
        <v>7</v>
      </c>
      <c r="F40" s="24">
        <v>8.4</v>
      </c>
      <c r="G40" s="3">
        <v>89.8</v>
      </c>
      <c r="H40" s="7">
        <v>18.7</v>
      </c>
    </row>
    <row r="41" spans="3:11" ht="15.75" customHeight="1" x14ac:dyDescent="0.2">
      <c r="C41" s="205">
        <v>42928</v>
      </c>
      <c r="D41" s="185">
        <v>0.36805555555555558</v>
      </c>
      <c r="E41">
        <v>8</v>
      </c>
      <c r="F41" s="24">
        <v>8.6</v>
      </c>
      <c r="G41" s="3">
        <v>90.7</v>
      </c>
      <c r="H41" s="7">
        <v>17.899999999999999</v>
      </c>
    </row>
    <row r="42" spans="3:11" ht="15.75" customHeight="1" x14ac:dyDescent="0.2">
      <c r="C42" s="205">
        <v>42928</v>
      </c>
      <c r="D42" s="185">
        <v>0.36805555555555558</v>
      </c>
      <c r="E42">
        <v>9</v>
      </c>
      <c r="F42" s="24">
        <v>8.74</v>
      </c>
      <c r="G42" s="3">
        <v>90.3</v>
      </c>
      <c r="H42" s="7">
        <v>16.899999999999999</v>
      </c>
    </row>
    <row r="43" spans="3:11" ht="15.75" customHeight="1" x14ac:dyDescent="0.2">
      <c r="C43" s="205">
        <v>42928</v>
      </c>
      <c r="D43" s="185">
        <v>0.36805555555555558</v>
      </c>
      <c r="E43">
        <v>10</v>
      </c>
      <c r="F43" s="24">
        <v>8.75</v>
      </c>
      <c r="G43" s="3">
        <v>89</v>
      </c>
      <c r="H43" s="7">
        <v>16.2</v>
      </c>
    </row>
    <row r="44" spans="3:11" ht="15.75" customHeight="1" x14ac:dyDescent="0.2">
      <c r="F44" s="24"/>
      <c r="G44" s="3"/>
      <c r="H44" s="7"/>
    </row>
    <row r="45" spans="3:11" ht="15.75" customHeight="1" x14ac:dyDescent="0.2">
      <c r="C45" s="205">
        <v>42954</v>
      </c>
      <c r="D45" s="185">
        <v>0.58124999999999993</v>
      </c>
      <c r="F45" s="24"/>
      <c r="G45" s="3"/>
      <c r="H45" s="7"/>
      <c r="J45">
        <v>9.5</v>
      </c>
      <c r="K45">
        <v>10</v>
      </c>
    </row>
    <row r="46" spans="3:11" ht="15.75" customHeight="1" x14ac:dyDescent="0.2">
      <c r="C46" s="205">
        <v>42954</v>
      </c>
      <c r="D46" s="185">
        <v>0.58680555555555558</v>
      </c>
      <c r="E46">
        <v>0.1</v>
      </c>
      <c r="F46" s="24">
        <v>7.19</v>
      </c>
      <c r="G46" s="3">
        <v>86.1</v>
      </c>
      <c r="H46" s="7">
        <v>24.5</v>
      </c>
    </row>
    <row r="47" spans="3:11" ht="15.75" customHeight="1" x14ac:dyDescent="0.2">
      <c r="C47" s="205">
        <v>42954</v>
      </c>
      <c r="D47" s="185">
        <v>0.58680555555555558</v>
      </c>
      <c r="E47">
        <v>1</v>
      </c>
      <c r="F47" s="24">
        <v>7.23</v>
      </c>
      <c r="G47" s="3">
        <v>86.2</v>
      </c>
      <c r="H47" s="7">
        <v>24.2</v>
      </c>
    </row>
    <row r="48" spans="3:11" ht="15.75" customHeight="1" x14ac:dyDescent="0.2">
      <c r="C48" s="205">
        <v>42954</v>
      </c>
      <c r="D48" s="185">
        <v>0.58680555555555558</v>
      </c>
      <c r="E48">
        <v>2</v>
      </c>
      <c r="F48" s="24">
        <v>7.24</v>
      </c>
      <c r="G48" s="3">
        <v>85.9</v>
      </c>
      <c r="H48" s="7">
        <v>24</v>
      </c>
    </row>
    <row r="49" spans="3:11" ht="15.75" customHeight="1" x14ac:dyDescent="0.2">
      <c r="C49" s="205">
        <v>42954</v>
      </c>
      <c r="D49" s="185">
        <v>0.58680555555555558</v>
      </c>
      <c r="E49">
        <v>3</v>
      </c>
      <c r="F49" s="24">
        <v>7.28</v>
      </c>
      <c r="G49" s="3">
        <v>85.8</v>
      </c>
      <c r="H49" s="7">
        <v>23.7</v>
      </c>
    </row>
    <row r="50" spans="3:11" ht="15.75" customHeight="1" x14ac:dyDescent="0.2">
      <c r="C50" s="205">
        <v>42954</v>
      </c>
      <c r="D50" s="185">
        <v>0.58680555555555558</v>
      </c>
      <c r="E50">
        <v>4</v>
      </c>
      <c r="F50" s="24">
        <v>7.32</v>
      </c>
      <c r="G50" s="3">
        <v>86.3</v>
      </c>
      <c r="H50" s="7">
        <v>23.5</v>
      </c>
    </row>
    <row r="51" spans="3:11" ht="15.75" customHeight="1" x14ac:dyDescent="0.2">
      <c r="C51" s="205">
        <v>42954</v>
      </c>
      <c r="D51" s="185">
        <v>0.58680555555555558</v>
      </c>
      <c r="E51">
        <v>5</v>
      </c>
      <c r="F51" s="24">
        <v>7.28</v>
      </c>
      <c r="G51" s="3">
        <v>85.2</v>
      </c>
      <c r="H51" s="7">
        <v>23.3</v>
      </c>
    </row>
    <row r="52" spans="3:11" ht="15.75" customHeight="1" x14ac:dyDescent="0.2">
      <c r="C52" s="205">
        <v>42954</v>
      </c>
      <c r="D52" s="185">
        <v>0.58680555555555558</v>
      </c>
      <c r="E52">
        <v>6</v>
      </c>
      <c r="F52" s="24">
        <v>7.24</v>
      </c>
      <c r="G52" s="3">
        <v>84.7</v>
      </c>
      <c r="H52" s="7">
        <v>23.2</v>
      </c>
    </row>
    <row r="53" spans="3:11" ht="15.75" customHeight="1" x14ac:dyDescent="0.2">
      <c r="C53" s="205">
        <v>42954</v>
      </c>
      <c r="D53" s="185">
        <v>0.58680555555555558</v>
      </c>
      <c r="E53">
        <v>7</v>
      </c>
      <c r="F53" s="24">
        <v>7.21</v>
      </c>
      <c r="G53" s="3">
        <v>84.4</v>
      </c>
      <c r="H53" s="7">
        <v>23.2</v>
      </c>
    </row>
    <row r="54" spans="3:11" ht="15.75" customHeight="1" x14ac:dyDescent="0.2">
      <c r="F54" s="24"/>
      <c r="G54" s="3"/>
      <c r="H54" s="7"/>
    </row>
    <row r="55" spans="3:11" ht="15.75" customHeight="1" x14ac:dyDescent="0.2">
      <c r="C55" s="205">
        <v>42989</v>
      </c>
      <c r="D55" s="185">
        <v>0.57986111111111105</v>
      </c>
      <c r="F55" s="24"/>
      <c r="G55" s="3"/>
      <c r="H55" s="7"/>
      <c r="J55">
        <v>10</v>
      </c>
      <c r="K55">
        <v>11</v>
      </c>
    </row>
    <row r="56" spans="3:11" ht="15.75" customHeight="1" x14ac:dyDescent="0.2">
      <c r="C56" s="205">
        <v>42989</v>
      </c>
      <c r="D56" s="185">
        <v>0.57986111111111105</v>
      </c>
      <c r="E56">
        <v>0.1</v>
      </c>
      <c r="F56" s="24">
        <v>7.61</v>
      </c>
      <c r="G56" s="3">
        <v>85.4</v>
      </c>
      <c r="H56" s="7">
        <v>21</v>
      </c>
    </row>
    <row r="57" spans="3:11" ht="15.75" customHeight="1" x14ac:dyDescent="0.2">
      <c r="C57" s="205">
        <v>42989</v>
      </c>
      <c r="D57" s="185">
        <v>0.57986111111111105</v>
      </c>
      <c r="E57">
        <v>1</v>
      </c>
      <c r="F57" s="24">
        <v>7.64</v>
      </c>
      <c r="G57" s="3">
        <v>85.5</v>
      </c>
      <c r="H57" s="7">
        <v>20.9</v>
      </c>
    </row>
    <row r="58" spans="3:11" ht="15.75" customHeight="1" x14ac:dyDescent="0.2">
      <c r="C58" s="205">
        <v>42989</v>
      </c>
      <c r="D58" s="185">
        <v>0.57986111111111105</v>
      </c>
      <c r="E58">
        <v>2</v>
      </c>
      <c r="F58" s="24">
        <v>7.65</v>
      </c>
      <c r="G58" s="3">
        <v>85.5</v>
      </c>
      <c r="H58" s="7">
        <v>20.8</v>
      </c>
    </row>
    <row r="59" spans="3:11" ht="15.75" customHeight="1" x14ac:dyDescent="0.2">
      <c r="C59" s="205">
        <v>42989</v>
      </c>
      <c r="D59" s="185">
        <v>0.57986111111111105</v>
      </c>
      <c r="E59">
        <v>3</v>
      </c>
      <c r="F59" s="24">
        <v>7.65</v>
      </c>
      <c r="G59" s="3">
        <v>85.4</v>
      </c>
      <c r="H59" s="7">
        <v>20.8</v>
      </c>
    </row>
    <row r="60" spans="3:11" ht="15.75" customHeight="1" x14ac:dyDescent="0.2">
      <c r="C60" s="205">
        <v>42989</v>
      </c>
      <c r="D60" s="185">
        <v>0.57986111111111105</v>
      </c>
      <c r="E60">
        <v>4</v>
      </c>
      <c r="F60" s="24">
        <v>7.64</v>
      </c>
      <c r="G60" s="3">
        <v>85.2</v>
      </c>
      <c r="H60" s="7">
        <v>20.7</v>
      </c>
    </row>
    <row r="61" spans="3:11" ht="15.75" customHeight="1" x14ac:dyDescent="0.2">
      <c r="C61" s="205">
        <v>42989</v>
      </c>
      <c r="D61" s="185">
        <v>0.57986111111111105</v>
      </c>
      <c r="E61">
        <v>5</v>
      </c>
      <c r="F61" s="24">
        <v>7.64</v>
      </c>
      <c r="G61" s="3">
        <v>85.1</v>
      </c>
      <c r="H61" s="7">
        <v>20.6</v>
      </c>
    </row>
    <row r="62" spans="3:11" ht="15.75" customHeight="1" x14ac:dyDescent="0.2">
      <c r="C62" s="205">
        <v>42989</v>
      </c>
      <c r="D62" s="185">
        <v>0.57986111111111105</v>
      </c>
      <c r="E62">
        <v>6</v>
      </c>
      <c r="F62" s="24">
        <v>7.63</v>
      </c>
      <c r="G62" s="3">
        <v>84.6</v>
      </c>
      <c r="H62" s="7">
        <v>20.399999999999999</v>
      </c>
    </row>
    <row r="63" spans="3:11" ht="15.75" customHeight="1" x14ac:dyDescent="0.2">
      <c r="C63" s="205">
        <v>42989</v>
      </c>
      <c r="D63" s="185">
        <v>0.57986111111111105</v>
      </c>
      <c r="E63">
        <v>7</v>
      </c>
      <c r="F63" s="24">
        <v>7.63</v>
      </c>
      <c r="G63" s="3">
        <v>84.4</v>
      </c>
      <c r="H63" s="7">
        <v>20.3</v>
      </c>
    </row>
    <row r="64" spans="3:11" ht="15.75" customHeight="1" x14ac:dyDescent="0.2">
      <c r="C64" s="205">
        <v>42989</v>
      </c>
      <c r="D64" s="185">
        <v>0.57986111111111105</v>
      </c>
      <c r="E64">
        <v>8</v>
      </c>
      <c r="F64" s="24">
        <v>7.62</v>
      </c>
      <c r="G64" s="3">
        <v>84.1</v>
      </c>
      <c r="H64" s="7">
        <v>20.2</v>
      </c>
    </row>
    <row r="65" spans="3:11" ht="15.75" customHeight="1" x14ac:dyDescent="0.2">
      <c r="C65" s="205">
        <v>42989</v>
      </c>
      <c r="D65" s="185">
        <v>0.57986111111111105</v>
      </c>
      <c r="E65">
        <v>9</v>
      </c>
      <c r="F65" s="24">
        <v>7.6</v>
      </c>
      <c r="G65" s="3">
        <v>83.9</v>
      </c>
      <c r="H65" s="7">
        <v>20.2</v>
      </c>
    </row>
    <row r="66" spans="3:11" ht="15.75" customHeight="1" x14ac:dyDescent="0.2">
      <c r="C66" s="205">
        <v>42989</v>
      </c>
      <c r="D66" s="185">
        <v>0.57986111111111105</v>
      </c>
      <c r="E66">
        <v>10</v>
      </c>
      <c r="F66" s="24">
        <v>7.69</v>
      </c>
      <c r="G66" s="3">
        <v>84.1</v>
      </c>
      <c r="H66" s="7">
        <v>19.7</v>
      </c>
    </row>
    <row r="67" spans="3:11" ht="15.75" customHeight="1" x14ac:dyDescent="0.2">
      <c r="F67" s="24"/>
      <c r="G67" s="3"/>
      <c r="H67" s="7"/>
    </row>
    <row r="68" spans="3:11" ht="15.75" customHeight="1" x14ac:dyDescent="0.2">
      <c r="C68" s="205">
        <v>43018</v>
      </c>
      <c r="D68" s="185">
        <v>0.57638888888888895</v>
      </c>
      <c r="F68" s="24"/>
      <c r="G68" s="3"/>
      <c r="H68" s="7"/>
      <c r="J68">
        <v>11</v>
      </c>
      <c r="K68">
        <v>11</v>
      </c>
    </row>
    <row r="69" spans="3:11" ht="15.75" customHeight="1" x14ac:dyDescent="0.2">
      <c r="C69" s="205">
        <v>43018</v>
      </c>
      <c r="D69" s="185">
        <v>0.58333333333333337</v>
      </c>
      <c r="E69">
        <v>0.1</v>
      </c>
      <c r="F69" s="24">
        <v>8.64</v>
      </c>
      <c r="G69" s="3">
        <v>83.4</v>
      </c>
      <c r="H69" s="7">
        <v>13.8</v>
      </c>
    </row>
    <row r="70" spans="3:11" ht="15.75" customHeight="1" x14ac:dyDescent="0.2">
      <c r="C70" s="205">
        <v>43018</v>
      </c>
      <c r="D70" s="185">
        <v>0.58333333333333337</v>
      </c>
      <c r="E70">
        <v>1</v>
      </c>
      <c r="F70" s="24">
        <v>8.61</v>
      </c>
      <c r="G70" s="3">
        <v>83.3</v>
      </c>
      <c r="H70" s="7">
        <v>13.9</v>
      </c>
    </row>
    <row r="71" spans="3:11" ht="15.75" customHeight="1" x14ac:dyDescent="0.2">
      <c r="C71" s="205">
        <v>43018</v>
      </c>
      <c r="D71" s="185">
        <v>0.58333333333333337</v>
      </c>
      <c r="E71">
        <v>2</v>
      </c>
      <c r="F71" s="24">
        <v>8.6</v>
      </c>
      <c r="G71" s="3">
        <v>83.2</v>
      </c>
      <c r="H71" s="7">
        <v>13.9</v>
      </c>
    </row>
    <row r="72" spans="3:11" ht="15.75" customHeight="1" x14ac:dyDescent="0.2">
      <c r="C72" s="205">
        <v>43018</v>
      </c>
      <c r="D72" s="185">
        <v>0.58333333333333337</v>
      </c>
      <c r="E72">
        <v>3</v>
      </c>
      <c r="F72" s="24">
        <v>8.58</v>
      </c>
      <c r="G72" s="3">
        <v>83</v>
      </c>
      <c r="H72" s="7">
        <v>13.9</v>
      </c>
    </row>
    <row r="73" spans="3:11" ht="15.75" customHeight="1" x14ac:dyDescent="0.2">
      <c r="C73" s="205">
        <v>43018</v>
      </c>
      <c r="D73" s="185">
        <v>0.58333333333333337</v>
      </c>
      <c r="E73">
        <v>4</v>
      </c>
      <c r="F73" s="24">
        <v>8.56</v>
      </c>
      <c r="G73" s="3">
        <v>82.9</v>
      </c>
      <c r="H73" s="7">
        <v>13.9</v>
      </c>
    </row>
    <row r="74" spans="3:11" ht="15.75" customHeight="1" x14ac:dyDescent="0.2">
      <c r="C74" s="205">
        <v>43018</v>
      </c>
      <c r="D74" s="185">
        <v>0.58333333333333337</v>
      </c>
      <c r="E74">
        <v>5</v>
      </c>
      <c r="F74" s="24">
        <v>8.5399999999999991</v>
      </c>
      <c r="G74" s="3">
        <v>82.7</v>
      </c>
      <c r="H74" s="7">
        <v>13.9</v>
      </c>
    </row>
    <row r="75" spans="3:11" ht="15.75" customHeight="1" x14ac:dyDescent="0.2">
      <c r="C75" s="205">
        <v>43018</v>
      </c>
      <c r="D75" s="185">
        <v>0.58333333333333337</v>
      </c>
      <c r="E75">
        <v>6</v>
      </c>
      <c r="F75" s="24">
        <v>8.5399999999999991</v>
      </c>
      <c r="G75" s="3">
        <v>82.5</v>
      </c>
      <c r="H75" s="7">
        <v>13.8</v>
      </c>
    </row>
    <row r="76" spans="3:11" ht="15.75" customHeight="1" x14ac:dyDescent="0.2">
      <c r="C76" s="205">
        <v>43018</v>
      </c>
      <c r="D76" s="185">
        <v>0.58333333333333337</v>
      </c>
      <c r="E76">
        <v>7</v>
      </c>
      <c r="F76" s="24">
        <v>8.52</v>
      </c>
      <c r="G76" s="3">
        <v>82.3</v>
      </c>
      <c r="H76" s="7">
        <v>13.8</v>
      </c>
    </row>
    <row r="77" spans="3:11" ht="15.75" customHeight="1" x14ac:dyDescent="0.2">
      <c r="C77" s="205">
        <v>43018</v>
      </c>
      <c r="D77" s="185">
        <v>0.58333333333333337</v>
      </c>
      <c r="E77">
        <v>8</v>
      </c>
      <c r="F77" s="24">
        <v>8.5</v>
      </c>
      <c r="G77" s="3">
        <v>82.1</v>
      </c>
      <c r="H77" s="7">
        <v>13.8</v>
      </c>
    </row>
    <row r="78" spans="3:11" ht="15.75" customHeight="1" x14ac:dyDescent="0.2">
      <c r="C78" s="205">
        <v>43018</v>
      </c>
      <c r="D78" s="185">
        <v>0.58333333333333337</v>
      </c>
      <c r="E78">
        <v>9</v>
      </c>
      <c r="F78" s="24">
        <v>8.49</v>
      </c>
      <c r="G78" s="3">
        <v>82</v>
      </c>
      <c r="H78" s="7">
        <v>13.8</v>
      </c>
    </row>
    <row r="79" spans="3:11" ht="15.75" customHeight="1" x14ac:dyDescent="0.2">
      <c r="C79" s="205">
        <v>43018</v>
      </c>
      <c r="D79" s="185">
        <v>0.58333333333333337</v>
      </c>
      <c r="E79">
        <v>10</v>
      </c>
      <c r="F79" s="24">
        <v>8.48</v>
      </c>
      <c r="G79" s="3">
        <v>82</v>
      </c>
      <c r="H79" s="7">
        <v>13.8</v>
      </c>
    </row>
    <row r="80" spans="3:11" ht="15.75" customHeight="1" x14ac:dyDescent="0.2">
      <c r="F80" s="24"/>
      <c r="G80" s="3"/>
      <c r="H80" s="7"/>
    </row>
    <row r="81" spans="6:8" ht="15.75" customHeight="1" x14ac:dyDescent="0.2">
      <c r="F81" s="24"/>
      <c r="G81" s="3"/>
      <c r="H81" s="7"/>
    </row>
    <row r="82" spans="6:8" ht="15.75" customHeight="1" x14ac:dyDescent="0.2">
      <c r="F82" s="24"/>
      <c r="G82" s="3"/>
      <c r="H82" s="7"/>
    </row>
    <row r="83" spans="6:8" ht="15.75" customHeight="1" x14ac:dyDescent="0.2">
      <c r="F83" s="24"/>
      <c r="G83" s="3"/>
      <c r="H83" s="7"/>
    </row>
    <row r="84" spans="6:8" ht="15.75" customHeight="1" x14ac:dyDescent="0.2">
      <c r="F84" s="24"/>
      <c r="G84" s="3"/>
      <c r="H84" s="7"/>
    </row>
    <row r="85" spans="6:8" ht="15.75" customHeight="1" x14ac:dyDescent="0.2">
      <c r="F85" s="24"/>
      <c r="G85" s="3"/>
      <c r="H85" s="7"/>
    </row>
    <row r="86" spans="6:8" ht="15.75" customHeight="1" x14ac:dyDescent="0.2">
      <c r="F86" s="24"/>
      <c r="G86" s="3"/>
      <c r="H86" s="7"/>
    </row>
    <row r="87" spans="6:8" ht="15.75" customHeight="1" x14ac:dyDescent="0.2">
      <c r="F87" s="24"/>
      <c r="G87" s="3"/>
      <c r="H87" s="7"/>
    </row>
    <row r="88" spans="6:8" ht="15.75" customHeight="1" x14ac:dyDescent="0.2">
      <c r="F88" s="24"/>
      <c r="G88" s="3"/>
      <c r="H88" s="7"/>
    </row>
    <row r="89" spans="6:8" ht="15.75" customHeight="1" x14ac:dyDescent="0.2">
      <c r="F89" s="24"/>
      <c r="G89" s="3"/>
      <c r="H89" s="7"/>
    </row>
    <row r="90" spans="6:8" ht="15.75" customHeight="1" x14ac:dyDescent="0.2">
      <c r="F90" s="24"/>
      <c r="G90" s="3"/>
      <c r="H90" s="7"/>
    </row>
    <row r="91" spans="6:8" ht="15.75" customHeight="1" x14ac:dyDescent="0.2">
      <c r="F91" s="24"/>
      <c r="G91" s="3"/>
      <c r="H91" s="7"/>
    </row>
    <row r="92" spans="6:8" ht="15.75" customHeight="1" x14ac:dyDescent="0.2">
      <c r="F92" s="24"/>
      <c r="G92" s="3"/>
      <c r="H92" s="7"/>
    </row>
    <row r="93" spans="6:8" ht="15.75" customHeight="1" x14ac:dyDescent="0.2">
      <c r="F93" s="24"/>
      <c r="G93" s="3"/>
      <c r="H93" s="7"/>
    </row>
    <row r="94" spans="6:8" ht="15.75" customHeight="1" x14ac:dyDescent="0.2">
      <c r="F94" s="24"/>
      <c r="G94" s="3"/>
      <c r="H94" s="7"/>
    </row>
    <row r="95" spans="6:8" ht="15.75" customHeight="1" x14ac:dyDescent="0.2">
      <c r="F95" s="24"/>
      <c r="G95" s="3"/>
      <c r="H95" s="7"/>
    </row>
    <row r="96" spans="6:8" ht="15.75" customHeight="1" x14ac:dyDescent="0.2">
      <c r="F96" s="24"/>
      <c r="G96" s="3"/>
      <c r="H96" s="7"/>
    </row>
    <row r="97" spans="6:8" ht="15.75" customHeight="1" x14ac:dyDescent="0.2">
      <c r="F97" s="24"/>
      <c r="G97" s="3"/>
      <c r="H97" s="7"/>
    </row>
    <row r="98" spans="6:8" ht="15.75" customHeight="1" x14ac:dyDescent="0.2">
      <c r="F98" s="24"/>
      <c r="G98" s="3"/>
      <c r="H98" s="7"/>
    </row>
    <row r="99" spans="6:8" ht="15.75" customHeight="1" x14ac:dyDescent="0.2">
      <c r="F99" s="24"/>
      <c r="G99" s="3"/>
      <c r="H99" s="7"/>
    </row>
    <row r="100" spans="6:8" ht="15.75" customHeight="1" x14ac:dyDescent="0.2">
      <c r="F100" s="24"/>
      <c r="G100" s="3"/>
      <c r="H100" s="7"/>
    </row>
    <row r="101" spans="6:8" ht="15.75" customHeight="1" x14ac:dyDescent="0.2">
      <c r="F101" s="24"/>
      <c r="G101" s="3"/>
      <c r="H101" s="7"/>
    </row>
    <row r="102" spans="6:8" ht="15.75" customHeight="1" x14ac:dyDescent="0.2">
      <c r="F102" s="24"/>
      <c r="G102" s="3"/>
      <c r="H102" s="7"/>
    </row>
    <row r="103" spans="6:8" ht="15.75" customHeight="1" x14ac:dyDescent="0.2">
      <c r="F103" s="24"/>
      <c r="G103" s="3"/>
      <c r="H103" s="7"/>
    </row>
    <row r="104" spans="6:8" ht="15.75" customHeight="1" x14ac:dyDescent="0.2">
      <c r="F104" s="24"/>
      <c r="G104" s="3"/>
      <c r="H104" s="7"/>
    </row>
    <row r="105" spans="6:8" ht="15.75" customHeight="1" x14ac:dyDescent="0.2">
      <c r="F105" s="24"/>
      <c r="G105" s="3"/>
      <c r="H105" s="7"/>
    </row>
    <row r="106" spans="6:8" ht="15.75" customHeight="1" x14ac:dyDescent="0.2">
      <c r="F106" s="24"/>
      <c r="G106" s="3"/>
      <c r="H106" s="7"/>
    </row>
    <row r="107" spans="6:8" ht="15.75" customHeight="1" x14ac:dyDescent="0.2">
      <c r="F107" s="24"/>
      <c r="G107" s="3"/>
      <c r="H107" s="7"/>
    </row>
    <row r="108" spans="6:8" ht="15.75" customHeight="1" x14ac:dyDescent="0.2">
      <c r="F108" s="24"/>
      <c r="G108" s="3"/>
      <c r="H108" s="7"/>
    </row>
    <row r="109" spans="6:8" ht="15.75" customHeight="1" x14ac:dyDescent="0.2">
      <c r="F109" s="24"/>
      <c r="G109" s="3"/>
      <c r="H109" s="7"/>
    </row>
    <row r="110" spans="6:8" ht="15.75" customHeight="1" x14ac:dyDescent="0.2">
      <c r="F110" s="24"/>
      <c r="G110" s="3"/>
      <c r="H110" s="7"/>
    </row>
    <row r="111" spans="6:8" ht="15.75" customHeight="1" x14ac:dyDescent="0.2">
      <c r="F111" s="24"/>
      <c r="G111" s="3"/>
      <c r="H111" s="7"/>
    </row>
    <row r="112" spans="6:8" ht="15.75" customHeight="1" x14ac:dyDescent="0.2">
      <c r="F112" s="24"/>
      <c r="G112" s="3"/>
      <c r="H112" s="7"/>
    </row>
    <row r="113" spans="6:8" ht="15.75" customHeight="1" x14ac:dyDescent="0.2">
      <c r="F113" s="24"/>
      <c r="G113" s="3"/>
      <c r="H113" s="7"/>
    </row>
    <row r="114" spans="6:8" ht="15.75" customHeight="1" x14ac:dyDescent="0.2">
      <c r="F114" s="24"/>
      <c r="G114" s="3"/>
      <c r="H114" s="7"/>
    </row>
    <row r="115" spans="6:8" ht="15.75" customHeight="1" x14ac:dyDescent="0.2">
      <c r="F115" s="24"/>
      <c r="G115" s="3"/>
      <c r="H115" s="7"/>
    </row>
    <row r="116" spans="6:8" ht="15.75" customHeight="1" x14ac:dyDescent="0.2">
      <c r="F116" s="24"/>
      <c r="G116" s="3"/>
      <c r="H116" s="7"/>
    </row>
    <row r="117" spans="6:8" ht="15.75" customHeight="1" x14ac:dyDescent="0.2">
      <c r="F117" s="24"/>
      <c r="G117" s="3"/>
      <c r="H117" s="7"/>
    </row>
    <row r="118" spans="6:8" ht="15.75" customHeight="1" x14ac:dyDescent="0.2">
      <c r="F118" s="24"/>
      <c r="G118" s="3"/>
      <c r="H118" s="7"/>
    </row>
    <row r="119" spans="6:8" ht="15.75" customHeight="1" x14ac:dyDescent="0.2">
      <c r="F119" s="24"/>
      <c r="G119" s="3"/>
      <c r="H119" s="7"/>
    </row>
    <row r="120" spans="6:8" ht="15.75" customHeight="1" x14ac:dyDescent="0.2">
      <c r="F120" s="24"/>
      <c r="G120" s="3"/>
      <c r="H120" s="7"/>
    </row>
    <row r="121" spans="6:8" ht="15.75" customHeight="1" x14ac:dyDescent="0.2">
      <c r="F121" s="24"/>
      <c r="G121" s="3"/>
      <c r="H121" s="7"/>
    </row>
    <row r="122" spans="6:8" ht="15.75" customHeight="1" x14ac:dyDescent="0.2">
      <c r="F122" s="24"/>
      <c r="G122" s="3"/>
      <c r="H122" s="7"/>
    </row>
    <row r="123" spans="6:8" ht="15.75" customHeight="1" x14ac:dyDescent="0.2">
      <c r="F123" s="24"/>
      <c r="G123" s="3"/>
      <c r="H123" s="7"/>
    </row>
    <row r="124" spans="6:8" ht="15.75" customHeight="1" x14ac:dyDescent="0.2">
      <c r="F124" s="24"/>
      <c r="G124" s="3"/>
      <c r="H124" s="7"/>
    </row>
    <row r="125" spans="6:8" ht="15.75" customHeight="1" x14ac:dyDescent="0.2">
      <c r="F125" s="24"/>
      <c r="G125" s="3"/>
      <c r="H125" s="7"/>
    </row>
    <row r="126" spans="6:8" ht="15.75" customHeight="1" x14ac:dyDescent="0.2">
      <c r="F126" s="24"/>
      <c r="G126" s="3"/>
      <c r="H126" s="7"/>
    </row>
    <row r="127" spans="6:8" ht="15.75" customHeight="1" x14ac:dyDescent="0.2">
      <c r="F127" s="24"/>
      <c r="G127" s="3"/>
      <c r="H127" s="7"/>
    </row>
    <row r="128" spans="6:8" ht="15.75" customHeight="1" x14ac:dyDescent="0.2">
      <c r="F128" s="24"/>
      <c r="G128" s="3"/>
      <c r="H128" s="7"/>
    </row>
    <row r="129" spans="6:8" ht="15.75" customHeight="1" x14ac:dyDescent="0.2">
      <c r="F129" s="24"/>
      <c r="G129" s="3"/>
      <c r="H129" s="7"/>
    </row>
    <row r="130" spans="6:8" ht="15.75" customHeight="1" x14ac:dyDescent="0.2">
      <c r="F130" s="24"/>
      <c r="G130" s="3"/>
      <c r="H130" s="7"/>
    </row>
    <row r="131" spans="6:8" ht="15.75" customHeight="1" x14ac:dyDescent="0.2">
      <c r="F131" s="24"/>
      <c r="G131" s="3"/>
      <c r="H131" s="7"/>
    </row>
    <row r="132" spans="6:8" ht="15.75" customHeight="1" x14ac:dyDescent="0.2">
      <c r="F132" s="24"/>
      <c r="G132" s="3"/>
      <c r="H132" s="7"/>
    </row>
    <row r="133" spans="6:8" ht="15.75" customHeight="1" x14ac:dyDescent="0.2">
      <c r="F133" s="24"/>
      <c r="G133" s="3"/>
      <c r="H133" s="7"/>
    </row>
    <row r="134" spans="6:8" ht="15.75" customHeight="1" x14ac:dyDescent="0.2">
      <c r="F134" s="24"/>
      <c r="G134" s="3"/>
      <c r="H134" s="7"/>
    </row>
    <row r="135" spans="6:8" ht="15.75" customHeight="1" x14ac:dyDescent="0.2">
      <c r="F135" s="24"/>
      <c r="G135" s="3"/>
      <c r="H135" s="7"/>
    </row>
    <row r="136" spans="6:8" ht="15.75" customHeight="1" x14ac:dyDescent="0.2">
      <c r="F136" s="24"/>
      <c r="G136" s="3"/>
      <c r="H136" s="7"/>
    </row>
    <row r="137" spans="6:8" ht="15.75" customHeight="1" x14ac:dyDescent="0.2">
      <c r="F137" s="24"/>
      <c r="G137" s="3"/>
      <c r="H137" s="7"/>
    </row>
    <row r="138" spans="6:8" ht="15.75" customHeight="1" x14ac:dyDescent="0.2">
      <c r="F138" s="24"/>
      <c r="G138" s="3"/>
      <c r="H138" s="7"/>
    </row>
    <row r="139" spans="6:8" ht="15.75" customHeight="1" x14ac:dyDescent="0.2">
      <c r="F139" s="24"/>
      <c r="G139" s="3"/>
      <c r="H139" s="7"/>
    </row>
    <row r="140" spans="6:8" ht="15.75" customHeight="1" x14ac:dyDescent="0.2">
      <c r="F140" s="24"/>
      <c r="G140" s="3"/>
      <c r="H140" s="7"/>
    </row>
    <row r="141" spans="6:8" ht="15.75" customHeight="1" x14ac:dyDescent="0.2">
      <c r="F141" s="24"/>
      <c r="G141" s="3"/>
      <c r="H141" s="7"/>
    </row>
    <row r="142" spans="6:8" ht="15.75" customHeight="1" x14ac:dyDescent="0.2">
      <c r="F142" s="24"/>
      <c r="G142" s="3"/>
      <c r="H142" s="7"/>
    </row>
    <row r="143" spans="6:8" ht="15.75" customHeight="1" x14ac:dyDescent="0.2">
      <c r="F143" s="24"/>
      <c r="G143" s="3"/>
      <c r="H143" s="7"/>
    </row>
    <row r="144" spans="6:8" ht="15.75" customHeight="1" x14ac:dyDescent="0.2">
      <c r="F144" s="24"/>
      <c r="G144" s="3"/>
      <c r="H144" s="7"/>
    </row>
    <row r="145" spans="6:8" ht="15.75" customHeight="1" x14ac:dyDescent="0.2">
      <c r="F145" s="24"/>
      <c r="G145" s="3"/>
      <c r="H145" s="7"/>
    </row>
    <row r="146" spans="6:8" ht="15.75" customHeight="1" x14ac:dyDescent="0.2">
      <c r="F146" s="24"/>
      <c r="G146" s="3"/>
      <c r="H146" s="7"/>
    </row>
    <row r="147" spans="6:8" ht="15.75" customHeight="1" x14ac:dyDescent="0.2">
      <c r="F147" s="24"/>
      <c r="G147" s="3"/>
      <c r="H147" s="7"/>
    </row>
    <row r="148" spans="6:8" ht="15.75" customHeight="1" x14ac:dyDescent="0.2">
      <c r="F148" s="24"/>
      <c r="G148" s="3"/>
      <c r="H148" s="7"/>
    </row>
    <row r="149" spans="6:8" ht="15.75" customHeight="1" x14ac:dyDescent="0.2">
      <c r="F149" s="24"/>
      <c r="G149" s="3"/>
      <c r="H149" s="7"/>
    </row>
    <row r="150" spans="6:8" ht="15.75" customHeight="1" x14ac:dyDescent="0.2">
      <c r="F150" s="24"/>
      <c r="G150" s="3"/>
      <c r="H150" s="7"/>
    </row>
    <row r="151" spans="6:8" ht="15.75" customHeight="1" x14ac:dyDescent="0.2">
      <c r="F151" s="24"/>
      <c r="G151" s="3"/>
      <c r="H151" s="7"/>
    </row>
    <row r="152" spans="6:8" ht="15.75" customHeight="1" x14ac:dyDescent="0.2">
      <c r="F152" s="24"/>
      <c r="G152" s="3"/>
      <c r="H152" s="7"/>
    </row>
    <row r="153" spans="6:8" ht="15.75" customHeight="1" x14ac:dyDescent="0.2">
      <c r="F153" s="24"/>
      <c r="G153" s="3"/>
      <c r="H153" s="7"/>
    </row>
    <row r="154" spans="6:8" ht="15.75" customHeight="1" x14ac:dyDescent="0.2">
      <c r="F154" s="24"/>
      <c r="G154" s="3"/>
      <c r="H154" s="7"/>
    </row>
    <row r="155" spans="6:8" ht="15.75" customHeight="1" x14ac:dyDescent="0.2">
      <c r="F155" s="24"/>
      <c r="G155" s="3"/>
      <c r="H155" s="7"/>
    </row>
    <row r="156" spans="6:8" ht="15.75" customHeight="1" x14ac:dyDescent="0.2">
      <c r="F156" s="24"/>
      <c r="G156" s="3"/>
      <c r="H156" s="7"/>
    </row>
    <row r="157" spans="6:8" ht="15.75" customHeight="1" x14ac:dyDescent="0.2">
      <c r="F157" s="24"/>
      <c r="G157" s="3"/>
      <c r="H157" s="7"/>
    </row>
    <row r="158" spans="6:8" ht="15.75" customHeight="1" x14ac:dyDescent="0.2">
      <c r="F158" s="24"/>
      <c r="G158" s="3"/>
      <c r="H158" s="7"/>
    </row>
    <row r="159" spans="6:8" ht="15.75" customHeight="1" x14ac:dyDescent="0.2">
      <c r="F159" s="24"/>
      <c r="G159" s="3"/>
      <c r="H159" s="7"/>
    </row>
    <row r="160" spans="6:8" ht="15.75" customHeight="1" x14ac:dyDescent="0.2">
      <c r="F160" s="24"/>
      <c r="G160" s="3"/>
      <c r="H160" s="7"/>
    </row>
    <row r="161" spans="6:8" ht="15.75" customHeight="1" x14ac:dyDescent="0.2">
      <c r="F161" s="24"/>
      <c r="G161" s="3"/>
      <c r="H161" s="7"/>
    </row>
    <row r="162" spans="6:8" ht="15.75" customHeight="1" x14ac:dyDescent="0.2">
      <c r="F162" s="24"/>
      <c r="G162" s="3"/>
      <c r="H162" s="7"/>
    </row>
    <row r="163" spans="6:8" ht="15.75" customHeight="1" x14ac:dyDescent="0.2">
      <c r="F163" s="24"/>
      <c r="G163" s="3"/>
      <c r="H163" s="7"/>
    </row>
    <row r="164" spans="6:8" ht="15.75" customHeight="1" x14ac:dyDescent="0.2">
      <c r="F164" s="24"/>
      <c r="G164" s="3"/>
      <c r="H164" s="7"/>
    </row>
    <row r="165" spans="6:8" ht="15.75" customHeight="1" x14ac:dyDescent="0.2">
      <c r="F165" s="24"/>
      <c r="G165" s="3"/>
      <c r="H165" s="7"/>
    </row>
    <row r="166" spans="6:8" ht="15.75" customHeight="1" x14ac:dyDescent="0.2">
      <c r="F166" s="24"/>
      <c r="G166" s="3"/>
      <c r="H166" s="7"/>
    </row>
    <row r="167" spans="6:8" ht="15.75" customHeight="1" x14ac:dyDescent="0.2">
      <c r="F167" s="24"/>
      <c r="G167" s="3"/>
      <c r="H167" s="7"/>
    </row>
    <row r="168" spans="6:8" ht="15.75" customHeight="1" x14ac:dyDescent="0.2">
      <c r="F168" s="24"/>
      <c r="G168" s="3"/>
      <c r="H168" s="7"/>
    </row>
    <row r="169" spans="6:8" ht="15.75" customHeight="1" x14ac:dyDescent="0.2">
      <c r="F169" s="24"/>
      <c r="G169" s="3"/>
      <c r="H169" s="7"/>
    </row>
    <row r="170" spans="6:8" ht="15.75" customHeight="1" x14ac:dyDescent="0.2">
      <c r="F170" s="24"/>
      <c r="G170" s="3"/>
      <c r="H170" s="7"/>
    </row>
    <row r="171" spans="6:8" ht="15.75" customHeight="1" x14ac:dyDescent="0.2">
      <c r="F171" s="24"/>
      <c r="G171" s="3"/>
      <c r="H171" s="7"/>
    </row>
    <row r="172" spans="6:8" ht="15.75" customHeight="1" x14ac:dyDescent="0.2">
      <c r="F172" s="24"/>
      <c r="G172" s="3"/>
      <c r="H172" s="7"/>
    </row>
    <row r="173" spans="6:8" ht="15.75" customHeight="1" x14ac:dyDescent="0.2">
      <c r="F173" s="24"/>
      <c r="G173" s="3"/>
      <c r="H173" s="7"/>
    </row>
    <row r="174" spans="6:8" ht="15.75" customHeight="1" x14ac:dyDescent="0.2">
      <c r="F174" s="24"/>
      <c r="G174" s="3"/>
      <c r="H174" s="7"/>
    </row>
    <row r="175" spans="6:8" ht="15.75" customHeight="1" x14ac:dyDescent="0.2">
      <c r="F175" s="24"/>
      <c r="G175" s="3"/>
      <c r="H175" s="7"/>
    </row>
    <row r="176" spans="6:8" ht="15.75" customHeight="1" x14ac:dyDescent="0.2">
      <c r="F176" s="24"/>
      <c r="G176" s="3"/>
      <c r="H176" s="7"/>
    </row>
    <row r="177" spans="6:8" ht="15.75" customHeight="1" x14ac:dyDescent="0.2">
      <c r="F177" s="24"/>
      <c r="G177" s="3"/>
      <c r="H177" s="7"/>
    </row>
    <row r="178" spans="6:8" ht="15.75" customHeight="1" x14ac:dyDescent="0.2">
      <c r="F178" s="24"/>
      <c r="G178" s="3"/>
      <c r="H178" s="7"/>
    </row>
    <row r="179" spans="6:8" ht="15.75" customHeight="1" x14ac:dyDescent="0.2">
      <c r="F179" s="24"/>
      <c r="G179" s="3"/>
      <c r="H179" s="7"/>
    </row>
    <row r="180" spans="6:8" ht="15.75" customHeight="1" x14ac:dyDescent="0.2">
      <c r="F180" s="24"/>
      <c r="G180" s="3"/>
      <c r="H180" s="7"/>
    </row>
    <row r="181" spans="6:8" ht="15.75" customHeight="1" x14ac:dyDescent="0.2">
      <c r="F181" s="24"/>
      <c r="G181" s="3"/>
      <c r="H181" s="7"/>
    </row>
    <row r="182" spans="6:8" ht="15.75" customHeight="1" x14ac:dyDescent="0.2">
      <c r="F182" s="24"/>
      <c r="G182" s="3"/>
      <c r="H182" s="7"/>
    </row>
    <row r="183" spans="6:8" ht="15.75" customHeight="1" x14ac:dyDescent="0.2">
      <c r="F183" s="24"/>
      <c r="G183" s="3"/>
      <c r="H183" s="7"/>
    </row>
    <row r="184" spans="6:8" ht="15.75" customHeight="1" x14ac:dyDescent="0.2">
      <c r="F184" s="24"/>
      <c r="G184" s="3"/>
      <c r="H184" s="7"/>
    </row>
    <row r="185" spans="6:8" ht="15.75" customHeight="1" x14ac:dyDescent="0.2">
      <c r="F185" s="24"/>
      <c r="G185" s="3"/>
      <c r="H185" s="7"/>
    </row>
    <row r="186" spans="6:8" ht="15.75" customHeight="1" x14ac:dyDescent="0.2">
      <c r="F186" s="24"/>
      <c r="G186" s="3"/>
      <c r="H186" s="7"/>
    </row>
    <row r="187" spans="6:8" ht="15.75" customHeight="1" x14ac:dyDescent="0.2">
      <c r="F187" s="24"/>
      <c r="G187" s="3"/>
      <c r="H187" s="7"/>
    </row>
    <row r="188" spans="6:8" ht="15.75" customHeight="1" x14ac:dyDescent="0.2">
      <c r="F188" s="24"/>
      <c r="G188" s="3"/>
      <c r="H188" s="7"/>
    </row>
    <row r="189" spans="6:8" ht="15.75" customHeight="1" x14ac:dyDescent="0.2">
      <c r="F189" s="24"/>
      <c r="G189" s="3"/>
      <c r="H189" s="7"/>
    </row>
    <row r="190" spans="6:8" ht="15.75" customHeight="1" x14ac:dyDescent="0.2">
      <c r="F190" s="24"/>
      <c r="G190" s="3"/>
      <c r="H190" s="7"/>
    </row>
    <row r="191" spans="6:8" ht="15.75" customHeight="1" x14ac:dyDescent="0.2">
      <c r="F191" s="24"/>
      <c r="G191" s="3"/>
      <c r="H191" s="7"/>
    </row>
    <row r="192" spans="6:8" ht="15.75" customHeight="1" x14ac:dyDescent="0.2">
      <c r="F192" s="24"/>
      <c r="G192" s="3"/>
      <c r="H192" s="7"/>
    </row>
    <row r="193" spans="6:8" ht="15.75" customHeight="1" x14ac:dyDescent="0.2">
      <c r="F193" s="24"/>
      <c r="G193" s="3"/>
      <c r="H193" s="7"/>
    </row>
    <row r="194" spans="6:8" ht="15.75" customHeight="1" x14ac:dyDescent="0.2">
      <c r="F194" s="24"/>
      <c r="G194" s="3"/>
      <c r="H194" s="7"/>
    </row>
    <row r="195" spans="6:8" ht="15.75" customHeight="1" x14ac:dyDescent="0.2">
      <c r="F195" s="24"/>
      <c r="G195" s="3"/>
      <c r="H195" s="7"/>
    </row>
    <row r="196" spans="6:8" ht="15.75" customHeight="1" x14ac:dyDescent="0.2">
      <c r="F196" s="24"/>
      <c r="G196" s="3"/>
      <c r="H196" s="7"/>
    </row>
    <row r="197" spans="6:8" ht="15.75" customHeight="1" x14ac:dyDescent="0.2">
      <c r="F197" s="24"/>
      <c r="G197" s="3"/>
      <c r="H197" s="7"/>
    </row>
    <row r="198" spans="6:8" ht="15.75" customHeight="1" x14ac:dyDescent="0.2">
      <c r="F198" s="24"/>
      <c r="G198" s="3"/>
      <c r="H198" s="7"/>
    </row>
    <row r="199" spans="6:8" ht="15.75" customHeight="1" x14ac:dyDescent="0.2">
      <c r="F199" s="24"/>
      <c r="G199" s="3"/>
      <c r="H199" s="7"/>
    </row>
    <row r="200" spans="6:8" ht="15.75" customHeight="1" x14ac:dyDescent="0.2">
      <c r="F200" s="24"/>
      <c r="G200" s="3"/>
      <c r="H200" s="7"/>
    </row>
    <row r="201" spans="6:8" ht="15.75" customHeight="1" x14ac:dyDescent="0.2">
      <c r="F201" s="24"/>
      <c r="G201" s="3"/>
      <c r="H201" s="7"/>
    </row>
    <row r="202" spans="6:8" ht="15.75" customHeight="1" x14ac:dyDescent="0.2">
      <c r="F202" s="24"/>
      <c r="G202" s="3"/>
      <c r="H202" s="7"/>
    </row>
    <row r="203" spans="6:8" ht="15.75" customHeight="1" x14ac:dyDescent="0.2">
      <c r="F203" s="24"/>
      <c r="G203" s="3"/>
      <c r="H203" s="7"/>
    </row>
    <row r="204" spans="6:8" ht="15.75" customHeight="1" x14ac:dyDescent="0.2">
      <c r="F204" s="24"/>
      <c r="G204" s="3"/>
      <c r="H204" s="7"/>
    </row>
    <row r="205" spans="6:8" ht="15.75" customHeight="1" x14ac:dyDescent="0.2">
      <c r="F205" s="24"/>
      <c r="G205" s="3"/>
      <c r="H205" s="7"/>
    </row>
    <row r="206" spans="6:8" ht="15.75" customHeight="1" x14ac:dyDescent="0.2">
      <c r="F206" s="24"/>
      <c r="G206" s="3"/>
      <c r="H206" s="7"/>
    </row>
    <row r="207" spans="6:8" ht="15.75" customHeight="1" x14ac:dyDescent="0.2">
      <c r="F207" s="24"/>
      <c r="G207" s="3"/>
      <c r="H207" s="7"/>
    </row>
    <row r="208" spans="6:8" ht="15.75" customHeight="1" x14ac:dyDescent="0.2">
      <c r="F208" s="24"/>
      <c r="G208" s="3"/>
      <c r="H208" s="7"/>
    </row>
    <row r="209" spans="6:8" ht="15.75" customHeight="1" x14ac:dyDescent="0.2">
      <c r="F209" s="24"/>
      <c r="G209" s="3"/>
      <c r="H209" s="7"/>
    </row>
    <row r="210" spans="6:8" ht="15.75" customHeight="1" x14ac:dyDescent="0.2">
      <c r="F210" s="24"/>
      <c r="G210" s="3"/>
      <c r="H210" s="7"/>
    </row>
    <row r="211" spans="6:8" ht="15.75" customHeight="1" x14ac:dyDescent="0.2">
      <c r="F211" s="24"/>
      <c r="G211" s="3"/>
      <c r="H211" s="7"/>
    </row>
    <row r="212" spans="6:8" ht="15.75" customHeight="1" x14ac:dyDescent="0.2">
      <c r="F212" s="24"/>
      <c r="G212" s="3"/>
      <c r="H212" s="7"/>
    </row>
    <row r="213" spans="6:8" ht="15.75" customHeight="1" x14ac:dyDescent="0.2">
      <c r="F213" s="24"/>
      <c r="G213" s="3"/>
      <c r="H213" s="7"/>
    </row>
    <row r="214" spans="6:8" ht="15.75" customHeight="1" x14ac:dyDescent="0.2">
      <c r="F214" s="24"/>
      <c r="G214" s="3"/>
      <c r="H214" s="7"/>
    </row>
    <row r="215" spans="6:8" ht="15.75" customHeight="1" x14ac:dyDescent="0.2">
      <c r="F215" s="24"/>
      <c r="G215" s="3"/>
      <c r="H215" s="7"/>
    </row>
    <row r="216" spans="6:8" ht="15.75" customHeight="1" x14ac:dyDescent="0.2">
      <c r="F216" s="24"/>
      <c r="G216" s="3"/>
      <c r="H216" s="7"/>
    </row>
    <row r="217" spans="6:8" ht="15.75" customHeight="1" x14ac:dyDescent="0.2">
      <c r="F217" s="24"/>
      <c r="G217" s="3"/>
      <c r="H217" s="7"/>
    </row>
    <row r="218" spans="6:8" ht="15.75" customHeight="1" x14ac:dyDescent="0.2">
      <c r="F218" s="24"/>
      <c r="G218" s="3"/>
      <c r="H218" s="7"/>
    </row>
    <row r="219" spans="6:8" ht="15.75" customHeight="1" x14ac:dyDescent="0.2">
      <c r="F219" s="24"/>
      <c r="G219" s="3"/>
      <c r="H219" s="7"/>
    </row>
    <row r="220" spans="6:8" ht="15.75" customHeight="1" x14ac:dyDescent="0.2">
      <c r="F220" s="24"/>
      <c r="G220" s="3"/>
      <c r="H220" s="7"/>
    </row>
    <row r="221" spans="6:8" ht="15.75" customHeight="1" x14ac:dyDescent="0.2">
      <c r="F221" s="24"/>
      <c r="G221" s="3"/>
      <c r="H221" s="7"/>
    </row>
    <row r="222" spans="6:8" ht="15.75" customHeight="1" x14ac:dyDescent="0.2">
      <c r="F222" s="24"/>
      <c r="G222" s="3"/>
      <c r="H222" s="7"/>
    </row>
    <row r="223" spans="6:8" ht="15.75" customHeight="1" x14ac:dyDescent="0.2">
      <c r="F223" s="24"/>
      <c r="G223" s="3"/>
      <c r="H223" s="7"/>
    </row>
    <row r="224" spans="6:8" ht="15.75" customHeight="1" x14ac:dyDescent="0.2">
      <c r="F224" s="24"/>
      <c r="G224" s="3"/>
      <c r="H224" s="7"/>
    </row>
    <row r="225" spans="6:8" ht="15.75" customHeight="1" x14ac:dyDescent="0.2">
      <c r="F225" s="24"/>
      <c r="G225" s="3"/>
      <c r="H225" s="7"/>
    </row>
    <row r="226" spans="6:8" ht="15.75" customHeight="1" x14ac:dyDescent="0.2">
      <c r="F226" s="24"/>
      <c r="G226" s="3"/>
      <c r="H226" s="7"/>
    </row>
    <row r="227" spans="6:8" ht="15.75" customHeight="1" x14ac:dyDescent="0.2">
      <c r="F227" s="24"/>
      <c r="G227" s="3"/>
      <c r="H227" s="7"/>
    </row>
    <row r="228" spans="6:8" ht="15.75" customHeight="1" x14ac:dyDescent="0.2">
      <c r="F228" s="24"/>
      <c r="G228" s="3"/>
      <c r="H228" s="7"/>
    </row>
    <row r="229" spans="6:8" ht="15.75" customHeight="1" x14ac:dyDescent="0.2">
      <c r="F229" s="24"/>
      <c r="G229" s="3"/>
      <c r="H229" s="7"/>
    </row>
    <row r="230" spans="6:8" ht="15.75" customHeight="1" x14ac:dyDescent="0.2">
      <c r="F230" s="24"/>
      <c r="G230" s="3"/>
      <c r="H230" s="7"/>
    </row>
    <row r="231" spans="6:8" ht="15.75" customHeight="1" x14ac:dyDescent="0.2">
      <c r="F231" s="24"/>
      <c r="G231" s="3"/>
      <c r="H231" s="7"/>
    </row>
    <row r="232" spans="6:8" ht="15.75" customHeight="1" x14ac:dyDescent="0.2">
      <c r="F232" s="24"/>
      <c r="G232" s="3"/>
      <c r="H232" s="7"/>
    </row>
    <row r="233" spans="6:8" ht="15.75" customHeight="1" x14ac:dyDescent="0.2">
      <c r="F233" s="24"/>
      <c r="G233" s="3"/>
      <c r="H233" s="7"/>
    </row>
    <row r="234" spans="6:8" ht="15.75" customHeight="1" x14ac:dyDescent="0.2">
      <c r="F234" s="24"/>
      <c r="G234" s="3"/>
      <c r="H234" s="7"/>
    </row>
    <row r="235" spans="6:8" ht="15.75" customHeight="1" x14ac:dyDescent="0.2">
      <c r="F235" s="24"/>
      <c r="G235" s="3"/>
      <c r="H235" s="7"/>
    </row>
    <row r="236" spans="6:8" ht="15.75" customHeight="1" x14ac:dyDescent="0.2">
      <c r="F236" s="24"/>
      <c r="G236" s="3"/>
      <c r="H236" s="7"/>
    </row>
    <row r="237" spans="6:8" ht="15.75" customHeight="1" x14ac:dyDescent="0.2">
      <c r="F237" s="24"/>
      <c r="G237" s="3"/>
      <c r="H237" s="7"/>
    </row>
    <row r="238" spans="6:8" ht="15.75" customHeight="1" x14ac:dyDescent="0.2">
      <c r="F238" s="24"/>
      <c r="G238" s="3"/>
      <c r="H238" s="7"/>
    </row>
    <row r="239" spans="6:8" ht="15.75" customHeight="1" x14ac:dyDescent="0.2">
      <c r="F239" s="24"/>
      <c r="G239" s="3"/>
      <c r="H239" s="7"/>
    </row>
    <row r="240" spans="6:8" ht="15.75" customHeight="1" x14ac:dyDescent="0.2">
      <c r="F240" s="24"/>
      <c r="G240" s="3"/>
      <c r="H240" s="7"/>
    </row>
    <row r="241" spans="6:8" ht="15.75" customHeight="1" x14ac:dyDescent="0.2">
      <c r="F241" s="24"/>
      <c r="G241" s="3"/>
      <c r="H241" s="7"/>
    </row>
    <row r="242" spans="6:8" ht="15.75" customHeight="1" x14ac:dyDescent="0.2">
      <c r="F242" s="24"/>
      <c r="G242" s="3"/>
      <c r="H242" s="7"/>
    </row>
    <row r="243" spans="6:8" ht="15.75" customHeight="1" x14ac:dyDescent="0.2">
      <c r="F243" s="24"/>
      <c r="G243" s="3"/>
      <c r="H243" s="7"/>
    </row>
    <row r="244" spans="6:8" ht="15.75" customHeight="1" x14ac:dyDescent="0.2">
      <c r="F244" s="24"/>
      <c r="G244" s="3"/>
      <c r="H244" s="7"/>
    </row>
    <row r="245" spans="6:8" ht="15.75" customHeight="1" x14ac:dyDescent="0.2">
      <c r="F245" s="24"/>
      <c r="G245" s="3"/>
      <c r="H245" s="7"/>
    </row>
    <row r="246" spans="6:8" ht="15.75" customHeight="1" x14ac:dyDescent="0.2">
      <c r="F246" s="24"/>
      <c r="G246" s="3"/>
      <c r="H246" s="7"/>
    </row>
    <row r="247" spans="6:8" ht="15.75" customHeight="1" x14ac:dyDescent="0.2">
      <c r="F247" s="24"/>
      <c r="G247" s="3"/>
      <c r="H247" s="7"/>
    </row>
    <row r="248" spans="6:8" ht="15.75" customHeight="1" x14ac:dyDescent="0.2">
      <c r="F248" s="24"/>
      <c r="G248" s="3"/>
      <c r="H248" s="7"/>
    </row>
    <row r="249" spans="6:8" ht="15.75" customHeight="1" x14ac:dyDescent="0.2">
      <c r="F249" s="24"/>
      <c r="G249" s="3"/>
      <c r="H249" s="7"/>
    </row>
    <row r="250" spans="6:8" ht="15.75" customHeight="1" x14ac:dyDescent="0.2">
      <c r="F250" s="24"/>
      <c r="G250" s="3"/>
      <c r="H250" s="7"/>
    </row>
    <row r="251" spans="6:8" ht="15.75" customHeight="1" x14ac:dyDescent="0.2">
      <c r="F251" s="24"/>
      <c r="G251" s="3"/>
      <c r="H251" s="7"/>
    </row>
    <row r="252" spans="6:8" ht="15.75" customHeight="1" x14ac:dyDescent="0.2">
      <c r="F252" s="24"/>
      <c r="G252" s="3"/>
      <c r="H252" s="7"/>
    </row>
    <row r="253" spans="6:8" ht="15.75" customHeight="1" x14ac:dyDescent="0.2">
      <c r="F253" s="24"/>
      <c r="G253" s="3"/>
      <c r="H253" s="7"/>
    </row>
    <row r="254" spans="6:8" ht="15.75" customHeight="1" x14ac:dyDescent="0.2">
      <c r="F254" s="24"/>
      <c r="G254" s="3"/>
      <c r="H254" s="7"/>
    </row>
    <row r="255" spans="6:8" ht="15.75" customHeight="1" x14ac:dyDescent="0.2">
      <c r="F255" s="24"/>
      <c r="G255" s="3"/>
      <c r="H255" s="7"/>
    </row>
    <row r="256" spans="6:8" ht="15.75" customHeight="1" x14ac:dyDescent="0.2">
      <c r="F256" s="24"/>
      <c r="G256" s="3"/>
      <c r="H256" s="7"/>
    </row>
    <row r="257" spans="6:8" ht="15.75" customHeight="1" x14ac:dyDescent="0.2">
      <c r="F257" s="24"/>
      <c r="G257" s="3"/>
      <c r="H257" s="7"/>
    </row>
    <row r="258" spans="6:8" ht="15.75" customHeight="1" x14ac:dyDescent="0.2">
      <c r="F258" s="24"/>
      <c r="G258" s="3"/>
      <c r="H258" s="7"/>
    </row>
    <row r="259" spans="6:8" ht="15.75" customHeight="1" x14ac:dyDescent="0.2">
      <c r="F259" s="24"/>
      <c r="G259" s="3"/>
      <c r="H259" s="7"/>
    </row>
    <row r="260" spans="6:8" ht="15.75" customHeight="1" x14ac:dyDescent="0.2">
      <c r="F260" s="24"/>
      <c r="G260" s="3"/>
      <c r="H260" s="7"/>
    </row>
    <row r="261" spans="6:8" ht="15.75" customHeight="1" x14ac:dyDescent="0.2">
      <c r="F261" s="24"/>
      <c r="G261" s="3"/>
      <c r="H261" s="7"/>
    </row>
    <row r="262" spans="6:8" ht="15.75" customHeight="1" x14ac:dyDescent="0.2">
      <c r="F262" s="24"/>
      <c r="G262" s="3"/>
      <c r="H262" s="7"/>
    </row>
    <row r="263" spans="6:8" ht="15.75" customHeight="1" x14ac:dyDescent="0.2">
      <c r="F263" s="24"/>
      <c r="G263" s="3"/>
      <c r="H263" s="7"/>
    </row>
    <row r="264" spans="6:8" ht="15.75" customHeight="1" x14ac:dyDescent="0.2">
      <c r="F264" s="24"/>
      <c r="G264" s="3"/>
      <c r="H264" s="7"/>
    </row>
    <row r="265" spans="6:8" ht="15.75" customHeight="1" x14ac:dyDescent="0.2">
      <c r="F265" s="24"/>
      <c r="G265" s="3"/>
      <c r="H265" s="7"/>
    </row>
    <row r="266" spans="6:8" ht="15.75" customHeight="1" x14ac:dyDescent="0.2">
      <c r="F266" s="24"/>
      <c r="G266" s="3"/>
      <c r="H266" s="7"/>
    </row>
    <row r="267" spans="6:8" ht="15.75" customHeight="1" x14ac:dyDescent="0.2">
      <c r="F267" s="24"/>
      <c r="G267" s="3"/>
      <c r="H267" s="7"/>
    </row>
    <row r="268" spans="6:8" ht="15.75" customHeight="1" x14ac:dyDescent="0.2">
      <c r="F268" s="24"/>
      <c r="G268" s="3"/>
      <c r="H268" s="7"/>
    </row>
    <row r="269" spans="6:8" ht="15.75" customHeight="1" x14ac:dyDescent="0.2">
      <c r="F269" s="24"/>
      <c r="G269" s="3"/>
      <c r="H269" s="7"/>
    </row>
    <row r="270" spans="6:8" ht="15.75" customHeight="1" x14ac:dyDescent="0.2">
      <c r="F270" s="24"/>
      <c r="G270" s="3"/>
      <c r="H270" s="7"/>
    </row>
    <row r="271" spans="6:8" ht="15.75" customHeight="1" x14ac:dyDescent="0.2">
      <c r="F271" s="24"/>
      <c r="G271" s="3"/>
      <c r="H271" s="7"/>
    </row>
    <row r="272" spans="6:8" ht="15.75" customHeight="1" x14ac:dyDescent="0.2">
      <c r="F272" s="24"/>
      <c r="G272" s="3"/>
      <c r="H272" s="7"/>
    </row>
    <row r="273" spans="6:8" ht="15.75" customHeight="1" x14ac:dyDescent="0.2">
      <c r="F273" s="24"/>
      <c r="G273" s="3"/>
      <c r="H273" s="7"/>
    </row>
    <row r="274" spans="6:8" ht="15.75" customHeight="1" x14ac:dyDescent="0.2">
      <c r="F274" s="24"/>
      <c r="G274" s="3"/>
      <c r="H274" s="7"/>
    </row>
    <row r="275" spans="6:8" ht="15.75" customHeight="1" x14ac:dyDescent="0.2">
      <c r="F275" s="24"/>
      <c r="G275" s="3"/>
      <c r="H275" s="7"/>
    </row>
    <row r="276" spans="6:8" ht="15.75" customHeight="1" x14ac:dyDescent="0.2">
      <c r="F276" s="24"/>
      <c r="G276" s="3"/>
      <c r="H276" s="7"/>
    </row>
    <row r="277" spans="6:8" ht="15.75" customHeight="1" x14ac:dyDescent="0.2">
      <c r="F277" s="24"/>
      <c r="G277" s="3"/>
      <c r="H277" s="7"/>
    </row>
    <row r="278" spans="6:8" ht="15.75" customHeight="1" x14ac:dyDescent="0.2">
      <c r="F278" s="24"/>
      <c r="G278" s="3"/>
      <c r="H278" s="7"/>
    </row>
    <row r="279" spans="6:8" ht="15.75" customHeight="1" x14ac:dyDescent="0.2">
      <c r="F279" s="24"/>
      <c r="G279" s="3"/>
      <c r="H279" s="7"/>
    </row>
    <row r="280" spans="6:8" ht="15.75" customHeight="1" x14ac:dyDescent="0.2">
      <c r="F280" s="24"/>
      <c r="G280" s="3"/>
      <c r="H280" s="7"/>
    </row>
    <row r="281" spans="6:8" ht="15.75" customHeight="1" x14ac:dyDescent="0.2">
      <c r="F281" s="24"/>
      <c r="G281" s="3"/>
      <c r="H281" s="7"/>
    </row>
    <row r="282" spans="6:8" ht="15.75" customHeight="1" x14ac:dyDescent="0.2">
      <c r="F282" s="24"/>
      <c r="G282" s="3"/>
      <c r="H282" s="7"/>
    </row>
    <row r="283" spans="6:8" ht="15.75" customHeight="1" x14ac:dyDescent="0.2">
      <c r="F283" s="24"/>
      <c r="G283" s="3"/>
      <c r="H283" s="7"/>
    </row>
    <row r="284" spans="6:8" ht="15.75" customHeight="1" x14ac:dyDescent="0.2">
      <c r="F284" s="24"/>
      <c r="G284" s="3"/>
      <c r="H284" s="7"/>
    </row>
    <row r="285" spans="6:8" ht="15.75" customHeight="1" x14ac:dyDescent="0.2">
      <c r="F285" s="24"/>
      <c r="G285" s="3"/>
      <c r="H285" s="7"/>
    </row>
    <row r="286" spans="6:8" ht="15.75" customHeight="1" x14ac:dyDescent="0.2">
      <c r="F286" s="24"/>
      <c r="G286" s="3"/>
      <c r="H286" s="7"/>
    </row>
    <row r="287" spans="6:8" ht="15.75" customHeight="1" x14ac:dyDescent="0.2">
      <c r="F287" s="24"/>
      <c r="G287" s="3"/>
      <c r="H287" s="7"/>
    </row>
    <row r="288" spans="6:8" ht="15.75" customHeight="1" x14ac:dyDescent="0.2">
      <c r="F288" s="24"/>
      <c r="G288" s="3"/>
      <c r="H288" s="7"/>
    </row>
    <row r="289" spans="6:8" ht="15.75" customHeight="1" x14ac:dyDescent="0.2">
      <c r="F289" s="24"/>
      <c r="G289" s="3"/>
      <c r="H289" s="7"/>
    </row>
    <row r="290" spans="6:8" ht="15.75" customHeight="1" x14ac:dyDescent="0.2">
      <c r="F290" s="24"/>
      <c r="G290" s="3"/>
      <c r="H290" s="7"/>
    </row>
    <row r="291" spans="6:8" ht="15.75" customHeight="1" x14ac:dyDescent="0.2">
      <c r="F291" s="24"/>
      <c r="G291" s="3"/>
      <c r="H291" s="7"/>
    </row>
    <row r="292" spans="6:8" ht="15.75" customHeight="1" x14ac:dyDescent="0.2">
      <c r="F292" s="24"/>
      <c r="G292" s="3"/>
      <c r="H292" s="7"/>
    </row>
    <row r="293" spans="6:8" ht="15.75" customHeight="1" x14ac:dyDescent="0.2">
      <c r="F293" s="24"/>
      <c r="G293" s="3"/>
      <c r="H293" s="7"/>
    </row>
    <row r="294" spans="6:8" ht="15.75" customHeight="1" x14ac:dyDescent="0.2">
      <c r="F294" s="24"/>
      <c r="G294" s="3"/>
      <c r="H294" s="7"/>
    </row>
    <row r="295" spans="6:8" ht="15.75" customHeight="1" x14ac:dyDescent="0.2">
      <c r="F295" s="24"/>
      <c r="G295" s="3"/>
      <c r="H295" s="7"/>
    </row>
    <row r="296" spans="6:8" ht="15.75" customHeight="1" x14ac:dyDescent="0.2">
      <c r="F296" s="24"/>
      <c r="G296" s="3"/>
      <c r="H296" s="7"/>
    </row>
    <row r="297" spans="6:8" ht="15.75" customHeight="1" x14ac:dyDescent="0.2">
      <c r="F297" s="24"/>
      <c r="G297" s="3"/>
      <c r="H297" s="7"/>
    </row>
    <row r="298" spans="6:8" ht="15.75" customHeight="1" x14ac:dyDescent="0.2">
      <c r="F298" s="24"/>
      <c r="G298" s="3"/>
      <c r="H298" s="7"/>
    </row>
    <row r="299" spans="6:8" ht="15.75" customHeight="1" x14ac:dyDescent="0.2">
      <c r="F299" s="24"/>
      <c r="G299" s="3"/>
      <c r="H299" s="7"/>
    </row>
    <row r="300" spans="6:8" ht="15.75" customHeight="1" x14ac:dyDescent="0.2">
      <c r="F300" s="24"/>
      <c r="G300" s="3"/>
      <c r="H300" s="7"/>
    </row>
    <row r="301" spans="6:8" ht="15.75" customHeight="1" x14ac:dyDescent="0.2">
      <c r="F301" s="24"/>
      <c r="G301" s="3"/>
      <c r="H301" s="7"/>
    </row>
    <row r="302" spans="6:8" ht="15.75" customHeight="1" x14ac:dyDescent="0.2">
      <c r="F302" s="24"/>
      <c r="G302" s="3"/>
      <c r="H302" s="7"/>
    </row>
    <row r="303" spans="6:8" ht="15.75" customHeight="1" x14ac:dyDescent="0.2">
      <c r="F303" s="24"/>
      <c r="G303" s="3"/>
      <c r="H303" s="7"/>
    </row>
    <row r="304" spans="6:8" ht="15.75" customHeight="1" x14ac:dyDescent="0.2">
      <c r="F304" s="24"/>
      <c r="G304" s="3"/>
      <c r="H304" s="7"/>
    </row>
    <row r="305" spans="6:8" ht="15.75" customHeight="1" x14ac:dyDescent="0.2">
      <c r="F305" s="24"/>
      <c r="G305" s="3"/>
      <c r="H305" s="7"/>
    </row>
    <row r="306" spans="6:8" ht="15.75" customHeight="1" x14ac:dyDescent="0.2">
      <c r="F306" s="24"/>
      <c r="G306" s="3"/>
      <c r="H306" s="7"/>
    </row>
    <row r="307" spans="6:8" ht="15.75" customHeight="1" x14ac:dyDescent="0.2">
      <c r="F307" s="24"/>
      <c r="G307" s="3"/>
      <c r="H307" s="7"/>
    </row>
    <row r="308" spans="6:8" ht="15.75" customHeight="1" x14ac:dyDescent="0.2">
      <c r="F308" s="24"/>
      <c r="G308" s="3"/>
      <c r="H308" s="7"/>
    </row>
    <row r="309" spans="6:8" ht="15.75" customHeight="1" x14ac:dyDescent="0.2">
      <c r="F309" s="24"/>
      <c r="G309" s="3"/>
      <c r="H309" s="7"/>
    </row>
    <row r="310" spans="6:8" ht="15.75" customHeight="1" x14ac:dyDescent="0.2">
      <c r="F310" s="24"/>
      <c r="G310" s="3"/>
      <c r="H310" s="7"/>
    </row>
    <row r="311" spans="6:8" ht="15.75" customHeight="1" x14ac:dyDescent="0.2">
      <c r="F311" s="24"/>
      <c r="G311" s="3"/>
      <c r="H311" s="7"/>
    </row>
    <row r="312" spans="6:8" ht="15.75" customHeight="1" x14ac:dyDescent="0.2">
      <c r="F312" s="24"/>
      <c r="G312" s="3"/>
      <c r="H312" s="7"/>
    </row>
    <row r="313" spans="6:8" ht="15.75" customHeight="1" x14ac:dyDescent="0.2">
      <c r="F313" s="24"/>
      <c r="G313" s="3"/>
      <c r="H313" s="7"/>
    </row>
    <row r="314" spans="6:8" ht="15.75" customHeight="1" x14ac:dyDescent="0.2">
      <c r="F314" s="24"/>
      <c r="G314" s="3"/>
      <c r="H314" s="7"/>
    </row>
    <row r="315" spans="6:8" ht="15.75" customHeight="1" x14ac:dyDescent="0.2">
      <c r="F315" s="24"/>
      <c r="G315" s="3"/>
      <c r="H315" s="7"/>
    </row>
    <row r="316" spans="6:8" ht="15.75" customHeight="1" x14ac:dyDescent="0.2">
      <c r="F316" s="24"/>
      <c r="G316" s="3"/>
      <c r="H316" s="7"/>
    </row>
    <row r="317" spans="6:8" ht="15.75" customHeight="1" x14ac:dyDescent="0.2">
      <c r="F317" s="24"/>
      <c r="G317" s="3"/>
      <c r="H317" s="7"/>
    </row>
    <row r="318" spans="6:8" ht="15.75" customHeight="1" x14ac:dyDescent="0.2">
      <c r="F318" s="24"/>
      <c r="G318" s="3"/>
      <c r="H318" s="7"/>
    </row>
    <row r="319" spans="6:8" ht="15.75" customHeight="1" x14ac:dyDescent="0.2">
      <c r="F319" s="24"/>
      <c r="G319" s="3"/>
      <c r="H319" s="7"/>
    </row>
    <row r="320" spans="6:8" ht="15.75" customHeight="1" x14ac:dyDescent="0.2">
      <c r="F320" s="24"/>
      <c r="G320" s="3"/>
      <c r="H320" s="7"/>
    </row>
    <row r="321" spans="6:8" ht="15.75" customHeight="1" x14ac:dyDescent="0.2">
      <c r="F321" s="24"/>
      <c r="G321" s="3"/>
      <c r="H321" s="7"/>
    </row>
    <row r="322" spans="6:8" ht="15.75" customHeight="1" x14ac:dyDescent="0.2">
      <c r="F322" s="24"/>
      <c r="G322" s="3"/>
      <c r="H322" s="7"/>
    </row>
    <row r="323" spans="6:8" ht="15.75" customHeight="1" x14ac:dyDescent="0.2">
      <c r="F323" s="24"/>
      <c r="G323" s="3"/>
      <c r="H323" s="7"/>
    </row>
    <row r="324" spans="6:8" ht="15.75" customHeight="1" x14ac:dyDescent="0.2">
      <c r="F324" s="24"/>
      <c r="G324" s="3"/>
      <c r="H324" s="7"/>
    </row>
    <row r="325" spans="6:8" ht="15.75" customHeight="1" x14ac:dyDescent="0.2">
      <c r="F325" s="24"/>
      <c r="G325" s="3"/>
      <c r="H325" s="7"/>
    </row>
    <row r="326" spans="6:8" ht="15.75" customHeight="1" x14ac:dyDescent="0.2">
      <c r="F326" s="24"/>
      <c r="G326" s="3"/>
      <c r="H326" s="7"/>
    </row>
    <row r="327" spans="6:8" ht="15.75" customHeight="1" x14ac:dyDescent="0.2">
      <c r="F327" s="24"/>
      <c r="G327" s="3"/>
      <c r="H327" s="7"/>
    </row>
    <row r="328" spans="6:8" ht="15.75" customHeight="1" x14ac:dyDescent="0.2">
      <c r="F328" s="24"/>
      <c r="G328" s="3"/>
      <c r="H328" s="7"/>
    </row>
    <row r="329" spans="6:8" ht="15.75" customHeight="1" x14ac:dyDescent="0.2">
      <c r="F329" s="24"/>
      <c r="G329" s="3"/>
      <c r="H329" s="7"/>
    </row>
    <row r="330" spans="6:8" ht="15.75" customHeight="1" x14ac:dyDescent="0.2">
      <c r="F330" s="24"/>
      <c r="G330" s="3"/>
      <c r="H330" s="7"/>
    </row>
    <row r="331" spans="6:8" ht="15.75" customHeight="1" x14ac:dyDescent="0.2">
      <c r="F331" s="24"/>
      <c r="G331" s="3"/>
      <c r="H331" s="7"/>
    </row>
    <row r="332" spans="6:8" ht="15.75" customHeight="1" x14ac:dyDescent="0.2">
      <c r="F332" s="24"/>
      <c r="G332" s="3"/>
      <c r="H332" s="7"/>
    </row>
    <row r="333" spans="6:8" ht="15.75" customHeight="1" x14ac:dyDescent="0.2">
      <c r="F333" s="24"/>
      <c r="G333" s="3"/>
      <c r="H333" s="7"/>
    </row>
    <row r="334" spans="6:8" ht="15.75" customHeight="1" x14ac:dyDescent="0.2">
      <c r="F334" s="24"/>
      <c r="G334" s="3"/>
      <c r="H334" s="7"/>
    </row>
    <row r="335" spans="6:8" ht="15.75" customHeight="1" x14ac:dyDescent="0.2">
      <c r="F335" s="24"/>
      <c r="G335" s="3"/>
      <c r="H335" s="7"/>
    </row>
    <row r="336" spans="6:8" ht="15.75" customHeight="1" x14ac:dyDescent="0.2">
      <c r="F336" s="24"/>
      <c r="G336" s="3"/>
      <c r="H336" s="7"/>
    </row>
    <row r="337" spans="6:8" ht="15.75" customHeight="1" x14ac:dyDescent="0.2">
      <c r="F337" s="24"/>
      <c r="G337" s="3"/>
      <c r="H337" s="7"/>
    </row>
    <row r="338" spans="6:8" ht="15.75" customHeight="1" x14ac:dyDescent="0.2">
      <c r="F338" s="24"/>
      <c r="G338" s="3"/>
      <c r="H338" s="7"/>
    </row>
    <row r="339" spans="6:8" ht="15.75" customHeight="1" x14ac:dyDescent="0.2">
      <c r="F339" s="24"/>
      <c r="G339" s="3"/>
      <c r="H339" s="7"/>
    </row>
    <row r="340" spans="6:8" ht="15.75" customHeight="1" x14ac:dyDescent="0.2">
      <c r="F340" s="24"/>
      <c r="G340" s="3"/>
      <c r="H340" s="7"/>
    </row>
    <row r="341" spans="6:8" ht="15.75" customHeight="1" x14ac:dyDescent="0.2">
      <c r="F341" s="24"/>
      <c r="G341" s="3"/>
      <c r="H341" s="7"/>
    </row>
    <row r="342" spans="6:8" ht="15.75" customHeight="1" x14ac:dyDescent="0.2">
      <c r="F342" s="24"/>
      <c r="G342" s="3"/>
      <c r="H342" s="7"/>
    </row>
    <row r="343" spans="6:8" ht="15.75" customHeight="1" x14ac:dyDescent="0.2">
      <c r="F343" s="24"/>
      <c r="G343" s="3"/>
      <c r="H343" s="7"/>
    </row>
    <row r="344" spans="6:8" ht="15.75" customHeight="1" x14ac:dyDescent="0.2">
      <c r="F344" s="24"/>
      <c r="G344" s="3"/>
      <c r="H344" s="7"/>
    </row>
    <row r="345" spans="6:8" ht="15.75" customHeight="1" x14ac:dyDescent="0.2">
      <c r="F345" s="24"/>
      <c r="G345" s="3"/>
      <c r="H345" s="7"/>
    </row>
    <row r="346" spans="6:8" ht="15.75" customHeight="1" x14ac:dyDescent="0.2">
      <c r="F346" s="24"/>
      <c r="G346" s="3"/>
      <c r="H346" s="7"/>
    </row>
    <row r="347" spans="6:8" ht="15.75" customHeight="1" x14ac:dyDescent="0.2">
      <c r="F347" s="24"/>
      <c r="G347" s="3"/>
      <c r="H347" s="7"/>
    </row>
    <row r="348" spans="6:8" ht="15.75" customHeight="1" x14ac:dyDescent="0.2">
      <c r="F348" s="24"/>
      <c r="G348" s="3"/>
      <c r="H348" s="7"/>
    </row>
    <row r="349" spans="6:8" ht="15.75" customHeight="1" x14ac:dyDescent="0.2">
      <c r="F349" s="24"/>
      <c r="G349" s="3"/>
      <c r="H349" s="7"/>
    </row>
    <row r="350" spans="6:8" ht="15.75" customHeight="1" x14ac:dyDescent="0.2">
      <c r="F350" s="24"/>
      <c r="G350" s="3"/>
      <c r="H350" s="7"/>
    </row>
    <row r="351" spans="6:8" ht="15.75" customHeight="1" x14ac:dyDescent="0.2">
      <c r="F351" s="24"/>
      <c r="G351" s="3"/>
      <c r="H351" s="7"/>
    </row>
    <row r="352" spans="6:8" ht="15.75" customHeight="1" x14ac:dyDescent="0.2">
      <c r="F352" s="24"/>
      <c r="G352" s="3"/>
      <c r="H352" s="7"/>
    </row>
    <row r="353" spans="6:8" ht="15.75" customHeight="1" x14ac:dyDescent="0.2">
      <c r="F353" s="24"/>
      <c r="G353" s="3"/>
      <c r="H353" s="7"/>
    </row>
    <row r="354" spans="6:8" ht="15.75" customHeight="1" x14ac:dyDescent="0.2">
      <c r="F354" s="24"/>
      <c r="G354" s="3"/>
      <c r="H354" s="7"/>
    </row>
    <row r="355" spans="6:8" ht="15.75" customHeight="1" x14ac:dyDescent="0.2">
      <c r="F355" s="24"/>
      <c r="G355" s="3"/>
      <c r="H355" s="7"/>
    </row>
    <row r="356" spans="6:8" ht="15.75" customHeight="1" x14ac:dyDescent="0.2">
      <c r="F356" s="24"/>
      <c r="G356" s="3"/>
      <c r="H356" s="7"/>
    </row>
    <row r="357" spans="6:8" ht="15.75" customHeight="1" x14ac:dyDescent="0.2">
      <c r="F357" s="24"/>
      <c r="G357" s="3"/>
      <c r="H357" s="7"/>
    </row>
    <row r="358" spans="6:8" ht="15.75" customHeight="1" x14ac:dyDescent="0.2">
      <c r="F358" s="24"/>
      <c r="G358" s="3"/>
      <c r="H358" s="7"/>
    </row>
    <row r="359" spans="6:8" ht="15.75" customHeight="1" x14ac:dyDescent="0.2">
      <c r="F359" s="24"/>
      <c r="G359" s="3"/>
      <c r="H359" s="7"/>
    </row>
    <row r="360" spans="6:8" ht="15.75" customHeight="1" x14ac:dyDescent="0.2">
      <c r="F360" s="24"/>
      <c r="G360" s="3"/>
      <c r="H360" s="7"/>
    </row>
    <row r="361" spans="6:8" ht="15.75" customHeight="1" x14ac:dyDescent="0.2">
      <c r="F361" s="24"/>
      <c r="G361" s="3"/>
      <c r="H361" s="7"/>
    </row>
    <row r="362" spans="6:8" ht="15.75" customHeight="1" x14ac:dyDescent="0.2">
      <c r="F362" s="24"/>
      <c r="G362" s="3"/>
      <c r="H362" s="7"/>
    </row>
    <row r="363" spans="6:8" ht="15.75" customHeight="1" x14ac:dyDescent="0.2">
      <c r="F363" s="24"/>
      <c r="G363" s="3"/>
      <c r="H363" s="7"/>
    </row>
    <row r="364" spans="6:8" ht="15.75" customHeight="1" x14ac:dyDescent="0.2">
      <c r="F364" s="24"/>
      <c r="G364" s="3"/>
      <c r="H364" s="7"/>
    </row>
    <row r="365" spans="6:8" ht="15.75" customHeight="1" x14ac:dyDescent="0.2">
      <c r="F365" s="24"/>
      <c r="G365" s="3"/>
      <c r="H365" s="7"/>
    </row>
    <row r="366" spans="6:8" ht="15.75" customHeight="1" x14ac:dyDescent="0.2">
      <c r="F366" s="24"/>
      <c r="G366" s="3"/>
      <c r="H366" s="7"/>
    </row>
    <row r="367" spans="6:8" ht="15.75" customHeight="1" x14ac:dyDescent="0.2">
      <c r="F367" s="24"/>
      <c r="G367" s="3"/>
      <c r="H367" s="7"/>
    </row>
    <row r="368" spans="6:8" ht="15.75" customHeight="1" x14ac:dyDescent="0.2">
      <c r="F368" s="24"/>
      <c r="G368" s="3"/>
      <c r="H368" s="7"/>
    </row>
    <row r="369" spans="6:8" ht="15.75" customHeight="1" x14ac:dyDescent="0.2">
      <c r="F369" s="24"/>
      <c r="G369" s="3"/>
      <c r="H369" s="7"/>
    </row>
    <row r="370" spans="6:8" ht="15.75" customHeight="1" x14ac:dyDescent="0.2">
      <c r="F370" s="24"/>
      <c r="G370" s="3"/>
      <c r="H370" s="7"/>
    </row>
    <row r="371" spans="6:8" ht="15.75" customHeight="1" x14ac:dyDescent="0.2">
      <c r="F371" s="24"/>
      <c r="G371" s="3"/>
      <c r="H371" s="7"/>
    </row>
    <row r="372" spans="6:8" ht="15.75" customHeight="1" x14ac:dyDescent="0.2">
      <c r="F372" s="24"/>
      <c r="G372" s="3"/>
      <c r="H372" s="7"/>
    </row>
    <row r="373" spans="6:8" ht="15.75" customHeight="1" x14ac:dyDescent="0.2">
      <c r="F373" s="24"/>
      <c r="G373" s="3"/>
      <c r="H373" s="7"/>
    </row>
    <row r="374" spans="6:8" ht="15.75" customHeight="1" x14ac:dyDescent="0.2">
      <c r="F374" s="24"/>
      <c r="G374" s="3"/>
      <c r="H374" s="7"/>
    </row>
    <row r="375" spans="6:8" ht="15.75" customHeight="1" x14ac:dyDescent="0.2">
      <c r="F375" s="24"/>
      <c r="G375" s="3"/>
      <c r="H375" s="7"/>
    </row>
    <row r="376" spans="6:8" ht="15.75" customHeight="1" x14ac:dyDescent="0.2">
      <c r="F376" s="24"/>
      <c r="G376" s="3"/>
      <c r="H376" s="7"/>
    </row>
    <row r="377" spans="6:8" ht="15.75" customHeight="1" x14ac:dyDescent="0.2">
      <c r="F377" s="24"/>
      <c r="G377" s="3"/>
      <c r="H377" s="7"/>
    </row>
    <row r="378" spans="6:8" ht="15.75" customHeight="1" x14ac:dyDescent="0.2">
      <c r="F378" s="24"/>
      <c r="G378" s="3"/>
      <c r="H378" s="7"/>
    </row>
    <row r="379" spans="6:8" ht="15.75" customHeight="1" x14ac:dyDescent="0.2">
      <c r="F379" s="24"/>
      <c r="G379" s="3"/>
      <c r="H379" s="7"/>
    </row>
    <row r="380" spans="6:8" ht="15.75" customHeight="1" x14ac:dyDescent="0.2">
      <c r="F380" s="24"/>
      <c r="G380" s="3"/>
      <c r="H380" s="7"/>
    </row>
    <row r="381" spans="6:8" ht="15.75" customHeight="1" x14ac:dyDescent="0.2">
      <c r="F381" s="24"/>
      <c r="G381" s="3"/>
      <c r="H381" s="7"/>
    </row>
    <row r="382" spans="6:8" ht="15.75" customHeight="1" x14ac:dyDescent="0.2">
      <c r="F382" s="24"/>
      <c r="G382" s="3"/>
      <c r="H382" s="7"/>
    </row>
    <row r="383" spans="6:8" ht="15.75" customHeight="1" x14ac:dyDescent="0.2">
      <c r="F383" s="24"/>
      <c r="G383" s="3"/>
      <c r="H383" s="7"/>
    </row>
    <row r="384" spans="6:8" ht="15.75" customHeight="1" x14ac:dyDescent="0.2">
      <c r="F384" s="24"/>
      <c r="G384" s="3"/>
      <c r="H384" s="7"/>
    </row>
    <row r="385" spans="6:8" ht="15.75" customHeight="1" x14ac:dyDescent="0.2">
      <c r="F385" s="24"/>
      <c r="G385" s="3"/>
      <c r="H385" s="7"/>
    </row>
    <row r="386" spans="6:8" ht="15.75" customHeight="1" x14ac:dyDescent="0.2">
      <c r="F386" s="24"/>
      <c r="G386" s="3"/>
      <c r="H386" s="7"/>
    </row>
    <row r="387" spans="6:8" ht="15.75" customHeight="1" x14ac:dyDescent="0.2">
      <c r="F387" s="24"/>
      <c r="G387" s="3"/>
      <c r="H387" s="7"/>
    </row>
    <row r="388" spans="6:8" ht="15.75" customHeight="1" x14ac:dyDescent="0.2">
      <c r="F388" s="24"/>
      <c r="G388" s="3"/>
      <c r="H388" s="7"/>
    </row>
    <row r="389" spans="6:8" ht="15.75" customHeight="1" x14ac:dyDescent="0.2">
      <c r="F389" s="24"/>
      <c r="G389" s="3"/>
      <c r="H389" s="7"/>
    </row>
    <row r="390" spans="6:8" ht="15.75" customHeight="1" x14ac:dyDescent="0.2">
      <c r="F390" s="24"/>
      <c r="G390" s="3"/>
      <c r="H390" s="7"/>
    </row>
    <row r="391" spans="6:8" ht="15.75" customHeight="1" x14ac:dyDescent="0.2">
      <c r="F391" s="24"/>
      <c r="G391" s="3"/>
      <c r="H391" s="7"/>
    </row>
    <row r="392" spans="6:8" ht="15.75" customHeight="1" x14ac:dyDescent="0.2">
      <c r="F392" s="24"/>
      <c r="G392" s="3"/>
      <c r="H392" s="7"/>
    </row>
    <row r="393" spans="6:8" ht="15.75" customHeight="1" x14ac:dyDescent="0.2">
      <c r="F393" s="24"/>
      <c r="G393" s="3"/>
      <c r="H393" s="7"/>
    </row>
    <row r="394" spans="6:8" ht="15.75" customHeight="1" x14ac:dyDescent="0.2">
      <c r="F394" s="24"/>
      <c r="G394" s="3"/>
      <c r="H394" s="7"/>
    </row>
    <row r="395" spans="6:8" ht="15.75" customHeight="1" x14ac:dyDescent="0.2">
      <c r="F395" s="24"/>
      <c r="G395" s="3"/>
      <c r="H395" s="7"/>
    </row>
    <row r="396" spans="6:8" ht="15.75" customHeight="1" x14ac:dyDescent="0.2">
      <c r="F396" s="24"/>
      <c r="G396" s="3"/>
      <c r="H396" s="7"/>
    </row>
    <row r="397" spans="6:8" ht="15.75" customHeight="1" x14ac:dyDescent="0.2">
      <c r="F397" s="24"/>
      <c r="G397" s="3"/>
      <c r="H397" s="7"/>
    </row>
    <row r="398" spans="6:8" ht="15.75" customHeight="1" x14ac:dyDescent="0.2">
      <c r="F398" s="24"/>
      <c r="G398" s="3"/>
      <c r="H398" s="7"/>
    </row>
    <row r="399" spans="6:8" ht="15.75" customHeight="1" x14ac:dyDescent="0.2">
      <c r="F399" s="24"/>
      <c r="G399" s="3"/>
      <c r="H399" s="7"/>
    </row>
    <row r="400" spans="6:8" ht="15.75" customHeight="1" x14ac:dyDescent="0.2">
      <c r="F400" s="24"/>
      <c r="G400" s="3"/>
      <c r="H400" s="7"/>
    </row>
    <row r="401" spans="6:8" ht="15.75" customHeight="1" x14ac:dyDescent="0.2">
      <c r="F401" s="24"/>
      <c r="G401" s="3"/>
      <c r="H401" s="7"/>
    </row>
    <row r="402" spans="6:8" ht="15.75" customHeight="1" x14ac:dyDescent="0.2">
      <c r="F402" s="24"/>
      <c r="G402" s="3"/>
      <c r="H402" s="7"/>
    </row>
    <row r="403" spans="6:8" ht="15.75" customHeight="1" x14ac:dyDescent="0.2">
      <c r="F403" s="24"/>
      <c r="G403" s="3"/>
      <c r="H403" s="7"/>
    </row>
    <row r="404" spans="6:8" ht="15.75" customHeight="1" x14ac:dyDescent="0.2">
      <c r="F404" s="24"/>
      <c r="G404" s="3"/>
      <c r="H404" s="7"/>
    </row>
    <row r="405" spans="6:8" ht="15.75" customHeight="1" x14ac:dyDescent="0.2">
      <c r="F405" s="24"/>
      <c r="G405" s="3"/>
      <c r="H405" s="7"/>
    </row>
    <row r="406" spans="6:8" ht="15.75" customHeight="1" x14ac:dyDescent="0.2">
      <c r="F406" s="24"/>
      <c r="G406" s="3"/>
      <c r="H406" s="7"/>
    </row>
    <row r="407" spans="6:8" ht="15.75" customHeight="1" x14ac:dyDescent="0.2">
      <c r="F407" s="24"/>
      <c r="G407" s="3"/>
      <c r="H407" s="7"/>
    </row>
    <row r="408" spans="6:8" ht="15.75" customHeight="1" x14ac:dyDescent="0.2">
      <c r="F408" s="24"/>
      <c r="G408" s="3"/>
      <c r="H408" s="7"/>
    </row>
    <row r="409" spans="6:8" ht="15.75" customHeight="1" x14ac:dyDescent="0.2">
      <c r="F409" s="24"/>
      <c r="G409" s="3"/>
      <c r="H409" s="7"/>
    </row>
    <row r="410" spans="6:8" ht="15.75" customHeight="1" x14ac:dyDescent="0.2">
      <c r="F410" s="24"/>
      <c r="G410" s="3"/>
      <c r="H410" s="7"/>
    </row>
    <row r="411" spans="6:8" ht="15.75" customHeight="1" x14ac:dyDescent="0.2">
      <c r="F411" s="24"/>
      <c r="G411" s="3"/>
      <c r="H411" s="7"/>
    </row>
    <row r="412" spans="6:8" ht="15.75" customHeight="1" x14ac:dyDescent="0.2">
      <c r="F412" s="24"/>
      <c r="G412" s="3"/>
      <c r="H412" s="7"/>
    </row>
    <row r="413" spans="6:8" ht="15.75" customHeight="1" x14ac:dyDescent="0.2">
      <c r="F413" s="24"/>
      <c r="G413" s="3"/>
      <c r="H413" s="7"/>
    </row>
    <row r="414" spans="6:8" ht="15.75" customHeight="1" x14ac:dyDescent="0.2">
      <c r="F414" s="24"/>
      <c r="G414" s="3"/>
      <c r="H414" s="7"/>
    </row>
    <row r="415" spans="6:8" ht="15.75" customHeight="1" x14ac:dyDescent="0.2">
      <c r="F415" s="24"/>
      <c r="G415" s="3"/>
      <c r="H415" s="7"/>
    </row>
    <row r="416" spans="6:8" ht="15.75" customHeight="1" x14ac:dyDescent="0.2">
      <c r="F416" s="24"/>
      <c r="G416" s="3"/>
      <c r="H416" s="7"/>
    </row>
    <row r="417" spans="6:8" ht="15.75" customHeight="1" x14ac:dyDescent="0.2">
      <c r="F417" s="24"/>
      <c r="G417" s="3"/>
      <c r="H417" s="7"/>
    </row>
    <row r="418" spans="6:8" ht="15.75" customHeight="1" x14ac:dyDescent="0.2">
      <c r="F418" s="24"/>
      <c r="G418" s="3"/>
      <c r="H418" s="7"/>
    </row>
    <row r="419" spans="6:8" ht="15.75" customHeight="1" x14ac:dyDescent="0.2">
      <c r="F419" s="24"/>
      <c r="G419" s="3"/>
      <c r="H419" s="7"/>
    </row>
    <row r="420" spans="6:8" ht="15.75" customHeight="1" x14ac:dyDescent="0.2">
      <c r="F420" s="24"/>
      <c r="G420" s="3"/>
      <c r="H420" s="7"/>
    </row>
    <row r="421" spans="6:8" ht="15.75" customHeight="1" x14ac:dyDescent="0.2">
      <c r="F421" s="24"/>
      <c r="G421" s="3"/>
      <c r="H421" s="7"/>
    </row>
    <row r="422" spans="6:8" ht="15.75" customHeight="1" x14ac:dyDescent="0.2">
      <c r="F422" s="24"/>
      <c r="G422" s="3"/>
      <c r="H422" s="7"/>
    </row>
    <row r="423" spans="6:8" ht="15.75" customHeight="1" x14ac:dyDescent="0.2">
      <c r="F423" s="24"/>
      <c r="G423" s="3"/>
      <c r="H423" s="7"/>
    </row>
    <row r="424" spans="6:8" ht="15.75" customHeight="1" x14ac:dyDescent="0.2">
      <c r="F424" s="24"/>
      <c r="G424" s="3"/>
      <c r="H424" s="7"/>
    </row>
    <row r="425" spans="6:8" ht="15.75" customHeight="1" x14ac:dyDescent="0.2">
      <c r="F425" s="24"/>
      <c r="G425" s="3"/>
      <c r="H425" s="7"/>
    </row>
    <row r="426" spans="6:8" ht="15.75" customHeight="1" x14ac:dyDescent="0.2">
      <c r="F426" s="24"/>
      <c r="G426" s="3"/>
      <c r="H426" s="7"/>
    </row>
    <row r="427" spans="6:8" ht="15.75" customHeight="1" x14ac:dyDescent="0.2">
      <c r="F427" s="24"/>
      <c r="G427" s="3"/>
      <c r="H427" s="7"/>
    </row>
    <row r="428" spans="6:8" ht="15.75" customHeight="1" x14ac:dyDescent="0.2">
      <c r="F428" s="24"/>
      <c r="G428" s="3"/>
      <c r="H428" s="7"/>
    </row>
    <row r="429" spans="6:8" ht="15.75" customHeight="1" x14ac:dyDescent="0.2">
      <c r="F429" s="24"/>
      <c r="G429" s="3"/>
      <c r="H429" s="7"/>
    </row>
    <row r="430" spans="6:8" ht="15.75" customHeight="1" x14ac:dyDescent="0.2">
      <c r="F430" s="24"/>
      <c r="G430" s="3"/>
      <c r="H430" s="7"/>
    </row>
    <row r="431" spans="6:8" ht="15.75" customHeight="1" x14ac:dyDescent="0.2">
      <c r="F431" s="24"/>
      <c r="G431" s="3"/>
      <c r="H431" s="7"/>
    </row>
    <row r="432" spans="6:8" ht="15.75" customHeight="1" x14ac:dyDescent="0.2">
      <c r="F432" s="24"/>
      <c r="G432" s="3"/>
      <c r="H432" s="7"/>
    </row>
    <row r="433" spans="6:8" ht="15.75" customHeight="1" x14ac:dyDescent="0.2">
      <c r="F433" s="24"/>
      <c r="G433" s="3"/>
      <c r="H433" s="7"/>
    </row>
    <row r="434" spans="6:8" ht="15.75" customHeight="1" x14ac:dyDescent="0.2">
      <c r="F434" s="24"/>
      <c r="G434" s="3"/>
      <c r="H434" s="7"/>
    </row>
    <row r="435" spans="6:8" ht="15.75" customHeight="1" x14ac:dyDescent="0.2">
      <c r="F435" s="24"/>
      <c r="G435" s="3"/>
      <c r="H435" s="7"/>
    </row>
    <row r="436" spans="6:8" ht="15.75" customHeight="1" x14ac:dyDescent="0.2">
      <c r="F436" s="24"/>
      <c r="G436" s="3"/>
      <c r="H436" s="7"/>
    </row>
    <row r="437" spans="6:8" ht="15.75" customHeight="1" x14ac:dyDescent="0.2">
      <c r="F437" s="24"/>
      <c r="G437" s="3"/>
      <c r="H437" s="7"/>
    </row>
    <row r="438" spans="6:8" ht="15.75" customHeight="1" x14ac:dyDescent="0.2">
      <c r="F438" s="24"/>
      <c r="G438" s="3"/>
      <c r="H438" s="7"/>
    </row>
    <row r="439" spans="6:8" ht="15.75" customHeight="1" x14ac:dyDescent="0.2">
      <c r="F439" s="24"/>
      <c r="G439" s="3"/>
      <c r="H439" s="7"/>
    </row>
    <row r="440" spans="6:8" ht="15.75" customHeight="1" x14ac:dyDescent="0.2">
      <c r="F440" s="24"/>
      <c r="G440" s="3"/>
      <c r="H440" s="7"/>
    </row>
    <row r="441" spans="6:8" ht="15.75" customHeight="1" x14ac:dyDescent="0.2">
      <c r="F441" s="24"/>
      <c r="G441" s="3"/>
      <c r="H441" s="7"/>
    </row>
    <row r="442" spans="6:8" ht="15.75" customHeight="1" x14ac:dyDescent="0.2">
      <c r="F442" s="24"/>
      <c r="G442" s="3"/>
      <c r="H442" s="7"/>
    </row>
    <row r="443" spans="6:8" ht="15.75" customHeight="1" x14ac:dyDescent="0.2">
      <c r="F443" s="24"/>
      <c r="G443" s="3"/>
      <c r="H443" s="7"/>
    </row>
    <row r="444" spans="6:8" ht="15.75" customHeight="1" x14ac:dyDescent="0.2">
      <c r="F444" s="24"/>
      <c r="G444" s="3"/>
      <c r="H444" s="7"/>
    </row>
    <row r="445" spans="6:8" ht="15.75" customHeight="1" x14ac:dyDescent="0.2">
      <c r="F445" s="24"/>
      <c r="G445" s="3"/>
      <c r="H445" s="7"/>
    </row>
    <row r="446" spans="6:8" ht="15.75" customHeight="1" x14ac:dyDescent="0.2">
      <c r="F446" s="24"/>
      <c r="G446" s="3"/>
      <c r="H446" s="7"/>
    </row>
    <row r="447" spans="6:8" ht="15.75" customHeight="1" x14ac:dyDescent="0.2">
      <c r="F447" s="24"/>
      <c r="G447" s="3"/>
      <c r="H447" s="7"/>
    </row>
    <row r="448" spans="6:8" ht="15.75" customHeight="1" x14ac:dyDescent="0.2">
      <c r="F448" s="24"/>
      <c r="G448" s="3"/>
      <c r="H448" s="7"/>
    </row>
    <row r="449" spans="6:8" ht="15.75" customHeight="1" x14ac:dyDescent="0.2">
      <c r="F449" s="24"/>
      <c r="G449" s="3"/>
      <c r="H449" s="7"/>
    </row>
    <row r="450" spans="6:8" ht="15.75" customHeight="1" x14ac:dyDescent="0.2">
      <c r="F450" s="24"/>
      <c r="G450" s="3"/>
      <c r="H450" s="7"/>
    </row>
    <row r="451" spans="6:8" ht="15.75" customHeight="1" x14ac:dyDescent="0.2">
      <c r="F451" s="24"/>
      <c r="G451" s="3"/>
      <c r="H451" s="7"/>
    </row>
    <row r="452" spans="6:8" ht="15.75" customHeight="1" x14ac:dyDescent="0.2">
      <c r="F452" s="24"/>
      <c r="G452" s="3"/>
      <c r="H452" s="7"/>
    </row>
    <row r="453" spans="6:8" ht="15.75" customHeight="1" x14ac:dyDescent="0.2">
      <c r="F453" s="24"/>
      <c r="G453" s="3"/>
      <c r="H453" s="7"/>
    </row>
    <row r="454" spans="6:8" ht="15.75" customHeight="1" x14ac:dyDescent="0.2">
      <c r="F454" s="24"/>
      <c r="G454" s="3"/>
      <c r="H454" s="7"/>
    </row>
    <row r="455" spans="6:8" ht="15.75" customHeight="1" x14ac:dyDescent="0.2">
      <c r="F455" s="24"/>
      <c r="G455" s="3"/>
      <c r="H455" s="7"/>
    </row>
    <row r="456" spans="6:8" ht="15.75" customHeight="1" x14ac:dyDescent="0.2">
      <c r="F456" s="24"/>
      <c r="G456" s="3"/>
      <c r="H456" s="7"/>
    </row>
    <row r="457" spans="6:8" ht="15.75" customHeight="1" x14ac:dyDescent="0.2">
      <c r="F457" s="24"/>
      <c r="G457" s="3"/>
      <c r="H457" s="7"/>
    </row>
    <row r="458" spans="6:8" ht="15.75" customHeight="1" x14ac:dyDescent="0.2">
      <c r="F458" s="24"/>
      <c r="G458" s="3"/>
      <c r="H458" s="7"/>
    </row>
    <row r="459" spans="6:8" ht="15.75" customHeight="1" x14ac:dyDescent="0.2">
      <c r="F459" s="24"/>
      <c r="G459" s="3"/>
      <c r="H459" s="7"/>
    </row>
    <row r="460" spans="6:8" ht="15.75" customHeight="1" x14ac:dyDescent="0.2">
      <c r="F460" s="24"/>
      <c r="G460" s="3"/>
      <c r="H460" s="7"/>
    </row>
    <row r="461" spans="6:8" ht="15.75" customHeight="1" x14ac:dyDescent="0.2">
      <c r="F461" s="24"/>
      <c r="G461" s="3"/>
      <c r="H461" s="7"/>
    </row>
    <row r="462" spans="6:8" ht="15.75" customHeight="1" x14ac:dyDescent="0.2">
      <c r="F462" s="24"/>
      <c r="G462" s="3"/>
      <c r="H462" s="7"/>
    </row>
    <row r="463" spans="6:8" ht="15.75" customHeight="1" x14ac:dyDescent="0.2">
      <c r="F463" s="24"/>
      <c r="G463" s="3"/>
      <c r="H463" s="7"/>
    </row>
    <row r="464" spans="6:8" ht="15.75" customHeight="1" x14ac:dyDescent="0.2">
      <c r="F464" s="24"/>
      <c r="G464" s="3"/>
      <c r="H464" s="7"/>
    </row>
    <row r="465" spans="6:8" ht="15.75" customHeight="1" x14ac:dyDescent="0.2">
      <c r="F465" s="24"/>
      <c r="G465" s="3"/>
      <c r="H465" s="7"/>
    </row>
    <row r="466" spans="6:8" ht="15.75" customHeight="1" x14ac:dyDescent="0.2">
      <c r="F466" s="24"/>
      <c r="G466" s="3"/>
      <c r="H466" s="7"/>
    </row>
    <row r="467" spans="6:8" ht="15.75" customHeight="1" x14ac:dyDescent="0.2">
      <c r="F467" s="24"/>
      <c r="G467" s="3"/>
      <c r="H467" s="7"/>
    </row>
    <row r="468" spans="6:8" ht="15.75" customHeight="1" x14ac:dyDescent="0.2">
      <c r="F468" s="24"/>
      <c r="G468" s="3"/>
      <c r="H468" s="7"/>
    </row>
    <row r="469" spans="6:8" ht="15.75" customHeight="1" x14ac:dyDescent="0.2">
      <c r="F469" s="24"/>
      <c r="G469" s="3"/>
      <c r="H469" s="7"/>
    </row>
    <row r="470" spans="6:8" ht="15.75" customHeight="1" x14ac:dyDescent="0.2">
      <c r="F470" s="24"/>
      <c r="G470" s="3"/>
      <c r="H470" s="7"/>
    </row>
    <row r="471" spans="6:8" ht="15.75" customHeight="1" x14ac:dyDescent="0.2">
      <c r="F471" s="24"/>
      <c r="G471" s="3"/>
      <c r="H471" s="7"/>
    </row>
    <row r="472" spans="6:8" ht="15.75" customHeight="1" x14ac:dyDescent="0.2">
      <c r="F472" s="24"/>
      <c r="G472" s="3"/>
      <c r="H472" s="7"/>
    </row>
    <row r="473" spans="6:8" ht="15.75" customHeight="1" x14ac:dyDescent="0.2">
      <c r="F473" s="24"/>
      <c r="G473" s="3"/>
      <c r="H473" s="7"/>
    </row>
    <row r="474" spans="6:8" ht="15.75" customHeight="1" x14ac:dyDescent="0.2">
      <c r="F474" s="24"/>
      <c r="G474" s="3"/>
      <c r="H474" s="7"/>
    </row>
    <row r="475" spans="6:8" ht="15.75" customHeight="1" x14ac:dyDescent="0.2">
      <c r="F475" s="24"/>
      <c r="G475" s="3"/>
      <c r="H475" s="7"/>
    </row>
    <row r="476" spans="6:8" ht="15.75" customHeight="1" x14ac:dyDescent="0.2">
      <c r="F476" s="24"/>
      <c r="G476" s="3"/>
      <c r="H476" s="7"/>
    </row>
    <row r="477" spans="6:8" ht="15.75" customHeight="1" x14ac:dyDescent="0.2">
      <c r="F477" s="24"/>
      <c r="G477" s="3"/>
      <c r="H477" s="7"/>
    </row>
    <row r="478" spans="6:8" ht="15.75" customHeight="1" x14ac:dyDescent="0.2">
      <c r="F478" s="24"/>
      <c r="G478" s="3"/>
      <c r="H478" s="7"/>
    </row>
    <row r="479" spans="6:8" ht="15.75" customHeight="1" x14ac:dyDescent="0.2">
      <c r="F479" s="24"/>
      <c r="G479" s="3"/>
      <c r="H479" s="7"/>
    </row>
    <row r="480" spans="6:8" ht="15.75" customHeight="1" x14ac:dyDescent="0.2">
      <c r="F480" s="24"/>
      <c r="G480" s="3"/>
      <c r="H480" s="7"/>
    </row>
    <row r="481" spans="6:8" ht="15.75" customHeight="1" x14ac:dyDescent="0.2">
      <c r="F481" s="24"/>
      <c r="G481" s="3"/>
      <c r="H481" s="7"/>
    </row>
    <row r="482" spans="6:8" ht="15.75" customHeight="1" x14ac:dyDescent="0.2">
      <c r="F482" s="24"/>
      <c r="G482" s="3"/>
      <c r="H482" s="7"/>
    </row>
    <row r="483" spans="6:8" ht="15.75" customHeight="1" x14ac:dyDescent="0.2">
      <c r="F483" s="24"/>
      <c r="G483" s="3"/>
      <c r="H483" s="7"/>
    </row>
    <row r="484" spans="6:8" ht="15.75" customHeight="1" x14ac:dyDescent="0.2">
      <c r="F484" s="24"/>
      <c r="G484" s="3"/>
      <c r="H484" s="7"/>
    </row>
    <row r="485" spans="6:8" ht="15.75" customHeight="1" x14ac:dyDescent="0.2">
      <c r="F485" s="24"/>
      <c r="G485" s="3"/>
      <c r="H485" s="7"/>
    </row>
    <row r="486" spans="6:8" ht="15.75" customHeight="1" x14ac:dyDescent="0.2">
      <c r="F486" s="24"/>
      <c r="G486" s="3"/>
      <c r="H486" s="7"/>
    </row>
    <row r="487" spans="6:8" ht="15.75" customHeight="1" x14ac:dyDescent="0.2">
      <c r="F487" s="24"/>
      <c r="G487" s="3"/>
      <c r="H487" s="7"/>
    </row>
    <row r="488" spans="6:8" ht="15.75" customHeight="1" x14ac:dyDescent="0.2">
      <c r="F488" s="24"/>
      <c r="G488" s="3"/>
      <c r="H488" s="7"/>
    </row>
    <row r="489" spans="6:8" ht="15.75" customHeight="1" x14ac:dyDescent="0.2">
      <c r="F489" s="24"/>
      <c r="G489" s="3"/>
      <c r="H489" s="7"/>
    </row>
    <row r="490" spans="6:8" ht="15.75" customHeight="1" x14ac:dyDescent="0.2">
      <c r="F490" s="24"/>
      <c r="G490" s="3"/>
      <c r="H490" s="7"/>
    </row>
    <row r="491" spans="6:8" ht="15.75" customHeight="1" x14ac:dyDescent="0.2">
      <c r="F491" s="24"/>
      <c r="G491" s="3"/>
      <c r="H491" s="7"/>
    </row>
    <row r="492" spans="6:8" ht="15.75" customHeight="1" x14ac:dyDescent="0.2">
      <c r="F492" s="24"/>
      <c r="G492" s="3"/>
      <c r="H492" s="7"/>
    </row>
    <row r="493" spans="6:8" ht="15.75" customHeight="1" x14ac:dyDescent="0.2">
      <c r="F493" s="24"/>
      <c r="G493" s="3"/>
      <c r="H493" s="7"/>
    </row>
    <row r="494" spans="6:8" ht="15.75" customHeight="1" x14ac:dyDescent="0.2">
      <c r="F494" s="24"/>
      <c r="G494" s="3"/>
      <c r="H494" s="7"/>
    </row>
    <row r="495" spans="6:8" ht="15.75" customHeight="1" x14ac:dyDescent="0.2">
      <c r="F495" s="24"/>
      <c r="G495" s="3"/>
      <c r="H495" s="7"/>
    </row>
    <row r="496" spans="6:8" ht="15.75" customHeight="1" x14ac:dyDescent="0.2">
      <c r="F496" s="24"/>
      <c r="G496" s="3"/>
      <c r="H496" s="7"/>
    </row>
    <row r="497" spans="6:8" ht="15.75" customHeight="1" x14ac:dyDescent="0.2">
      <c r="F497" s="24"/>
      <c r="G497" s="3"/>
      <c r="H497" s="7"/>
    </row>
    <row r="498" spans="6:8" ht="15.75" customHeight="1" x14ac:dyDescent="0.2">
      <c r="F498" s="24"/>
      <c r="G498" s="3"/>
      <c r="H498" s="7"/>
    </row>
    <row r="499" spans="6:8" ht="15.75" customHeight="1" x14ac:dyDescent="0.2">
      <c r="F499" s="24"/>
      <c r="G499" s="3"/>
      <c r="H499" s="7"/>
    </row>
    <row r="500" spans="6:8" ht="15.75" customHeight="1" x14ac:dyDescent="0.2">
      <c r="F500" s="24"/>
      <c r="G500" s="3"/>
      <c r="H500" s="7"/>
    </row>
    <row r="501" spans="6:8" ht="15.75" customHeight="1" x14ac:dyDescent="0.2">
      <c r="F501" s="24"/>
      <c r="G501" s="3"/>
      <c r="H501" s="7"/>
    </row>
    <row r="502" spans="6:8" ht="15.75" customHeight="1" x14ac:dyDescent="0.2">
      <c r="F502" s="24"/>
      <c r="G502" s="3"/>
      <c r="H502" s="7"/>
    </row>
    <row r="503" spans="6:8" ht="15.75" customHeight="1" x14ac:dyDescent="0.2">
      <c r="F503" s="24"/>
      <c r="G503" s="3"/>
      <c r="H503" s="7"/>
    </row>
    <row r="504" spans="6:8" ht="15.75" customHeight="1" x14ac:dyDescent="0.2">
      <c r="F504" s="24"/>
      <c r="G504" s="3"/>
      <c r="H504" s="7"/>
    </row>
    <row r="505" spans="6:8" ht="15.75" customHeight="1" x14ac:dyDescent="0.2">
      <c r="F505" s="24"/>
      <c r="G505" s="3"/>
      <c r="H505" s="7"/>
    </row>
    <row r="506" spans="6:8" ht="15.75" customHeight="1" x14ac:dyDescent="0.2">
      <c r="F506" s="24"/>
      <c r="G506" s="3"/>
      <c r="H506" s="7"/>
    </row>
    <row r="507" spans="6:8" ht="15.75" customHeight="1" x14ac:dyDescent="0.2">
      <c r="F507" s="24"/>
      <c r="G507" s="3"/>
      <c r="H507" s="7"/>
    </row>
    <row r="508" spans="6:8" ht="15.75" customHeight="1" x14ac:dyDescent="0.2">
      <c r="F508" s="24"/>
      <c r="G508" s="3"/>
      <c r="H508" s="7"/>
    </row>
    <row r="509" spans="6:8" ht="15.75" customHeight="1" x14ac:dyDescent="0.2">
      <c r="F509" s="24"/>
      <c r="G509" s="3"/>
      <c r="H509" s="7"/>
    </row>
    <row r="510" spans="6:8" ht="15.75" customHeight="1" x14ac:dyDescent="0.2">
      <c r="F510" s="24"/>
      <c r="G510" s="3"/>
      <c r="H510" s="7"/>
    </row>
    <row r="511" spans="6:8" ht="15.75" customHeight="1" x14ac:dyDescent="0.2">
      <c r="F511" s="24"/>
      <c r="G511" s="3"/>
      <c r="H511" s="7"/>
    </row>
    <row r="512" spans="6:8" ht="15.75" customHeight="1" x14ac:dyDescent="0.2">
      <c r="F512" s="24"/>
      <c r="G512" s="3"/>
      <c r="H512" s="7"/>
    </row>
    <row r="513" spans="6:8" ht="15.75" customHeight="1" x14ac:dyDescent="0.2">
      <c r="F513" s="24"/>
      <c r="G513" s="3"/>
      <c r="H513" s="7"/>
    </row>
    <row r="514" spans="6:8" ht="15.75" customHeight="1" x14ac:dyDescent="0.2">
      <c r="F514" s="24"/>
      <c r="G514" s="3"/>
      <c r="H514" s="7"/>
    </row>
    <row r="515" spans="6:8" ht="15.75" customHeight="1" x14ac:dyDescent="0.2">
      <c r="F515" s="24"/>
      <c r="G515" s="3"/>
      <c r="H515" s="7"/>
    </row>
    <row r="516" spans="6:8" ht="15.75" customHeight="1" x14ac:dyDescent="0.2">
      <c r="F516" s="24"/>
      <c r="G516" s="3"/>
      <c r="H516" s="7"/>
    </row>
    <row r="517" spans="6:8" ht="15.75" customHeight="1" x14ac:dyDescent="0.2">
      <c r="F517" s="24"/>
      <c r="G517" s="3"/>
      <c r="H517" s="7"/>
    </row>
    <row r="518" spans="6:8" ht="15.75" customHeight="1" x14ac:dyDescent="0.2">
      <c r="F518" s="24"/>
      <c r="G518" s="3"/>
      <c r="H518" s="7"/>
    </row>
    <row r="519" spans="6:8" ht="15.75" customHeight="1" x14ac:dyDescent="0.2">
      <c r="F519" s="24"/>
      <c r="G519" s="3"/>
      <c r="H519" s="7"/>
    </row>
    <row r="520" spans="6:8" ht="15.75" customHeight="1" x14ac:dyDescent="0.2">
      <c r="F520" s="24"/>
      <c r="G520" s="3"/>
      <c r="H520" s="7"/>
    </row>
    <row r="521" spans="6:8" ht="15.75" customHeight="1" x14ac:dyDescent="0.2">
      <c r="F521" s="24"/>
      <c r="G521" s="3"/>
      <c r="H521" s="7"/>
    </row>
    <row r="522" spans="6:8" ht="15.75" customHeight="1" x14ac:dyDescent="0.2">
      <c r="F522" s="24"/>
      <c r="G522" s="3"/>
      <c r="H522" s="7"/>
    </row>
    <row r="523" spans="6:8" ht="15.75" customHeight="1" x14ac:dyDescent="0.2">
      <c r="F523" s="24"/>
      <c r="G523" s="3"/>
      <c r="H523" s="7"/>
    </row>
    <row r="524" spans="6:8" ht="15.75" customHeight="1" x14ac:dyDescent="0.2">
      <c r="F524" s="24"/>
      <c r="G524" s="3"/>
      <c r="H524" s="7"/>
    </row>
    <row r="525" spans="6:8" ht="15.75" customHeight="1" x14ac:dyDescent="0.2">
      <c r="F525" s="24"/>
      <c r="G525" s="3"/>
      <c r="H525" s="7"/>
    </row>
    <row r="526" spans="6:8" ht="15.75" customHeight="1" x14ac:dyDescent="0.2">
      <c r="F526" s="24"/>
      <c r="G526" s="3"/>
      <c r="H526" s="7"/>
    </row>
    <row r="527" spans="6:8" ht="15.75" customHeight="1" x14ac:dyDescent="0.2">
      <c r="F527" s="24"/>
      <c r="G527" s="3"/>
      <c r="H527" s="7"/>
    </row>
    <row r="528" spans="6:8" ht="15.75" customHeight="1" x14ac:dyDescent="0.2">
      <c r="F528" s="24"/>
      <c r="G528" s="3"/>
      <c r="H528" s="7"/>
    </row>
    <row r="529" spans="6:8" ht="15.75" customHeight="1" x14ac:dyDescent="0.2">
      <c r="F529" s="24"/>
      <c r="G529" s="3"/>
      <c r="H529" s="7"/>
    </row>
    <row r="530" spans="6:8" ht="15.75" customHeight="1" x14ac:dyDescent="0.2">
      <c r="F530" s="24"/>
      <c r="G530" s="3"/>
      <c r="H530" s="7"/>
    </row>
    <row r="531" spans="6:8" ht="15.75" customHeight="1" x14ac:dyDescent="0.2">
      <c r="F531" s="24"/>
      <c r="G531" s="3"/>
      <c r="H531" s="7"/>
    </row>
    <row r="532" spans="6:8" ht="15.75" customHeight="1" x14ac:dyDescent="0.2">
      <c r="F532" s="24"/>
      <c r="G532" s="3"/>
      <c r="H532" s="7"/>
    </row>
    <row r="533" spans="6:8" ht="15.75" customHeight="1" x14ac:dyDescent="0.2">
      <c r="F533" s="24"/>
      <c r="G533" s="3"/>
      <c r="H533" s="7"/>
    </row>
    <row r="534" spans="6:8" ht="15.75" customHeight="1" x14ac:dyDescent="0.2">
      <c r="F534" s="24"/>
      <c r="G534" s="3"/>
      <c r="H534" s="7"/>
    </row>
    <row r="535" spans="6:8" ht="15.75" customHeight="1" x14ac:dyDescent="0.2">
      <c r="F535" s="24"/>
      <c r="G535" s="3"/>
      <c r="H535" s="7"/>
    </row>
    <row r="536" spans="6:8" ht="15.75" customHeight="1" x14ac:dyDescent="0.2">
      <c r="F536" s="24"/>
      <c r="G536" s="3"/>
      <c r="H536" s="7"/>
    </row>
    <row r="537" spans="6:8" ht="15.75" customHeight="1" x14ac:dyDescent="0.2">
      <c r="F537" s="24"/>
      <c r="G537" s="3"/>
      <c r="H537" s="7"/>
    </row>
    <row r="538" spans="6:8" ht="15.75" customHeight="1" x14ac:dyDescent="0.2">
      <c r="F538" s="24"/>
      <c r="G538" s="3"/>
      <c r="H538" s="7"/>
    </row>
    <row r="539" spans="6:8" ht="15.75" customHeight="1" x14ac:dyDescent="0.2">
      <c r="F539" s="24"/>
      <c r="G539" s="3"/>
      <c r="H539" s="7"/>
    </row>
    <row r="540" spans="6:8" ht="15.75" customHeight="1" x14ac:dyDescent="0.2">
      <c r="F540" s="24"/>
      <c r="G540" s="3"/>
      <c r="H540" s="7"/>
    </row>
    <row r="541" spans="6:8" ht="15.75" customHeight="1" x14ac:dyDescent="0.2">
      <c r="F541" s="24"/>
      <c r="G541" s="3"/>
      <c r="H541" s="7"/>
    </row>
    <row r="542" spans="6:8" ht="15.75" customHeight="1" x14ac:dyDescent="0.2">
      <c r="F542" s="24"/>
      <c r="G542" s="3"/>
      <c r="H542" s="7"/>
    </row>
    <row r="543" spans="6:8" ht="15.75" customHeight="1" x14ac:dyDescent="0.2">
      <c r="F543" s="24"/>
      <c r="G543" s="3"/>
      <c r="H543" s="7"/>
    </row>
    <row r="544" spans="6:8" ht="15.75" customHeight="1" x14ac:dyDescent="0.2">
      <c r="F544" s="24"/>
      <c r="G544" s="3"/>
      <c r="H544" s="7"/>
    </row>
    <row r="545" spans="6:8" ht="15.75" customHeight="1" x14ac:dyDescent="0.2">
      <c r="F545" s="24"/>
      <c r="G545" s="3"/>
      <c r="H545" s="7"/>
    </row>
    <row r="546" spans="6:8" ht="15.75" customHeight="1" x14ac:dyDescent="0.2">
      <c r="F546" s="24"/>
      <c r="G546" s="3"/>
      <c r="H546" s="7"/>
    </row>
    <row r="547" spans="6:8" ht="15.75" customHeight="1" x14ac:dyDescent="0.2">
      <c r="F547" s="24"/>
      <c r="G547" s="3"/>
      <c r="H547" s="7"/>
    </row>
    <row r="548" spans="6:8" ht="15.75" customHeight="1" x14ac:dyDescent="0.2">
      <c r="F548" s="24"/>
      <c r="G548" s="3"/>
      <c r="H548" s="7"/>
    </row>
    <row r="549" spans="6:8" ht="15.75" customHeight="1" x14ac:dyDescent="0.2">
      <c r="F549" s="24"/>
      <c r="G549" s="3"/>
      <c r="H549" s="7"/>
    </row>
    <row r="550" spans="6:8" ht="15.75" customHeight="1" x14ac:dyDescent="0.2">
      <c r="F550" s="24"/>
      <c r="G550" s="3"/>
      <c r="H550" s="7"/>
    </row>
    <row r="551" spans="6:8" ht="15.75" customHeight="1" x14ac:dyDescent="0.2">
      <c r="F551" s="24"/>
      <c r="G551" s="3"/>
      <c r="H551" s="7"/>
    </row>
    <row r="552" spans="6:8" ht="15.75" customHeight="1" x14ac:dyDescent="0.2">
      <c r="F552" s="24"/>
      <c r="G552" s="3"/>
      <c r="H552" s="7"/>
    </row>
    <row r="553" spans="6:8" ht="15.75" customHeight="1" x14ac:dyDescent="0.2">
      <c r="F553" s="24"/>
      <c r="G553" s="3"/>
      <c r="H553" s="7"/>
    </row>
    <row r="554" spans="6:8" ht="15.75" customHeight="1" x14ac:dyDescent="0.2">
      <c r="F554" s="24"/>
      <c r="G554" s="3"/>
      <c r="H554" s="7"/>
    </row>
    <row r="555" spans="6:8" ht="15.75" customHeight="1" x14ac:dyDescent="0.2">
      <c r="F555" s="24"/>
      <c r="G555" s="3"/>
      <c r="H555" s="7"/>
    </row>
    <row r="556" spans="6:8" ht="15.75" customHeight="1" x14ac:dyDescent="0.2">
      <c r="F556" s="24"/>
      <c r="G556" s="3"/>
      <c r="H556" s="7"/>
    </row>
    <row r="557" spans="6:8" ht="15.75" customHeight="1" x14ac:dyDescent="0.2">
      <c r="F557" s="24"/>
      <c r="G557" s="3"/>
      <c r="H557" s="7"/>
    </row>
    <row r="558" spans="6:8" ht="15.75" customHeight="1" x14ac:dyDescent="0.2">
      <c r="F558" s="24"/>
      <c r="G558" s="3"/>
      <c r="H558" s="7"/>
    </row>
    <row r="559" spans="6:8" ht="15.75" customHeight="1" x14ac:dyDescent="0.2">
      <c r="F559" s="24"/>
      <c r="G559" s="3"/>
      <c r="H559" s="7"/>
    </row>
    <row r="560" spans="6:8" ht="15.75" customHeight="1" x14ac:dyDescent="0.2">
      <c r="F560" s="24"/>
      <c r="G560" s="3"/>
      <c r="H560" s="7"/>
    </row>
    <row r="561" spans="6:8" ht="15.75" customHeight="1" x14ac:dyDescent="0.2">
      <c r="F561" s="24"/>
      <c r="G561" s="3"/>
      <c r="H561" s="7"/>
    </row>
    <row r="562" spans="6:8" ht="15.75" customHeight="1" x14ac:dyDescent="0.2">
      <c r="F562" s="24"/>
      <c r="G562" s="3"/>
      <c r="H562" s="7"/>
    </row>
    <row r="563" spans="6:8" ht="15.75" customHeight="1" x14ac:dyDescent="0.2">
      <c r="F563" s="24"/>
      <c r="G563" s="3"/>
      <c r="H563" s="7"/>
    </row>
    <row r="564" spans="6:8" ht="15.75" customHeight="1" x14ac:dyDescent="0.2">
      <c r="F564" s="24"/>
      <c r="G564" s="3"/>
      <c r="H564" s="7"/>
    </row>
    <row r="565" spans="6:8" ht="15.75" customHeight="1" x14ac:dyDescent="0.2">
      <c r="F565" s="24"/>
      <c r="G565" s="3"/>
      <c r="H565" s="7"/>
    </row>
    <row r="566" spans="6:8" ht="15.75" customHeight="1" x14ac:dyDescent="0.2">
      <c r="F566" s="24"/>
      <c r="G566" s="3"/>
      <c r="H566" s="7"/>
    </row>
    <row r="567" spans="6:8" ht="15.75" customHeight="1" x14ac:dyDescent="0.2">
      <c r="F567" s="24"/>
      <c r="G567" s="3"/>
      <c r="H567" s="7"/>
    </row>
    <row r="568" spans="6:8" ht="15.75" customHeight="1" x14ac:dyDescent="0.2">
      <c r="F568" s="24"/>
      <c r="G568" s="3"/>
      <c r="H568" s="7"/>
    </row>
    <row r="569" spans="6:8" ht="15.75" customHeight="1" x14ac:dyDescent="0.2">
      <c r="F569" s="24"/>
      <c r="G569" s="3"/>
      <c r="H569" s="7"/>
    </row>
    <row r="570" spans="6:8" ht="15.75" customHeight="1" x14ac:dyDescent="0.2">
      <c r="F570" s="24"/>
      <c r="G570" s="3"/>
      <c r="H570" s="7"/>
    </row>
    <row r="571" spans="6:8" ht="15.75" customHeight="1" x14ac:dyDescent="0.2">
      <c r="F571" s="24"/>
      <c r="G571" s="3"/>
      <c r="H571" s="7"/>
    </row>
    <row r="572" spans="6:8" ht="15.75" customHeight="1" x14ac:dyDescent="0.2">
      <c r="F572" s="24"/>
      <c r="G572" s="3"/>
      <c r="H572" s="7"/>
    </row>
    <row r="573" spans="6:8" ht="15.75" customHeight="1" x14ac:dyDescent="0.2">
      <c r="F573" s="24"/>
      <c r="G573" s="3"/>
      <c r="H573" s="7"/>
    </row>
    <row r="574" spans="6:8" ht="15.75" customHeight="1" x14ac:dyDescent="0.2">
      <c r="F574" s="24"/>
      <c r="G574" s="3"/>
      <c r="H574" s="7"/>
    </row>
    <row r="575" spans="6:8" ht="15.75" customHeight="1" x14ac:dyDescent="0.2">
      <c r="F575" s="24"/>
      <c r="G575" s="3"/>
      <c r="H575" s="7"/>
    </row>
    <row r="576" spans="6:8" ht="15.75" customHeight="1" x14ac:dyDescent="0.2">
      <c r="F576" s="24"/>
      <c r="G576" s="3"/>
      <c r="H576" s="7"/>
    </row>
    <row r="577" spans="6:8" ht="15.75" customHeight="1" x14ac:dyDescent="0.2">
      <c r="F577" s="24"/>
      <c r="G577" s="3"/>
      <c r="H577" s="7"/>
    </row>
    <row r="578" spans="6:8" ht="15.75" customHeight="1" x14ac:dyDescent="0.2">
      <c r="F578" s="24"/>
      <c r="G578" s="3"/>
      <c r="H578" s="7"/>
    </row>
    <row r="579" spans="6:8" ht="15.75" customHeight="1" x14ac:dyDescent="0.2">
      <c r="F579" s="24"/>
      <c r="G579" s="3"/>
      <c r="H579" s="7"/>
    </row>
    <row r="580" spans="6:8" ht="15.75" customHeight="1" x14ac:dyDescent="0.2">
      <c r="F580" s="24"/>
      <c r="G580" s="3"/>
      <c r="H580" s="7"/>
    </row>
    <row r="581" spans="6:8" ht="15.75" customHeight="1" x14ac:dyDescent="0.2">
      <c r="F581" s="24"/>
      <c r="G581" s="3"/>
      <c r="H581" s="7"/>
    </row>
    <row r="582" spans="6:8" ht="15.75" customHeight="1" x14ac:dyDescent="0.2">
      <c r="F582" s="24"/>
      <c r="G582" s="3"/>
      <c r="H582" s="7"/>
    </row>
    <row r="583" spans="6:8" ht="15.75" customHeight="1" x14ac:dyDescent="0.2">
      <c r="F583" s="24"/>
      <c r="G583" s="3"/>
      <c r="H583" s="7"/>
    </row>
    <row r="584" spans="6:8" ht="15.75" customHeight="1" x14ac:dyDescent="0.2">
      <c r="F584" s="24"/>
      <c r="G584" s="3"/>
      <c r="H584" s="7"/>
    </row>
    <row r="585" spans="6:8" ht="15.75" customHeight="1" x14ac:dyDescent="0.2">
      <c r="F585" s="24"/>
      <c r="G585" s="3"/>
      <c r="H585" s="7"/>
    </row>
    <row r="586" spans="6:8" ht="15.75" customHeight="1" x14ac:dyDescent="0.2">
      <c r="F586" s="24"/>
      <c r="G586" s="3"/>
      <c r="H586" s="7"/>
    </row>
    <row r="587" spans="6:8" ht="15.75" customHeight="1" x14ac:dyDescent="0.2">
      <c r="F587" s="24"/>
      <c r="G587" s="3"/>
      <c r="H587" s="7"/>
    </row>
    <row r="588" spans="6:8" ht="15.75" customHeight="1" x14ac:dyDescent="0.2">
      <c r="F588" s="24"/>
      <c r="G588" s="3"/>
      <c r="H588" s="7"/>
    </row>
    <row r="589" spans="6:8" ht="15.75" customHeight="1" x14ac:dyDescent="0.2">
      <c r="F589" s="24"/>
      <c r="G589" s="3"/>
      <c r="H589" s="7"/>
    </row>
    <row r="590" spans="6:8" ht="15.75" customHeight="1" x14ac:dyDescent="0.2">
      <c r="F590" s="24"/>
      <c r="G590" s="3"/>
      <c r="H590" s="7"/>
    </row>
    <row r="591" spans="6:8" ht="15.75" customHeight="1" x14ac:dyDescent="0.2">
      <c r="F591" s="24"/>
      <c r="G591" s="3"/>
      <c r="H591" s="7"/>
    </row>
    <row r="592" spans="6:8" ht="15.75" customHeight="1" x14ac:dyDescent="0.2">
      <c r="F592" s="24"/>
      <c r="G592" s="3"/>
      <c r="H592" s="7"/>
    </row>
    <row r="593" spans="6:8" ht="15.75" customHeight="1" x14ac:dyDescent="0.2">
      <c r="F593" s="24"/>
      <c r="G593" s="3"/>
      <c r="H593" s="7"/>
    </row>
    <row r="594" spans="6:8" ht="15.75" customHeight="1" x14ac:dyDescent="0.2">
      <c r="F594" s="24"/>
      <c r="G594" s="3"/>
      <c r="H594" s="7"/>
    </row>
    <row r="595" spans="6:8" ht="15.75" customHeight="1" x14ac:dyDescent="0.2">
      <c r="F595" s="24"/>
      <c r="G595" s="3"/>
      <c r="H595" s="7"/>
    </row>
    <row r="596" spans="6:8" ht="15.75" customHeight="1" x14ac:dyDescent="0.2">
      <c r="F596" s="24"/>
      <c r="G596" s="3"/>
      <c r="H596" s="7"/>
    </row>
    <row r="597" spans="6:8" ht="15.75" customHeight="1" x14ac:dyDescent="0.2">
      <c r="F597" s="24"/>
      <c r="G597" s="3"/>
      <c r="H597" s="7"/>
    </row>
    <row r="598" spans="6:8" ht="15.75" customHeight="1" x14ac:dyDescent="0.2">
      <c r="F598" s="24"/>
      <c r="G598" s="3"/>
      <c r="H598" s="7"/>
    </row>
    <row r="599" spans="6:8" ht="15.75" customHeight="1" x14ac:dyDescent="0.2">
      <c r="F599" s="24"/>
      <c r="G599" s="3"/>
      <c r="H599" s="7"/>
    </row>
    <row r="600" spans="6:8" ht="15.75" customHeight="1" x14ac:dyDescent="0.2">
      <c r="F600" s="24"/>
      <c r="G600" s="3"/>
      <c r="H600" s="7"/>
    </row>
    <row r="601" spans="6:8" ht="15.75" customHeight="1" x14ac:dyDescent="0.2">
      <c r="F601" s="24"/>
      <c r="G601" s="3"/>
      <c r="H601" s="7"/>
    </row>
    <row r="602" spans="6:8" ht="15.75" customHeight="1" x14ac:dyDescent="0.2">
      <c r="F602" s="24"/>
      <c r="G602" s="3"/>
      <c r="H602" s="7"/>
    </row>
    <row r="603" spans="6:8" ht="15.75" customHeight="1" x14ac:dyDescent="0.2">
      <c r="F603" s="24"/>
      <c r="G603" s="3"/>
      <c r="H603" s="7"/>
    </row>
    <row r="604" spans="6:8" ht="15.75" customHeight="1" x14ac:dyDescent="0.2">
      <c r="F604" s="24"/>
      <c r="G604" s="3"/>
      <c r="H604" s="7"/>
    </row>
    <row r="605" spans="6:8" ht="15.75" customHeight="1" x14ac:dyDescent="0.2">
      <c r="F605" s="24"/>
      <c r="G605" s="3"/>
      <c r="H605" s="7"/>
    </row>
    <row r="606" spans="6:8" ht="15.75" customHeight="1" x14ac:dyDescent="0.2">
      <c r="F606" s="24"/>
      <c r="G606" s="3"/>
      <c r="H606" s="7"/>
    </row>
    <row r="607" spans="6:8" ht="15.75" customHeight="1" x14ac:dyDescent="0.2">
      <c r="F607" s="24"/>
      <c r="G607" s="3"/>
      <c r="H607" s="7"/>
    </row>
    <row r="608" spans="6:8" ht="15.75" customHeight="1" x14ac:dyDescent="0.2">
      <c r="F608" s="24"/>
      <c r="G608" s="3"/>
      <c r="H608" s="7"/>
    </row>
    <row r="609" spans="6:8" ht="15.75" customHeight="1" x14ac:dyDescent="0.2">
      <c r="F609" s="24"/>
      <c r="G609" s="3"/>
      <c r="H609" s="7"/>
    </row>
    <row r="610" spans="6:8" ht="15.75" customHeight="1" x14ac:dyDescent="0.2">
      <c r="F610" s="24"/>
      <c r="G610" s="3"/>
      <c r="H610" s="7"/>
    </row>
    <row r="611" spans="6:8" ht="15.75" customHeight="1" x14ac:dyDescent="0.2">
      <c r="F611" s="24"/>
      <c r="G611" s="3"/>
      <c r="H611" s="7"/>
    </row>
    <row r="612" spans="6:8" ht="15.75" customHeight="1" x14ac:dyDescent="0.2">
      <c r="F612" s="24"/>
      <c r="G612" s="3"/>
      <c r="H612" s="7"/>
    </row>
    <row r="613" spans="6:8" ht="15.75" customHeight="1" x14ac:dyDescent="0.2">
      <c r="F613" s="24"/>
      <c r="G613" s="3"/>
      <c r="H613" s="7"/>
    </row>
    <row r="614" spans="6:8" ht="15.75" customHeight="1" x14ac:dyDescent="0.2">
      <c r="F614" s="24"/>
      <c r="G614" s="3"/>
      <c r="H614" s="7"/>
    </row>
    <row r="615" spans="6:8" ht="15.75" customHeight="1" x14ac:dyDescent="0.2">
      <c r="F615" s="24"/>
      <c r="G615" s="3"/>
      <c r="H615" s="7"/>
    </row>
    <row r="616" spans="6:8" ht="15.75" customHeight="1" x14ac:dyDescent="0.2">
      <c r="F616" s="24"/>
      <c r="G616" s="3"/>
      <c r="H616" s="7"/>
    </row>
    <row r="617" spans="6:8" ht="15.75" customHeight="1" x14ac:dyDescent="0.2">
      <c r="F617" s="24"/>
      <c r="G617" s="3"/>
      <c r="H617" s="7"/>
    </row>
    <row r="618" spans="6:8" ht="15.75" customHeight="1" x14ac:dyDescent="0.2">
      <c r="F618" s="24"/>
      <c r="G618" s="3"/>
      <c r="H618" s="7"/>
    </row>
    <row r="619" spans="6:8" ht="15.75" customHeight="1" x14ac:dyDescent="0.2">
      <c r="F619" s="24"/>
      <c r="G619" s="3"/>
      <c r="H619" s="7"/>
    </row>
    <row r="620" spans="6:8" ht="15.75" customHeight="1" x14ac:dyDescent="0.2">
      <c r="F620" s="24"/>
      <c r="G620" s="3"/>
      <c r="H620" s="7"/>
    </row>
    <row r="621" spans="6:8" ht="15.75" customHeight="1" x14ac:dyDescent="0.2">
      <c r="F621" s="24"/>
      <c r="G621" s="3"/>
      <c r="H621" s="7"/>
    </row>
    <row r="622" spans="6:8" ht="15.75" customHeight="1" x14ac:dyDescent="0.2">
      <c r="F622" s="24"/>
      <c r="G622" s="3"/>
      <c r="H622" s="7"/>
    </row>
    <row r="623" spans="6:8" ht="15.75" customHeight="1" x14ac:dyDescent="0.2">
      <c r="F623" s="24"/>
      <c r="G623" s="3"/>
      <c r="H623" s="7"/>
    </row>
    <row r="624" spans="6:8" ht="15.75" customHeight="1" x14ac:dyDescent="0.2">
      <c r="F624" s="24"/>
      <c r="G624" s="3"/>
      <c r="H624" s="7"/>
    </row>
    <row r="625" spans="6:8" ht="15.75" customHeight="1" x14ac:dyDescent="0.2">
      <c r="F625" s="24"/>
      <c r="G625" s="3"/>
      <c r="H625" s="7"/>
    </row>
    <row r="626" spans="6:8" ht="15.75" customHeight="1" x14ac:dyDescent="0.2">
      <c r="F626" s="24"/>
      <c r="G626" s="3"/>
      <c r="H626" s="7"/>
    </row>
    <row r="627" spans="6:8" ht="15.75" customHeight="1" x14ac:dyDescent="0.2">
      <c r="F627" s="24"/>
      <c r="G627" s="3"/>
      <c r="H627" s="7"/>
    </row>
    <row r="628" spans="6:8" ht="15.75" customHeight="1" x14ac:dyDescent="0.2">
      <c r="F628" s="24"/>
      <c r="G628" s="3"/>
      <c r="H628" s="7"/>
    </row>
    <row r="629" spans="6:8" ht="15.75" customHeight="1" x14ac:dyDescent="0.2">
      <c r="F629" s="24"/>
      <c r="G629" s="3"/>
      <c r="H629" s="7"/>
    </row>
    <row r="630" spans="6:8" ht="15.75" customHeight="1" x14ac:dyDescent="0.2">
      <c r="F630" s="24"/>
      <c r="G630" s="3"/>
      <c r="H630" s="7"/>
    </row>
    <row r="631" spans="6:8" ht="15.75" customHeight="1" x14ac:dyDescent="0.2">
      <c r="F631" s="24"/>
      <c r="G631" s="3"/>
      <c r="H631" s="7"/>
    </row>
    <row r="632" spans="6:8" ht="15.75" customHeight="1" x14ac:dyDescent="0.2">
      <c r="F632" s="24"/>
      <c r="G632" s="3"/>
      <c r="H632" s="7"/>
    </row>
    <row r="633" spans="6:8" ht="15.75" customHeight="1" x14ac:dyDescent="0.2">
      <c r="F633" s="24"/>
      <c r="G633" s="3"/>
      <c r="H633" s="7"/>
    </row>
    <row r="634" spans="6:8" ht="15.75" customHeight="1" x14ac:dyDescent="0.2">
      <c r="F634" s="24"/>
      <c r="G634" s="3"/>
      <c r="H634" s="7"/>
    </row>
    <row r="635" spans="6:8" ht="15.75" customHeight="1" x14ac:dyDescent="0.2">
      <c r="F635" s="24"/>
      <c r="G635" s="3"/>
      <c r="H635" s="7"/>
    </row>
    <row r="636" spans="6:8" ht="15.75" customHeight="1" x14ac:dyDescent="0.2">
      <c r="F636" s="24"/>
      <c r="G636" s="3"/>
      <c r="H636" s="7"/>
    </row>
    <row r="637" spans="6:8" ht="15.75" customHeight="1" x14ac:dyDescent="0.2">
      <c r="F637" s="24"/>
      <c r="G637" s="3"/>
      <c r="H637" s="7"/>
    </row>
    <row r="638" spans="6:8" ht="15.75" customHeight="1" x14ac:dyDescent="0.2">
      <c r="F638" s="24"/>
      <c r="G638" s="3"/>
      <c r="H638" s="7"/>
    </row>
    <row r="639" spans="6:8" ht="15.75" customHeight="1" x14ac:dyDescent="0.2">
      <c r="F639" s="24"/>
      <c r="G639" s="3"/>
      <c r="H639" s="7"/>
    </row>
    <row r="640" spans="6:8" ht="15.75" customHeight="1" x14ac:dyDescent="0.2">
      <c r="F640" s="24"/>
      <c r="G640" s="3"/>
      <c r="H640" s="7"/>
    </row>
    <row r="641" spans="6:8" ht="15.75" customHeight="1" x14ac:dyDescent="0.2">
      <c r="F641" s="24"/>
      <c r="G641" s="3"/>
      <c r="H641" s="7"/>
    </row>
    <row r="642" spans="6:8" ht="15.75" customHeight="1" x14ac:dyDescent="0.2">
      <c r="F642" s="24"/>
      <c r="G642" s="3"/>
      <c r="H642" s="7"/>
    </row>
    <row r="643" spans="6:8" ht="15.75" customHeight="1" x14ac:dyDescent="0.2">
      <c r="F643" s="24"/>
      <c r="G643" s="3"/>
      <c r="H643" s="7"/>
    </row>
    <row r="644" spans="6:8" ht="15.75" customHeight="1" x14ac:dyDescent="0.2">
      <c r="F644" s="24"/>
      <c r="G644" s="3"/>
      <c r="H644" s="7"/>
    </row>
    <row r="645" spans="6:8" ht="15.75" customHeight="1" x14ac:dyDescent="0.2">
      <c r="F645" s="24"/>
      <c r="G645" s="3"/>
      <c r="H645" s="7"/>
    </row>
    <row r="646" spans="6:8" ht="15.75" customHeight="1" x14ac:dyDescent="0.2">
      <c r="F646" s="24"/>
      <c r="G646" s="3"/>
      <c r="H646" s="7"/>
    </row>
    <row r="647" spans="6:8" ht="15.75" customHeight="1" x14ac:dyDescent="0.2">
      <c r="F647" s="24"/>
      <c r="G647" s="3"/>
      <c r="H647" s="7"/>
    </row>
    <row r="648" spans="6:8" ht="15.75" customHeight="1" x14ac:dyDescent="0.2">
      <c r="F648" s="24"/>
      <c r="G648" s="3"/>
      <c r="H648" s="7"/>
    </row>
    <row r="649" spans="6:8" ht="15.75" customHeight="1" x14ac:dyDescent="0.2">
      <c r="F649" s="24"/>
      <c r="G649" s="3"/>
      <c r="H649" s="7"/>
    </row>
    <row r="650" spans="6:8" ht="15.75" customHeight="1" x14ac:dyDescent="0.2">
      <c r="F650" s="24"/>
      <c r="G650" s="3"/>
      <c r="H650" s="7"/>
    </row>
    <row r="651" spans="6:8" ht="15.75" customHeight="1" x14ac:dyDescent="0.2">
      <c r="F651" s="24"/>
      <c r="G651" s="3"/>
      <c r="H651" s="7"/>
    </row>
    <row r="652" spans="6:8" ht="15.75" customHeight="1" x14ac:dyDescent="0.2">
      <c r="F652" s="24"/>
      <c r="G652" s="3"/>
      <c r="H652" s="7"/>
    </row>
    <row r="653" spans="6:8" ht="15.75" customHeight="1" x14ac:dyDescent="0.2">
      <c r="F653" s="24"/>
      <c r="G653" s="3"/>
      <c r="H653" s="7"/>
    </row>
    <row r="654" spans="6:8" ht="15.75" customHeight="1" x14ac:dyDescent="0.2">
      <c r="F654" s="24"/>
      <c r="G654" s="3"/>
      <c r="H654" s="7"/>
    </row>
    <row r="655" spans="6:8" ht="15.75" customHeight="1" x14ac:dyDescent="0.2">
      <c r="F655" s="24"/>
      <c r="G655" s="3"/>
      <c r="H655" s="7"/>
    </row>
    <row r="656" spans="6:8" ht="15.75" customHeight="1" x14ac:dyDescent="0.2">
      <c r="F656" s="24"/>
      <c r="G656" s="3"/>
      <c r="H656" s="7"/>
    </row>
    <row r="657" spans="6:8" ht="15.75" customHeight="1" x14ac:dyDescent="0.2">
      <c r="F657" s="24"/>
      <c r="G657" s="3"/>
      <c r="H657" s="7"/>
    </row>
    <row r="658" spans="6:8" ht="15.75" customHeight="1" x14ac:dyDescent="0.2">
      <c r="F658" s="24"/>
      <c r="G658" s="3"/>
      <c r="H658" s="7"/>
    </row>
    <row r="659" spans="6:8" ht="15.75" customHeight="1" x14ac:dyDescent="0.2">
      <c r="F659" s="24"/>
      <c r="G659" s="3"/>
      <c r="H659" s="7"/>
    </row>
    <row r="660" spans="6:8" ht="15.75" customHeight="1" x14ac:dyDescent="0.2">
      <c r="F660" s="24"/>
      <c r="G660" s="3"/>
      <c r="H660" s="7"/>
    </row>
    <row r="661" spans="6:8" ht="15.75" customHeight="1" x14ac:dyDescent="0.2">
      <c r="F661" s="24"/>
      <c r="G661" s="3"/>
      <c r="H661" s="7"/>
    </row>
    <row r="662" spans="6:8" ht="15.75" customHeight="1" x14ac:dyDescent="0.2">
      <c r="F662" s="24"/>
      <c r="G662" s="3"/>
      <c r="H662" s="7"/>
    </row>
    <row r="663" spans="6:8" ht="15.75" customHeight="1" x14ac:dyDescent="0.2">
      <c r="F663" s="24"/>
      <c r="G663" s="3"/>
      <c r="H663" s="7"/>
    </row>
    <row r="664" spans="6:8" ht="15.75" customHeight="1" x14ac:dyDescent="0.2">
      <c r="F664" s="24"/>
      <c r="G664" s="3"/>
      <c r="H664" s="7"/>
    </row>
    <row r="665" spans="6:8" ht="15.75" customHeight="1" x14ac:dyDescent="0.2">
      <c r="F665" s="24"/>
      <c r="G665" s="3"/>
      <c r="H665" s="7"/>
    </row>
    <row r="666" spans="6:8" ht="15.75" customHeight="1" x14ac:dyDescent="0.2">
      <c r="F666" s="24"/>
      <c r="G666" s="3"/>
      <c r="H666" s="7"/>
    </row>
    <row r="667" spans="6:8" ht="15.75" customHeight="1" x14ac:dyDescent="0.2">
      <c r="F667" s="24"/>
      <c r="G667" s="3"/>
      <c r="H667" s="7"/>
    </row>
    <row r="668" spans="6:8" ht="15.75" customHeight="1" x14ac:dyDescent="0.2">
      <c r="F668" s="24"/>
      <c r="G668" s="3"/>
      <c r="H668" s="7"/>
    </row>
    <row r="669" spans="6:8" ht="15.75" customHeight="1" x14ac:dyDescent="0.2">
      <c r="F669" s="24"/>
      <c r="G669" s="3"/>
      <c r="H669" s="7"/>
    </row>
    <row r="670" spans="6:8" ht="15.75" customHeight="1" x14ac:dyDescent="0.2">
      <c r="F670" s="24"/>
      <c r="G670" s="3"/>
      <c r="H670" s="7"/>
    </row>
    <row r="671" spans="6:8" ht="15.75" customHeight="1" x14ac:dyDescent="0.2">
      <c r="F671" s="24"/>
      <c r="G671" s="3"/>
      <c r="H671" s="7"/>
    </row>
    <row r="672" spans="6:8" ht="15.75" customHeight="1" x14ac:dyDescent="0.2">
      <c r="F672" s="24"/>
      <c r="G672" s="3"/>
      <c r="H672" s="7"/>
    </row>
    <row r="673" spans="6:8" ht="15.75" customHeight="1" x14ac:dyDescent="0.2">
      <c r="F673" s="24"/>
      <c r="G673" s="3"/>
      <c r="H673" s="7"/>
    </row>
    <row r="674" spans="6:8" ht="15.75" customHeight="1" x14ac:dyDescent="0.2">
      <c r="F674" s="24"/>
      <c r="G674" s="3"/>
      <c r="H674" s="7"/>
    </row>
    <row r="675" spans="6:8" ht="15.75" customHeight="1" x14ac:dyDescent="0.2">
      <c r="F675" s="24"/>
      <c r="G675" s="3"/>
      <c r="H675" s="7"/>
    </row>
    <row r="676" spans="6:8" ht="15.75" customHeight="1" x14ac:dyDescent="0.2">
      <c r="F676" s="24"/>
      <c r="G676" s="3"/>
      <c r="H676" s="7"/>
    </row>
    <row r="677" spans="6:8" ht="15.75" customHeight="1" x14ac:dyDescent="0.2">
      <c r="F677" s="24"/>
      <c r="G677" s="3"/>
      <c r="H677" s="7"/>
    </row>
    <row r="678" spans="6:8" ht="15.75" customHeight="1" x14ac:dyDescent="0.2">
      <c r="F678" s="24"/>
      <c r="G678" s="3"/>
      <c r="H678" s="7"/>
    </row>
    <row r="679" spans="6:8" ht="15.75" customHeight="1" x14ac:dyDescent="0.2">
      <c r="F679" s="24"/>
      <c r="G679" s="3"/>
      <c r="H679" s="7"/>
    </row>
    <row r="680" spans="6:8" ht="15.75" customHeight="1" x14ac:dyDescent="0.2">
      <c r="F680" s="24"/>
      <c r="G680" s="3"/>
      <c r="H680" s="7"/>
    </row>
    <row r="681" spans="6:8" ht="15.75" customHeight="1" x14ac:dyDescent="0.2">
      <c r="F681" s="24"/>
      <c r="G681" s="3"/>
      <c r="H681" s="7"/>
    </row>
    <row r="682" spans="6:8" ht="15.75" customHeight="1" x14ac:dyDescent="0.2">
      <c r="F682" s="24"/>
      <c r="G682" s="3"/>
      <c r="H682" s="7"/>
    </row>
    <row r="683" spans="6:8" ht="15.75" customHeight="1" x14ac:dyDescent="0.2">
      <c r="F683" s="24"/>
      <c r="G683" s="3"/>
      <c r="H683" s="7"/>
    </row>
    <row r="684" spans="6:8" ht="15.75" customHeight="1" x14ac:dyDescent="0.2">
      <c r="F684" s="24"/>
      <c r="G684" s="3"/>
      <c r="H684" s="7"/>
    </row>
    <row r="685" spans="6:8" ht="15.75" customHeight="1" x14ac:dyDescent="0.2">
      <c r="F685" s="24"/>
      <c r="G685" s="3"/>
      <c r="H685" s="7"/>
    </row>
    <row r="686" spans="6:8" ht="15.75" customHeight="1" x14ac:dyDescent="0.2">
      <c r="F686" s="24"/>
      <c r="G686" s="3"/>
      <c r="H686" s="7"/>
    </row>
    <row r="687" spans="6:8" ht="15.75" customHeight="1" x14ac:dyDescent="0.2">
      <c r="F687" s="24"/>
      <c r="G687" s="3"/>
      <c r="H687" s="7"/>
    </row>
    <row r="688" spans="6:8" ht="15.75" customHeight="1" x14ac:dyDescent="0.2">
      <c r="F688" s="24"/>
      <c r="G688" s="3"/>
      <c r="H688" s="7"/>
    </row>
    <row r="689" spans="6:8" ht="15.75" customHeight="1" x14ac:dyDescent="0.2">
      <c r="F689" s="24"/>
      <c r="G689" s="3"/>
      <c r="H689" s="7"/>
    </row>
    <row r="690" spans="6:8" ht="15.75" customHeight="1" x14ac:dyDescent="0.2">
      <c r="F690" s="24"/>
      <c r="G690" s="3"/>
      <c r="H690" s="7"/>
    </row>
    <row r="691" spans="6:8" ht="15.75" customHeight="1" x14ac:dyDescent="0.2">
      <c r="F691" s="24"/>
      <c r="G691" s="3"/>
      <c r="H691" s="7"/>
    </row>
    <row r="692" spans="6:8" ht="15.75" customHeight="1" x14ac:dyDescent="0.2">
      <c r="F692" s="24"/>
      <c r="G692" s="3"/>
      <c r="H692" s="7"/>
    </row>
    <row r="693" spans="6:8" ht="15.75" customHeight="1" x14ac:dyDescent="0.2">
      <c r="F693" s="24"/>
      <c r="G693" s="3"/>
      <c r="H693" s="7"/>
    </row>
    <row r="694" spans="6:8" ht="15.75" customHeight="1" x14ac:dyDescent="0.2">
      <c r="F694" s="24"/>
      <c r="G694" s="3"/>
      <c r="H694" s="7"/>
    </row>
    <row r="695" spans="6:8" ht="15.75" customHeight="1" x14ac:dyDescent="0.2">
      <c r="F695" s="24"/>
      <c r="G695" s="3"/>
      <c r="H695" s="7"/>
    </row>
    <row r="696" spans="6:8" ht="15.75" customHeight="1" x14ac:dyDescent="0.2">
      <c r="F696" s="24"/>
      <c r="G696" s="3"/>
      <c r="H696" s="7"/>
    </row>
    <row r="697" spans="6:8" ht="15.75" customHeight="1" x14ac:dyDescent="0.2">
      <c r="F697" s="24"/>
      <c r="G697" s="3"/>
      <c r="H697" s="7"/>
    </row>
    <row r="698" spans="6:8" ht="15.75" customHeight="1" x14ac:dyDescent="0.2">
      <c r="F698" s="24"/>
      <c r="G698" s="3"/>
      <c r="H698" s="7"/>
    </row>
    <row r="699" spans="6:8" ht="15.75" customHeight="1" x14ac:dyDescent="0.2">
      <c r="F699" s="24"/>
      <c r="G699" s="3"/>
      <c r="H699" s="7"/>
    </row>
    <row r="700" spans="6:8" ht="15.75" customHeight="1" x14ac:dyDescent="0.2">
      <c r="F700" s="24"/>
      <c r="G700" s="3"/>
      <c r="H700" s="7"/>
    </row>
    <row r="701" spans="6:8" ht="15.75" customHeight="1" x14ac:dyDescent="0.2">
      <c r="F701" s="24"/>
      <c r="G701" s="3"/>
      <c r="H701" s="7"/>
    </row>
    <row r="702" spans="6:8" ht="15.75" customHeight="1" x14ac:dyDescent="0.2">
      <c r="F702" s="24"/>
      <c r="G702" s="3"/>
      <c r="H702" s="7"/>
    </row>
    <row r="703" spans="6:8" ht="15.75" customHeight="1" x14ac:dyDescent="0.2">
      <c r="F703" s="24"/>
      <c r="G703" s="3"/>
      <c r="H703" s="7"/>
    </row>
    <row r="704" spans="6:8" ht="15.75" customHeight="1" x14ac:dyDescent="0.2">
      <c r="F704" s="24"/>
      <c r="G704" s="3"/>
      <c r="H704" s="7"/>
    </row>
    <row r="705" spans="6:8" ht="15.75" customHeight="1" x14ac:dyDescent="0.2">
      <c r="F705" s="24"/>
      <c r="G705" s="3"/>
      <c r="H705" s="7"/>
    </row>
    <row r="706" spans="6:8" ht="15.75" customHeight="1" x14ac:dyDescent="0.2">
      <c r="F706" s="24"/>
      <c r="G706" s="3"/>
      <c r="H706" s="7"/>
    </row>
    <row r="707" spans="6:8" ht="15.75" customHeight="1" x14ac:dyDescent="0.2">
      <c r="F707" s="24"/>
      <c r="G707" s="3"/>
      <c r="H707" s="7"/>
    </row>
    <row r="708" spans="6:8" ht="15.75" customHeight="1" x14ac:dyDescent="0.2">
      <c r="F708" s="24"/>
      <c r="G708" s="3"/>
      <c r="H708" s="7"/>
    </row>
    <row r="709" spans="6:8" ht="15.75" customHeight="1" x14ac:dyDescent="0.2">
      <c r="F709" s="24"/>
      <c r="G709" s="3"/>
      <c r="H709" s="7"/>
    </row>
    <row r="710" spans="6:8" ht="15.75" customHeight="1" x14ac:dyDescent="0.2">
      <c r="F710" s="24"/>
      <c r="G710" s="3"/>
      <c r="H710" s="7"/>
    </row>
    <row r="711" spans="6:8" ht="15.75" customHeight="1" x14ac:dyDescent="0.2">
      <c r="F711" s="24"/>
      <c r="G711" s="3"/>
      <c r="H711" s="7"/>
    </row>
    <row r="712" spans="6:8" ht="15.75" customHeight="1" x14ac:dyDescent="0.2">
      <c r="F712" s="24"/>
      <c r="G712" s="3"/>
      <c r="H712" s="7"/>
    </row>
    <row r="713" spans="6:8" ht="15.75" customHeight="1" x14ac:dyDescent="0.2">
      <c r="F713" s="24"/>
      <c r="G713" s="3"/>
      <c r="H713" s="7"/>
    </row>
    <row r="714" spans="6:8" ht="15.75" customHeight="1" x14ac:dyDescent="0.2">
      <c r="F714" s="24"/>
      <c r="G714" s="3"/>
      <c r="H714" s="7"/>
    </row>
    <row r="715" spans="6:8" ht="15.75" customHeight="1" x14ac:dyDescent="0.2">
      <c r="F715" s="24"/>
      <c r="G715" s="3"/>
      <c r="H715" s="7"/>
    </row>
    <row r="716" spans="6:8" ht="15.75" customHeight="1" x14ac:dyDescent="0.2">
      <c r="F716" s="24"/>
      <c r="G716" s="3"/>
      <c r="H716" s="7"/>
    </row>
    <row r="717" spans="6:8" ht="15.75" customHeight="1" x14ac:dyDescent="0.2">
      <c r="F717" s="24"/>
      <c r="G717" s="3"/>
      <c r="H717" s="7"/>
    </row>
    <row r="718" spans="6:8" ht="15.75" customHeight="1" x14ac:dyDescent="0.2">
      <c r="F718" s="24"/>
      <c r="G718" s="3"/>
      <c r="H718" s="7"/>
    </row>
    <row r="719" spans="6:8" ht="15.75" customHeight="1" x14ac:dyDescent="0.2">
      <c r="F719" s="24"/>
      <c r="G719" s="3"/>
      <c r="H719" s="7"/>
    </row>
    <row r="720" spans="6:8" ht="15.75" customHeight="1" x14ac:dyDescent="0.2">
      <c r="F720" s="24"/>
      <c r="G720" s="3"/>
      <c r="H720" s="7"/>
    </row>
    <row r="721" spans="6:8" ht="15.75" customHeight="1" x14ac:dyDescent="0.2">
      <c r="F721" s="24"/>
      <c r="G721" s="3"/>
      <c r="H721" s="7"/>
    </row>
    <row r="722" spans="6:8" ht="15.75" customHeight="1" x14ac:dyDescent="0.2">
      <c r="F722" s="24"/>
      <c r="G722" s="3"/>
      <c r="H722" s="7"/>
    </row>
    <row r="723" spans="6:8" ht="15.75" customHeight="1" x14ac:dyDescent="0.2">
      <c r="F723" s="24"/>
      <c r="G723" s="3"/>
      <c r="H723" s="7"/>
    </row>
    <row r="724" spans="6:8" ht="15.75" customHeight="1" x14ac:dyDescent="0.2">
      <c r="F724" s="24"/>
      <c r="G724" s="3"/>
      <c r="H724" s="7"/>
    </row>
    <row r="725" spans="6:8" ht="15.75" customHeight="1" x14ac:dyDescent="0.2">
      <c r="F725" s="24"/>
      <c r="G725" s="3"/>
      <c r="H725" s="7"/>
    </row>
    <row r="726" spans="6:8" ht="15.75" customHeight="1" x14ac:dyDescent="0.2">
      <c r="F726" s="24"/>
      <c r="G726" s="3"/>
      <c r="H726" s="7"/>
    </row>
    <row r="727" spans="6:8" ht="15.75" customHeight="1" x14ac:dyDescent="0.2">
      <c r="F727" s="24"/>
      <c r="G727" s="3"/>
      <c r="H727" s="7"/>
    </row>
    <row r="728" spans="6:8" ht="15.75" customHeight="1" x14ac:dyDescent="0.2">
      <c r="F728" s="24"/>
      <c r="G728" s="3"/>
      <c r="H728" s="7"/>
    </row>
    <row r="729" spans="6:8" ht="15.75" customHeight="1" x14ac:dyDescent="0.2">
      <c r="F729" s="24"/>
      <c r="G729" s="3"/>
      <c r="H729" s="7"/>
    </row>
    <row r="730" spans="6:8" ht="15.75" customHeight="1" x14ac:dyDescent="0.2">
      <c r="F730" s="24"/>
      <c r="G730" s="3"/>
      <c r="H730" s="7"/>
    </row>
    <row r="731" spans="6:8" ht="15.75" customHeight="1" x14ac:dyDescent="0.2">
      <c r="F731" s="24"/>
      <c r="G731" s="3"/>
      <c r="H731" s="7"/>
    </row>
    <row r="732" spans="6:8" ht="15.75" customHeight="1" x14ac:dyDescent="0.2">
      <c r="F732" s="24"/>
      <c r="G732" s="3"/>
      <c r="H732" s="7"/>
    </row>
    <row r="733" spans="6:8" ht="15.75" customHeight="1" x14ac:dyDescent="0.2">
      <c r="F733" s="24"/>
      <c r="G733" s="3"/>
      <c r="H733" s="7"/>
    </row>
    <row r="734" spans="6:8" ht="15.75" customHeight="1" x14ac:dyDescent="0.2">
      <c r="F734" s="24"/>
      <c r="G734" s="3"/>
      <c r="H734" s="7"/>
    </row>
    <row r="735" spans="6:8" ht="15.75" customHeight="1" x14ac:dyDescent="0.2">
      <c r="F735" s="24"/>
      <c r="G735" s="3"/>
      <c r="H735" s="7"/>
    </row>
    <row r="736" spans="6:8" ht="15.75" customHeight="1" x14ac:dyDescent="0.2">
      <c r="F736" s="24"/>
      <c r="G736" s="3"/>
      <c r="H736" s="7"/>
    </row>
    <row r="737" spans="6:8" ht="15.75" customHeight="1" x14ac:dyDescent="0.2">
      <c r="F737" s="24"/>
      <c r="G737" s="3"/>
      <c r="H737" s="7"/>
    </row>
    <row r="738" spans="6:8" ht="15.75" customHeight="1" x14ac:dyDescent="0.2">
      <c r="F738" s="24"/>
      <c r="G738" s="3"/>
      <c r="H738" s="7"/>
    </row>
    <row r="739" spans="6:8" ht="15.75" customHeight="1" x14ac:dyDescent="0.2">
      <c r="F739" s="24"/>
      <c r="G739" s="3"/>
      <c r="H739" s="7"/>
    </row>
    <row r="740" spans="6:8" ht="15.75" customHeight="1" x14ac:dyDescent="0.2">
      <c r="F740" s="24"/>
      <c r="G740" s="3"/>
      <c r="H740" s="7"/>
    </row>
    <row r="741" spans="6:8" ht="15.75" customHeight="1" x14ac:dyDescent="0.2">
      <c r="F741" s="24"/>
      <c r="G741" s="3"/>
      <c r="H741" s="7"/>
    </row>
    <row r="742" spans="6:8" ht="15.75" customHeight="1" x14ac:dyDescent="0.2">
      <c r="F742" s="24"/>
      <c r="G742" s="3"/>
      <c r="H742" s="7"/>
    </row>
    <row r="743" spans="6:8" ht="15.75" customHeight="1" x14ac:dyDescent="0.2">
      <c r="F743" s="24"/>
      <c r="G743" s="3"/>
      <c r="H743" s="7"/>
    </row>
    <row r="744" spans="6:8" ht="15.75" customHeight="1" x14ac:dyDescent="0.2">
      <c r="F744" s="24"/>
      <c r="G744" s="3"/>
      <c r="H744" s="7"/>
    </row>
    <row r="745" spans="6:8" ht="15.75" customHeight="1" x14ac:dyDescent="0.2">
      <c r="F745" s="24"/>
      <c r="G745" s="3"/>
      <c r="H745" s="7"/>
    </row>
    <row r="746" spans="6:8" ht="15.75" customHeight="1" x14ac:dyDescent="0.2">
      <c r="F746" s="24"/>
      <c r="G746" s="3"/>
      <c r="H746" s="7"/>
    </row>
    <row r="747" spans="6:8" ht="15.75" customHeight="1" x14ac:dyDescent="0.2">
      <c r="F747" s="24"/>
      <c r="G747" s="3"/>
      <c r="H747" s="7"/>
    </row>
    <row r="748" spans="6:8" ht="15.75" customHeight="1" x14ac:dyDescent="0.2">
      <c r="F748" s="24"/>
      <c r="G748" s="3"/>
      <c r="H748" s="7"/>
    </row>
    <row r="749" spans="6:8" ht="15.75" customHeight="1" x14ac:dyDescent="0.2">
      <c r="F749" s="24"/>
      <c r="G749" s="3"/>
      <c r="H749" s="7"/>
    </row>
    <row r="750" spans="6:8" ht="15.75" customHeight="1" x14ac:dyDescent="0.2">
      <c r="F750" s="24"/>
      <c r="G750" s="3"/>
      <c r="H750" s="7"/>
    </row>
    <row r="751" spans="6:8" ht="15.75" customHeight="1" x14ac:dyDescent="0.2">
      <c r="F751" s="24"/>
      <c r="G751" s="3"/>
      <c r="H751" s="7"/>
    </row>
    <row r="752" spans="6:8" ht="15.75" customHeight="1" x14ac:dyDescent="0.2">
      <c r="F752" s="24"/>
      <c r="G752" s="3"/>
      <c r="H752" s="7"/>
    </row>
    <row r="753" spans="6:8" ht="15.75" customHeight="1" x14ac:dyDescent="0.2">
      <c r="F753" s="24"/>
      <c r="G753" s="3"/>
      <c r="H753" s="7"/>
    </row>
    <row r="754" spans="6:8" ht="15.75" customHeight="1" x14ac:dyDescent="0.2">
      <c r="F754" s="24"/>
      <c r="G754" s="3"/>
      <c r="H754" s="7"/>
    </row>
    <row r="755" spans="6:8" ht="15.75" customHeight="1" x14ac:dyDescent="0.2">
      <c r="F755" s="24"/>
      <c r="G755" s="3"/>
      <c r="H755" s="7"/>
    </row>
    <row r="756" spans="6:8" ht="15.75" customHeight="1" x14ac:dyDescent="0.2">
      <c r="F756" s="24"/>
      <c r="G756" s="3"/>
      <c r="H756" s="7"/>
    </row>
    <row r="757" spans="6:8" ht="15.75" customHeight="1" x14ac:dyDescent="0.2">
      <c r="F757" s="24"/>
      <c r="G757" s="3"/>
      <c r="H757" s="7"/>
    </row>
    <row r="758" spans="6:8" ht="15.75" customHeight="1" x14ac:dyDescent="0.2">
      <c r="F758" s="24"/>
      <c r="G758" s="3"/>
      <c r="H758" s="7"/>
    </row>
    <row r="759" spans="6:8" ht="15.75" customHeight="1" x14ac:dyDescent="0.2">
      <c r="F759" s="24"/>
      <c r="G759" s="3"/>
      <c r="H759" s="7"/>
    </row>
    <row r="760" spans="6:8" ht="15.75" customHeight="1" x14ac:dyDescent="0.2">
      <c r="F760" s="24"/>
      <c r="G760" s="3"/>
      <c r="H760" s="7"/>
    </row>
    <row r="761" spans="6:8" ht="15.75" customHeight="1" x14ac:dyDescent="0.2">
      <c r="F761" s="24"/>
      <c r="G761" s="3"/>
      <c r="H761" s="7"/>
    </row>
    <row r="762" spans="6:8" ht="15.75" customHeight="1" x14ac:dyDescent="0.2">
      <c r="F762" s="24"/>
      <c r="G762" s="3"/>
      <c r="H762" s="7"/>
    </row>
    <row r="763" spans="6:8" ht="15.75" customHeight="1" x14ac:dyDescent="0.2">
      <c r="F763" s="24"/>
      <c r="G763" s="3"/>
      <c r="H763" s="7"/>
    </row>
    <row r="764" spans="6:8" ht="15.75" customHeight="1" x14ac:dyDescent="0.2">
      <c r="F764" s="24"/>
      <c r="G764" s="3"/>
      <c r="H764" s="7"/>
    </row>
    <row r="765" spans="6:8" ht="15.75" customHeight="1" x14ac:dyDescent="0.2">
      <c r="F765" s="24"/>
      <c r="G765" s="3"/>
      <c r="H765" s="7"/>
    </row>
    <row r="766" spans="6:8" ht="15.75" customHeight="1" x14ac:dyDescent="0.2">
      <c r="F766" s="24"/>
      <c r="G766" s="3"/>
      <c r="H766" s="7"/>
    </row>
    <row r="767" spans="6:8" ht="15.75" customHeight="1" x14ac:dyDescent="0.2">
      <c r="F767" s="24"/>
      <c r="G767" s="3"/>
      <c r="H767" s="7"/>
    </row>
    <row r="768" spans="6:8" ht="15.75" customHeight="1" x14ac:dyDescent="0.2">
      <c r="F768" s="24"/>
      <c r="G768" s="3"/>
      <c r="H768" s="7"/>
    </row>
    <row r="769" spans="6:8" ht="15.75" customHeight="1" x14ac:dyDescent="0.2">
      <c r="F769" s="24"/>
      <c r="G769" s="3"/>
      <c r="H769" s="7"/>
    </row>
    <row r="770" spans="6:8" ht="15.75" customHeight="1" x14ac:dyDescent="0.2">
      <c r="F770" s="24"/>
      <c r="G770" s="3"/>
      <c r="H770" s="7"/>
    </row>
    <row r="771" spans="6:8" ht="15.75" customHeight="1" x14ac:dyDescent="0.2">
      <c r="F771" s="24"/>
      <c r="G771" s="3"/>
      <c r="H771" s="7"/>
    </row>
    <row r="772" spans="6:8" ht="15.75" customHeight="1" x14ac:dyDescent="0.2">
      <c r="F772" s="24"/>
      <c r="G772" s="3"/>
      <c r="H772" s="7"/>
    </row>
    <row r="773" spans="6:8" ht="15.75" customHeight="1" x14ac:dyDescent="0.2">
      <c r="F773" s="24"/>
      <c r="G773" s="3"/>
      <c r="H773" s="7"/>
    </row>
    <row r="774" spans="6:8" ht="15.75" customHeight="1" x14ac:dyDescent="0.2">
      <c r="F774" s="24"/>
      <c r="G774" s="3"/>
      <c r="H774" s="7"/>
    </row>
    <row r="775" spans="6:8" ht="15.75" customHeight="1" x14ac:dyDescent="0.2">
      <c r="F775" s="24"/>
      <c r="G775" s="3"/>
      <c r="H775" s="7"/>
    </row>
    <row r="776" spans="6:8" ht="15.75" customHeight="1" x14ac:dyDescent="0.2">
      <c r="F776" s="24"/>
      <c r="G776" s="3"/>
      <c r="H776" s="7"/>
    </row>
    <row r="777" spans="6:8" ht="15.75" customHeight="1" x14ac:dyDescent="0.2">
      <c r="F777" s="24"/>
      <c r="G777" s="3"/>
      <c r="H777" s="7"/>
    </row>
    <row r="778" spans="6:8" ht="15.75" customHeight="1" x14ac:dyDescent="0.2">
      <c r="F778" s="24"/>
      <c r="G778" s="3"/>
      <c r="H778" s="7"/>
    </row>
    <row r="779" spans="6:8" ht="15.75" customHeight="1" x14ac:dyDescent="0.2">
      <c r="F779" s="24"/>
      <c r="G779" s="3"/>
      <c r="H779" s="7"/>
    </row>
    <row r="780" spans="6:8" ht="15.75" customHeight="1" x14ac:dyDescent="0.2">
      <c r="F780" s="24"/>
      <c r="G780" s="3"/>
      <c r="H780" s="7"/>
    </row>
    <row r="781" spans="6:8" ht="15.75" customHeight="1" x14ac:dyDescent="0.2">
      <c r="F781" s="24"/>
      <c r="G781" s="3"/>
      <c r="H781" s="7"/>
    </row>
    <row r="782" spans="6:8" ht="15.75" customHeight="1" x14ac:dyDescent="0.2">
      <c r="F782" s="24"/>
      <c r="G782" s="3"/>
      <c r="H782" s="7"/>
    </row>
    <row r="783" spans="6:8" ht="15.75" customHeight="1" x14ac:dyDescent="0.2">
      <c r="F783" s="24"/>
      <c r="G783" s="3"/>
      <c r="H783" s="7"/>
    </row>
    <row r="784" spans="6:8" ht="15.75" customHeight="1" x14ac:dyDescent="0.2">
      <c r="F784" s="24"/>
      <c r="G784" s="3"/>
      <c r="H784" s="7"/>
    </row>
    <row r="785" spans="6:8" ht="15.75" customHeight="1" x14ac:dyDescent="0.2">
      <c r="F785" s="24"/>
      <c r="G785" s="3"/>
      <c r="H785" s="7"/>
    </row>
    <row r="786" spans="6:8" ht="15.75" customHeight="1" x14ac:dyDescent="0.2">
      <c r="F786" s="24"/>
      <c r="G786" s="3"/>
      <c r="H786" s="7"/>
    </row>
    <row r="787" spans="6:8" ht="15.75" customHeight="1" x14ac:dyDescent="0.2">
      <c r="F787" s="24"/>
      <c r="G787" s="3"/>
      <c r="H787" s="7"/>
    </row>
    <row r="788" spans="6:8" ht="15.75" customHeight="1" x14ac:dyDescent="0.2">
      <c r="F788" s="24"/>
      <c r="G788" s="3"/>
      <c r="H788" s="7"/>
    </row>
    <row r="789" spans="6:8" ht="15.75" customHeight="1" x14ac:dyDescent="0.2">
      <c r="F789" s="24"/>
      <c r="G789" s="3"/>
      <c r="H789" s="7"/>
    </row>
    <row r="790" spans="6:8" ht="15.75" customHeight="1" x14ac:dyDescent="0.2">
      <c r="F790" s="24"/>
      <c r="G790" s="3"/>
      <c r="H790" s="7"/>
    </row>
    <row r="791" spans="6:8" ht="15.75" customHeight="1" x14ac:dyDescent="0.2">
      <c r="F791" s="24"/>
      <c r="G791" s="3"/>
      <c r="H791" s="7"/>
    </row>
    <row r="792" spans="6:8" ht="15.75" customHeight="1" x14ac:dyDescent="0.2">
      <c r="F792" s="24"/>
      <c r="G792" s="3"/>
      <c r="H792" s="7"/>
    </row>
    <row r="793" spans="6:8" ht="15.75" customHeight="1" x14ac:dyDescent="0.2">
      <c r="F793" s="24"/>
      <c r="G793" s="3"/>
      <c r="H793" s="7"/>
    </row>
    <row r="794" spans="6:8" ht="15.75" customHeight="1" x14ac:dyDescent="0.2">
      <c r="F794" s="24"/>
      <c r="G794" s="3"/>
      <c r="H794" s="7"/>
    </row>
    <row r="795" spans="6:8" ht="15.75" customHeight="1" x14ac:dyDescent="0.2">
      <c r="F795" s="24"/>
      <c r="G795" s="3"/>
      <c r="H795" s="7"/>
    </row>
    <row r="796" spans="6:8" ht="15.75" customHeight="1" x14ac:dyDescent="0.2">
      <c r="F796" s="24"/>
      <c r="G796" s="3"/>
      <c r="H796" s="7"/>
    </row>
    <row r="797" spans="6:8" ht="15.75" customHeight="1" x14ac:dyDescent="0.2">
      <c r="F797" s="24"/>
      <c r="G797" s="3"/>
      <c r="H797" s="7"/>
    </row>
    <row r="798" spans="6:8" ht="15.75" customHeight="1" x14ac:dyDescent="0.2">
      <c r="F798" s="24"/>
      <c r="G798" s="3"/>
      <c r="H798" s="7"/>
    </row>
    <row r="799" spans="6:8" ht="15.75" customHeight="1" x14ac:dyDescent="0.2">
      <c r="F799" s="24"/>
      <c r="G799" s="3"/>
      <c r="H799" s="7"/>
    </row>
    <row r="800" spans="6:8" ht="15.75" customHeight="1" x14ac:dyDescent="0.2">
      <c r="F800" s="24"/>
      <c r="G800" s="3"/>
      <c r="H800" s="7"/>
    </row>
    <row r="801" spans="6:8" ht="15.75" customHeight="1" x14ac:dyDescent="0.2">
      <c r="F801" s="24"/>
      <c r="G801" s="3"/>
      <c r="H801" s="7"/>
    </row>
    <row r="802" spans="6:8" ht="15.75" customHeight="1" x14ac:dyDescent="0.2">
      <c r="F802" s="24"/>
      <c r="G802" s="3"/>
      <c r="H802" s="7"/>
    </row>
    <row r="803" spans="6:8" ht="15.75" customHeight="1" x14ac:dyDescent="0.2">
      <c r="F803" s="24"/>
      <c r="G803" s="3"/>
      <c r="H803" s="7"/>
    </row>
    <row r="804" spans="6:8" ht="15.75" customHeight="1" x14ac:dyDescent="0.2">
      <c r="F804" s="24"/>
      <c r="G804" s="3"/>
      <c r="H804" s="7"/>
    </row>
    <row r="805" spans="6:8" ht="15.75" customHeight="1" x14ac:dyDescent="0.2">
      <c r="F805" s="24"/>
      <c r="G805" s="3"/>
      <c r="H805" s="7"/>
    </row>
    <row r="806" spans="6:8" ht="15.75" customHeight="1" x14ac:dyDescent="0.2">
      <c r="F806" s="24"/>
      <c r="G806" s="3"/>
      <c r="H806" s="7"/>
    </row>
    <row r="807" spans="6:8" ht="15.75" customHeight="1" x14ac:dyDescent="0.2">
      <c r="F807" s="24"/>
      <c r="G807" s="3"/>
      <c r="H807" s="7"/>
    </row>
    <row r="808" spans="6:8" ht="15.75" customHeight="1" x14ac:dyDescent="0.2">
      <c r="F808" s="24"/>
      <c r="G808" s="3"/>
      <c r="H808" s="7"/>
    </row>
    <row r="809" spans="6:8" ht="15.75" customHeight="1" x14ac:dyDescent="0.2">
      <c r="F809" s="24"/>
      <c r="G809" s="3"/>
      <c r="H809" s="7"/>
    </row>
    <row r="810" spans="6:8" ht="15.75" customHeight="1" x14ac:dyDescent="0.2">
      <c r="F810" s="24"/>
      <c r="G810" s="3"/>
      <c r="H810" s="7"/>
    </row>
    <row r="811" spans="6:8" ht="15.75" customHeight="1" x14ac:dyDescent="0.2">
      <c r="F811" s="24"/>
      <c r="G811" s="3"/>
      <c r="H811" s="7"/>
    </row>
    <row r="812" spans="6:8" ht="15.75" customHeight="1" x14ac:dyDescent="0.2">
      <c r="F812" s="24"/>
      <c r="G812" s="3"/>
      <c r="H812" s="7"/>
    </row>
    <row r="813" spans="6:8" ht="15.75" customHeight="1" x14ac:dyDescent="0.2">
      <c r="F813" s="24"/>
      <c r="G813" s="3"/>
      <c r="H813" s="7"/>
    </row>
    <row r="814" spans="6:8" ht="15.75" customHeight="1" x14ac:dyDescent="0.2">
      <c r="F814" s="24"/>
      <c r="G814" s="3"/>
      <c r="H814" s="7"/>
    </row>
    <row r="815" spans="6:8" ht="15.75" customHeight="1" x14ac:dyDescent="0.2">
      <c r="F815" s="24"/>
      <c r="G815" s="3"/>
      <c r="H815" s="7"/>
    </row>
    <row r="816" spans="6:8" ht="15.75" customHeight="1" x14ac:dyDescent="0.2">
      <c r="F816" s="24"/>
      <c r="G816" s="3"/>
      <c r="H816" s="7"/>
    </row>
    <row r="817" spans="6:8" ht="15.75" customHeight="1" x14ac:dyDescent="0.2">
      <c r="F817" s="24"/>
      <c r="G817" s="3"/>
      <c r="H817" s="7"/>
    </row>
    <row r="818" spans="6:8" ht="15.75" customHeight="1" x14ac:dyDescent="0.2">
      <c r="F818" s="24"/>
      <c r="G818" s="3"/>
      <c r="H818" s="7"/>
    </row>
    <row r="819" spans="6:8" ht="15.75" customHeight="1" x14ac:dyDescent="0.2">
      <c r="F819" s="24"/>
      <c r="G819" s="3"/>
      <c r="H819" s="7"/>
    </row>
    <row r="820" spans="6:8" ht="15.75" customHeight="1" x14ac:dyDescent="0.2">
      <c r="F820" s="24"/>
      <c r="G820" s="3"/>
      <c r="H820" s="7"/>
    </row>
    <row r="821" spans="6:8" ht="15.75" customHeight="1" x14ac:dyDescent="0.2">
      <c r="F821" s="24"/>
      <c r="G821" s="3"/>
      <c r="H821" s="7"/>
    </row>
    <row r="822" spans="6:8" ht="15.75" customHeight="1" x14ac:dyDescent="0.2">
      <c r="F822" s="24"/>
      <c r="G822" s="3"/>
      <c r="H822" s="7"/>
    </row>
    <row r="823" spans="6:8" ht="15.75" customHeight="1" x14ac:dyDescent="0.2">
      <c r="F823" s="24"/>
      <c r="G823" s="3"/>
      <c r="H823" s="7"/>
    </row>
    <row r="824" spans="6:8" ht="15.75" customHeight="1" x14ac:dyDescent="0.2">
      <c r="F824" s="24"/>
      <c r="G824" s="3"/>
      <c r="H824" s="7"/>
    </row>
    <row r="825" spans="6:8" ht="15.75" customHeight="1" x14ac:dyDescent="0.2">
      <c r="F825" s="24"/>
      <c r="G825" s="3"/>
      <c r="H825" s="7"/>
    </row>
    <row r="826" spans="6:8" ht="15.75" customHeight="1" x14ac:dyDescent="0.2">
      <c r="F826" s="24"/>
      <c r="G826" s="3"/>
      <c r="H826" s="7"/>
    </row>
    <row r="827" spans="6:8" ht="15.75" customHeight="1" x14ac:dyDescent="0.2">
      <c r="F827" s="24"/>
      <c r="G827" s="3"/>
      <c r="H827" s="7"/>
    </row>
    <row r="828" spans="6:8" ht="15.75" customHeight="1" x14ac:dyDescent="0.2">
      <c r="F828" s="24"/>
      <c r="G828" s="3"/>
      <c r="H828" s="7"/>
    </row>
    <row r="829" spans="6:8" ht="15.75" customHeight="1" x14ac:dyDescent="0.2">
      <c r="F829" s="24"/>
      <c r="G829" s="3"/>
      <c r="H829" s="7"/>
    </row>
    <row r="830" spans="6:8" ht="15.75" customHeight="1" x14ac:dyDescent="0.2">
      <c r="F830" s="24"/>
      <c r="G830" s="3"/>
      <c r="H830" s="7"/>
    </row>
    <row r="831" spans="6:8" ht="15.75" customHeight="1" x14ac:dyDescent="0.2">
      <c r="F831" s="24"/>
      <c r="G831" s="3"/>
      <c r="H831" s="7"/>
    </row>
    <row r="832" spans="6:8" ht="15.75" customHeight="1" x14ac:dyDescent="0.2">
      <c r="F832" s="24"/>
      <c r="G832" s="3"/>
      <c r="H832" s="7"/>
    </row>
    <row r="833" spans="6:8" ht="15.75" customHeight="1" x14ac:dyDescent="0.2">
      <c r="F833" s="24"/>
      <c r="G833" s="3"/>
      <c r="H833" s="7"/>
    </row>
    <row r="834" spans="6:8" ht="15.75" customHeight="1" x14ac:dyDescent="0.2">
      <c r="F834" s="24"/>
      <c r="G834" s="3"/>
      <c r="H834" s="7"/>
    </row>
    <row r="835" spans="6:8" ht="15.75" customHeight="1" x14ac:dyDescent="0.2">
      <c r="F835" s="24"/>
      <c r="G835" s="3"/>
      <c r="H835" s="7"/>
    </row>
    <row r="836" spans="6:8" ht="15.75" customHeight="1" x14ac:dyDescent="0.2">
      <c r="F836" s="24"/>
      <c r="G836" s="3"/>
      <c r="H836" s="7"/>
    </row>
    <row r="837" spans="6:8" ht="15.75" customHeight="1" x14ac:dyDescent="0.2">
      <c r="F837" s="24"/>
      <c r="G837" s="3"/>
      <c r="H837" s="7"/>
    </row>
    <row r="838" spans="6:8" ht="15.75" customHeight="1" x14ac:dyDescent="0.2">
      <c r="F838" s="24"/>
      <c r="G838" s="3"/>
      <c r="H838" s="7"/>
    </row>
    <row r="839" spans="6:8" ht="15.75" customHeight="1" x14ac:dyDescent="0.2">
      <c r="F839" s="24"/>
      <c r="G839" s="3"/>
      <c r="H839" s="7"/>
    </row>
    <row r="840" spans="6:8" ht="15.75" customHeight="1" x14ac:dyDescent="0.2">
      <c r="F840" s="24"/>
      <c r="G840" s="3"/>
      <c r="H840" s="7"/>
    </row>
    <row r="841" spans="6:8" ht="15.75" customHeight="1" x14ac:dyDescent="0.2">
      <c r="F841" s="24"/>
      <c r="G841" s="3"/>
      <c r="H841" s="7"/>
    </row>
    <row r="842" spans="6:8" ht="15.75" customHeight="1" x14ac:dyDescent="0.2">
      <c r="F842" s="24"/>
      <c r="G842" s="3"/>
      <c r="H842" s="7"/>
    </row>
    <row r="843" spans="6:8" ht="15.75" customHeight="1" x14ac:dyDescent="0.2">
      <c r="F843" s="24"/>
      <c r="G843" s="3"/>
      <c r="H843" s="7"/>
    </row>
    <row r="844" spans="6:8" ht="15.75" customHeight="1" x14ac:dyDescent="0.2">
      <c r="F844" s="24"/>
      <c r="G844" s="3"/>
      <c r="H844" s="7"/>
    </row>
    <row r="845" spans="6:8" ht="15.75" customHeight="1" x14ac:dyDescent="0.2">
      <c r="F845" s="24"/>
      <c r="G845" s="3"/>
      <c r="H845" s="7"/>
    </row>
    <row r="846" spans="6:8" ht="15.75" customHeight="1" x14ac:dyDescent="0.2">
      <c r="F846" s="24"/>
      <c r="G846" s="3"/>
      <c r="H846" s="7"/>
    </row>
    <row r="847" spans="6:8" ht="15.75" customHeight="1" x14ac:dyDescent="0.2">
      <c r="F847" s="24"/>
      <c r="G847" s="3"/>
      <c r="H847" s="7"/>
    </row>
    <row r="848" spans="6:8" ht="15.75" customHeight="1" x14ac:dyDescent="0.2">
      <c r="F848" s="24"/>
      <c r="G848" s="3"/>
      <c r="H848" s="7"/>
    </row>
    <row r="849" spans="6:8" ht="15.75" customHeight="1" x14ac:dyDescent="0.2">
      <c r="F849" s="24"/>
      <c r="G849" s="3"/>
      <c r="H849" s="7"/>
    </row>
    <row r="850" spans="6:8" ht="15.75" customHeight="1" x14ac:dyDescent="0.2">
      <c r="F850" s="24"/>
      <c r="G850" s="3"/>
      <c r="H850" s="7"/>
    </row>
    <row r="851" spans="6:8" ht="15.75" customHeight="1" x14ac:dyDescent="0.2">
      <c r="F851" s="24"/>
      <c r="G851" s="3"/>
      <c r="H851" s="7"/>
    </row>
    <row r="852" spans="6:8" ht="15.75" customHeight="1" x14ac:dyDescent="0.2">
      <c r="F852" s="24"/>
      <c r="G852" s="3"/>
      <c r="H852" s="7"/>
    </row>
    <row r="853" spans="6:8" ht="15.75" customHeight="1" x14ac:dyDescent="0.2">
      <c r="F853" s="24"/>
      <c r="G853" s="3"/>
      <c r="H853" s="7"/>
    </row>
    <row r="854" spans="6:8" ht="15.75" customHeight="1" x14ac:dyDescent="0.2">
      <c r="F854" s="24"/>
      <c r="G854" s="3"/>
      <c r="H854" s="7"/>
    </row>
    <row r="855" spans="6:8" ht="15.75" customHeight="1" x14ac:dyDescent="0.2">
      <c r="F855" s="24"/>
      <c r="G855" s="3"/>
      <c r="H855" s="7"/>
    </row>
    <row r="856" spans="6:8" ht="15.75" customHeight="1" x14ac:dyDescent="0.2">
      <c r="F856" s="24"/>
      <c r="G856" s="3"/>
      <c r="H856" s="7"/>
    </row>
    <row r="857" spans="6:8" ht="15.75" customHeight="1" x14ac:dyDescent="0.2">
      <c r="F857" s="24"/>
      <c r="G857" s="3"/>
      <c r="H857" s="7"/>
    </row>
    <row r="858" spans="6:8" ht="15.75" customHeight="1" x14ac:dyDescent="0.2">
      <c r="F858" s="24"/>
      <c r="G858" s="3"/>
      <c r="H858" s="7"/>
    </row>
    <row r="859" spans="6:8" ht="15.75" customHeight="1" x14ac:dyDescent="0.2">
      <c r="F859" s="24"/>
      <c r="G859" s="3"/>
      <c r="H859" s="7"/>
    </row>
    <row r="860" spans="6:8" ht="15.75" customHeight="1" x14ac:dyDescent="0.2">
      <c r="F860" s="24"/>
      <c r="G860" s="3"/>
      <c r="H860" s="7"/>
    </row>
    <row r="861" spans="6:8" ht="15.75" customHeight="1" x14ac:dyDescent="0.2">
      <c r="F861" s="24"/>
      <c r="G861" s="3"/>
      <c r="H861" s="7"/>
    </row>
    <row r="862" spans="6:8" ht="15.75" customHeight="1" x14ac:dyDescent="0.2">
      <c r="F862" s="24"/>
      <c r="G862" s="3"/>
      <c r="H862" s="7"/>
    </row>
    <row r="863" spans="6:8" ht="15.75" customHeight="1" x14ac:dyDescent="0.2">
      <c r="F863" s="24"/>
      <c r="G863" s="3"/>
      <c r="H863" s="7"/>
    </row>
    <row r="864" spans="6:8" ht="15.75" customHeight="1" x14ac:dyDescent="0.2">
      <c r="F864" s="24"/>
      <c r="G864" s="3"/>
      <c r="H864" s="7"/>
    </row>
    <row r="865" spans="6:8" ht="15.75" customHeight="1" x14ac:dyDescent="0.2">
      <c r="F865" s="24"/>
      <c r="G865" s="3"/>
      <c r="H865" s="7"/>
    </row>
    <row r="866" spans="6:8" ht="15.75" customHeight="1" x14ac:dyDescent="0.2">
      <c r="F866" s="24"/>
      <c r="G866" s="3"/>
      <c r="H866" s="7"/>
    </row>
    <row r="867" spans="6:8" ht="15.75" customHeight="1" x14ac:dyDescent="0.2">
      <c r="F867" s="24"/>
      <c r="G867" s="3"/>
      <c r="H867" s="7"/>
    </row>
    <row r="868" spans="6:8" ht="15.75" customHeight="1" x14ac:dyDescent="0.2">
      <c r="F868" s="24"/>
      <c r="G868" s="3"/>
      <c r="H868" s="7"/>
    </row>
    <row r="869" spans="6:8" ht="15.75" customHeight="1" x14ac:dyDescent="0.2">
      <c r="F869" s="24"/>
      <c r="G869" s="3"/>
      <c r="H869" s="7"/>
    </row>
    <row r="870" spans="6:8" ht="15.75" customHeight="1" x14ac:dyDescent="0.2">
      <c r="F870" s="24"/>
      <c r="G870" s="3"/>
      <c r="H870" s="7"/>
    </row>
    <row r="871" spans="6:8" ht="15.75" customHeight="1" x14ac:dyDescent="0.2">
      <c r="F871" s="24"/>
      <c r="G871" s="3"/>
      <c r="H871" s="7"/>
    </row>
    <row r="872" spans="6:8" ht="15.75" customHeight="1" x14ac:dyDescent="0.2">
      <c r="F872" s="24"/>
      <c r="G872" s="3"/>
      <c r="H872" s="7"/>
    </row>
    <row r="873" spans="6:8" ht="15.75" customHeight="1" x14ac:dyDescent="0.2">
      <c r="F873" s="24"/>
      <c r="G873" s="3"/>
      <c r="H873" s="7"/>
    </row>
    <row r="874" spans="6:8" ht="15.75" customHeight="1" x14ac:dyDescent="0.2">
      <c r="F874" s="24"/>
      <c r="G874" s="3"/>
      <c r="H874" s="7"/>
    </row>
    <row r="875" spans="6:8" ht="15.75" customHeight="1" x14ac:dyDescent="0.2">
      <c r="F875" s="24"/>
      <c r="G875" s="3"/>
      <c r="H875" s="7"/>
    </row>
    <row r="876" spans="6:8" ht="15.75" customHeight="1" x14ac:dyDescent="0.2">
      <c r="F876" s="24"/>
      <c r="G876" s="3"/>
      <c r="H876" s="7"/>
    </row>
    <row r="877" spans="6:8" ht="15.75" customHeight="1" x14ac:dyDescent="0.2">
      <c r="F877" s="24"/>
      <c r="G877" s="3"/>
      <c r="H877" s="7"/>
    </row>
    <row r="878" spans="6:8" ht="15.75" customHeight="1" x14ac:dyDescent="0.2">
      <c r="F878" s="24"/>
      <c r="G878" s="3"/>
      <c r="H878" s="7"/>
    </row>
    <row r="879" spans="6:8" ht="15.75" customHeight="1" x14ac:dyDescent="0.2">
      <c r="F879" s="24"/>
      <c r="G879" s="3"/>
      <c r="H879" s="7"/>
    </row>
    <row r="880" spans="6:8" ht="15.75" customHeight="1" x14ac:dyDescent="0.2">
      <c r="F880" s="24"/>
      <c r="G880" s="3"/>
      <c r="H880" s="7"/>
    </row>
    <row r="881" spans="6:8" ht="15.75" customHeight="1" x14ac:dyDescent="0.2">
      <c r="F881" s="24"/>
      <c r="G881" s="3"/>
      <c r="H881" s="7"/>
    </row>
    <row r="882" spans="6:8" ht="15.75" customHeight="1" x14ac:dyDescent="0.2">
      <c r="F882" s="24"/>
      <c r="G882" s="3"/>
      <c r="H882" s="7"/>
    </row>
    <row r="883" spans="6:8" ht="15.75" customHeight="1" x14ac:dyDescent="0.2">
      <c r="F883" s="24"/>
      <c r="G883" s="3"/>
      <c r="H883" s="7"/>
    </row>
    <row r="884" spans="6:8" ht="15.75" customHeight="1" x14ac:dyDescent="0.2">
      <c r="F884" s="24"/>
      <c r="G884" s="3"/>
      <c r="H884" s="7"/>
    </row>
    <row r="885" spans="6:8" ht="15.75" customHeight="1" x14ac:dyDescent="0.2">
      <c r="F885" s="24"/>
      <c r="G885" s="3"/>
      <c r="H885" s="7"/>
    </row>
    <row r="886" spans="6:8" ht="15.75" customHeight="1" x14ac:dyDescent="0.2">
      <c r="F886" s="24"/>
      <c r="G886" s="3"/>
      <c r="H886" s="7"/>
    </row>
    <row r="887" spans="6:8" ht="15.75" customHeight="1" x14ac:dyDescent="0.2">
      <c r="F887" s="24"/>
      <c r="G887" s="3"/>
      <c r="H887" s="7"/>
    </row>
    <row r="888" spans="6:8" ht="15.75" customHeight="1" x14ac:dyDescent="0.2">
      <c r="F888" s="24"/>
      <c r="G888" s="3"/>
      <c r="H888" s="7"/>
    </row>
    <row r="889" spans="6:8" ht="15.75" customHeight="1" x14ac:dyDescent="0.2">
      <c r="F889" s="24"/>
      <c r="G889" s="3"/>
      <c r="H889" s="7"/>
    </row>
    <row r="890" spans="6:8" ht="15.75" customHeight="1" x14ac:dyDescent="0.2">
      <c r="F890" s="24"/>
      <c r="G890" s="3"/>
      <c r="H890" s="7"/>
    </row>
    <row r="891" spans="6:8" ht="15.75" customHeight="1" x14ac:dyDescent="0.2">
      <c r="F891" s="24"/>
      <c r="G891" s="3"/>
      <c r="H891" s="7"/>
    </row>
    <row r="892" spans="6:8" ht="15.75" customHeight="1" x14ac:dyDescent="0.2">
      <c r="F892" s="24"/>
      <c r="G892" s="3"/>
      <c r="H892" s="7"/>
    </row>
    <row r="893" spans="6:8" ht="15.75" customHeight="1" x14ac:dyDescent="0.2">
      <c r="F893" s="24"/>
      <c r="G893" s="3"/>
      <c r="H893" s="7"/>
    </row>
    <row r="894" spans="6:8" ht="15.75" customHeight="1" x14ac:dyDescent="0.2">
      <c r="F894" s="24"/>
      <c r="G894" s="3"/>
      <c r="H894" s="7"/>
    </row>
    <row r="895" spans="6:8" ht="15.75" customHeight="1" x14ac:dyDescent="0.2">
      <c r="F895" s="24"/>
      <c r="G895" s="3"/>
      <c r="H895" s="7"/>
    </row>
    <row r="896" spans="6:8" ht="15.75" customHeight="1" x14ac:dyDescent="0.2">
      <c r="F896" s="24"/>
      <c r="G896" s="3"/>
      <c r="H896" s="7"/>
    </row>
    <row r="897" spans="6:8" ht="15.75" customHeight="1" x14ac:dyDescent="0.2">
      <c r="F897" s="24"/>
      <c r="G897" s="3"/>
      <c r="H897" s="7"/>
    </row>
    <row r="898" spans="6:8" ht="15.75" customHeight="1" x14ac:dyDescent="0.2">
      <c r="F898" s="24"/>
      <c r="G898" s="3"/>
      <c r="H898" s="7"/>
    </row>
    <row r="899" spans="6:8" ht="15.75" customHeight="1" x14ac:dyDescent="0.2">
      <c r="F899" s="24"/>
      <c r="G899" s="3"/>
      <c r="H899" s="7"/>
    </row>
    <row r="900" spans="6:8" ht="15.75" customHeight="1" x14ac:dyDescent="0.2">
      <c r="F900" s="24"/>
      <c r="G900" s="3"/>
      <c r="H900" s="7"/>
    </row>
    <row r="901" spans="6:8" ht="15.75" customHeight="1" x14ac:dyDescent="0.2">
      <c r="F901" s="24"/>
      <c r="G901" s="3"/>
      <c r="H901" s="7"/>
    </row>
    <row r="902" spans="6:8" ht="15.75" customHeight="1" x14ac:dyDescent="0.2">
      <c r="F902" s="24"/>
      <c r="G902" s="3"/>
      <c r="H902" s="7"/>
    </row>
    <row r="903" spans="6:8" ht="15.75" customHeight="1" x14ac:dyDescent="0.2">
      <c r="F903" s="24"/>
      <c r="G903" s="3"/>
      <c r="H903" s="7"/>
    </row>
    <row r="904" spans="6:8" ht="15.75" customHeight="1" x14ac:dyDescent="0.2">
      <c r="F904" s="24"/>
      <c r="G904" s="3"/>
      <c r="H904" s="7"/>
    </row>
    <row r="905" spans="6:8" ht="15.75" customHeight="1" x14ac:dyDescent="0.2">
      <c r="F905" s="24"/>
      <c r="G905" s="3"/>
      <c r="H905" s="7"/>
    </row>
    <row r="906" spans="6:8" ht="15.75" customHeight="1" x14ac:dyDescent="0.2">
      <c r="F906" s="24"/>
      <c r="G906" s="3"/>
      <c r="H906" s="7"/>
    </row>
    <row r="907" spans="6:8" ht="15.75" customHeight="1" x14ac:dyDescent="0.2">
      <c r="F907" s="24"/>
      <c r="G907" s="3"/>
      <c r="H907" s="7"/>
    </row>
    <row r="908" spans="6:8" ht="15.75" customHeight="1" x14ac:dyDescent="0.2">
      <c r="F908" s="24"/>
      <c r="G908" s="3"/>
      <c r="H908" s="7"/>
    </row>
    <row r="909" spans="6:8" ht="15.75" customHeight="1" x14ac:dyDescent="0.2">
      <c r="F909" s="24"/>
      <c r="G909" s="3"/>
      <c r="H909" s="7"/>
    </row>
    <row r="910" spans="6:8" ht="15.75" customHeight="1" x14ac:dyDescent="0.2">
      <c r="F910" s="24"/>
      <c r="G910" s="3"/>
      <c r="H910" s="7"/>
    </row>
    <row r="911" spans="6:8" ht="15.75" customHeight="1" x14ac:dyDescent="0.2">
      <c r="F911" s="24"/>
      <c r="G911" s="3"/>
      <c r="H911" s="7"/>
    </row>
    <row r="912" spans="6:8" ht="15.75" customHeight="1" x14ac:dyDescent="0.2">
      <c r="F912" s="24"/>
      <c r="G912" s="3"/>
      <c r="H912" s="7"/>
    </row>
    <row r="913" spans="6:8" ht="15.75" customHeight="1" x14ac:dyDescent="0.2">
      <c r="F913" s="24"/>
      <c r="G913" s="3"/>
      <c r="H913" s="7"/>
    </row>
    <row r="914" spans="6:8" ht="15.75" customHeight="1" x14ac:dyDescent="0.2">
      <c r="F914" s="24"/>
      <c r="G914" s="3"/>
      <c r="H914" s="7"/>
    </row>
    <row r="915" spans="6:8" ht="15.75" customHeight="1" x14ac:dyDescent="0.2">
      <c r="F915" s="24"/>
      <c r="G915" s="3"/>
      <c r="H915" s="7"/>
    </row>
    <row r="916" spans="6:8" ht="15.75" customHeight="1" x14ac:dyDescent="0.2">
      <c r="F916" s="24"/>
      <c r="G916" s="3"/>
      <c r="H916" s="7"/>
    </row>
    <row r="917" spans="6:8" ht="15.75" customHeight="1" x14ac:dyDescent="0.2">
      <c r="F917" s="24"/>
      <c r="G917" s="3"/>
      <c r="H917" s="7"/>
    </row>
    <row r="918" spans="6:8" ht="15.75" customHeight="1" x14ac:dyDescent="0.2">
      <c r="F918" s="24"/>
      <c r="G918" s="3"/>
      <c r="H918" s="7"/>
    </row>
    <row r="919" spans="6:8" ht="15.75" customHeight="1" x14ac:dyDescent="0.2">
      <c r="F919" s="24"/>
      <c r="G919" s="3"/>
      <c r="H919" s="7"/>
    </row>
    <row r="920" spans="6:8" ht="15.75" customHeight="1" x14ac:dyDescent="0.2">
      <c r="F920" s="24"/>
      <c r="G920" s="3"/>
      <c r="H920" s="7"/>
    </row>
    <row r="921" spans="6:8" ht="15.75" customHeight="1" x14ac:dyDescent="0.2">
      <c r="F921" s="24"/>
      <c r="G921" s="3"/>
      <c r="H921" s="7"/>
    </row>
    <row r="922" spans="6:8" ht="15.75" customHeight="1" x14ac:dyDescent="0.2">
      <c r="F922" s="24"/>
      <c r="G922" s="3"/>
      <c r="H922" s="7"/>
    </row>
    <row r="923" spans="6:8" ht="15.75" customHeight="1" x14ac:dyDescent="0.2">
      <c r="F923" s="24"/>
      <c r="G923" s="3"/>
      <c r="H923" s="7"/>
    </row>
    <row r="924" spans="6:8" ht="15.75" customHeight="1" x14ac:dyDescent="0.2">
      <c r="F924" s="24"/>
      <c r="G924" s="3"/>
      <c r="H924" s="7"/>
    </row>
    <row r="925" spans="6:8" ht="15.75" customHeight="1" x14ac:dyDescent="0.2">
      <c r="F925" s="24"/>
      <c r="G925" s="3"/>
      <c r="H925" s="7"/>
    </row>
    <row r="926" spans="6:8" ht="15.75" customHeight="1" x14ac:dyDescent="0.2">
      <c r="F926" s="24"/>
      <c r="G926" s="3"/>
      <c r="H926" s="7"/>
    </row>
    <row r="927" spans="6:8" ht="15.75" customHeight="1" x14ac:dyDescent="0.2">
      <c r="F927" s="24"/>
      <c r="G927" s="3"/>
      <c r="H927" s="7"/>
    </row>
    <row r="928" spans="6:8" ht="15.75" customHeight="1" x14ac:dyDescent="0.2">
      <c r="F928" s="24"/>
      <c r="G928" s="3"/>
      <c r="H928" s="7"/>
    </row>
    <row r="929" spans="6:8" ht="15.75" customHeight="1" x14ac:dyDescent="0.2">
      <c r="F929" s="24"/>
      <c r="G929" s="3"/>
      <c r="H929" s="7"/>
    </row>
    <row r="930" spans="6:8" ht="15.75" customHeight="1" x14ac:dyDescent="0.2">
      <c r="F930" s="24"/>
      <c r="G930" s="3"/>
      <c r="H930" s="7"/>
    </row>
    <row r="931" spans="6:8" ht="15.75" customHeight="1" x14ac:dyDescent="0.2">
      <c r="F931" s="24"/>
      <c r="G931" s="3"/>
      <c r="H931" s="7"/>
    </row>
    <row r="932" spans="6:8" ht="15.75" customHeight="1" x14ac:dyDescent="0.2">
      <c r="F932" s="24"/>
      <c r="G932" s="3"/>
      <c r="H932" s="7"/>
    </row>
    <row r="933" spans="6:8" ht="15.75" customHeight="1" x14ac:dyDescent="0.2">
      <c r="F933" s="24"/>
      <c r="G933" s="3"/>
      <c r="H933" s="7"/>
    </row>
    <row r="934" spans="6:8" ht="15.75" customHeight="1" x14ac:dyDescent="0.2">
      <c r="F934" s="24"/>
      <c r="G934" s="3"/>
      <c r="H934" s="7"/>
    </row>
    <row r="935" spans="6:8" ht="15.75" customHeight="1" x14ac:dyDescent="0.2">
      <c r="F935" s="24"/>
      <c r="G935" s="3"/>
      <c r="H935" s="7"/>
    </row>
    <row r="936" spans="6:8" ht="15.75" customHeight="1" x14ac:dyDescent="0.2">
      <c r="F936" s="24"/>
      <c r="G936" s="3"/>
      <c r="H936" s="7"/>
    </row>
    <row r="937" spans="6:8" ht="15.75" customHeight="1" x14ac:dyDescent="0.2">
      <c r="F937" s="24"/>
      <c r="G937" s="3"/>
      <c r="H937" s="7"/>
    </row>
    <row r="938" spans="6:8" ht="15.75" customHeight="1" x14ac:dyDescent="0.2">
      <c r="F938" s="24"/>
      <c r="G938" s="3"/>
      <c r="H938" s="7"/>
    </row>
    <row r="939" spans="6:8" ht="15.75" customHeight="1" x14ac:dyDescent="0.2">
      <c r="F939" s="24"/>
      <c r="G939" s="3"/>
      <c r="H939" s="7"/>
    </row>
    <row r="940" spans="6:8" ht="15.75" customHeight="1" x14ac:dyDescent="0.2">
      <c r="F940" s="24"/>
      <c r="G940" s="3"/>
      <c r="H940" s="7"/>
    </row>
    <row r="941" spans="6:8" ht="15.75" customHeight="1" x14ac:dyDescent="0.2">
      <c r="F941" s="24"/>
      <c r="G941" s="3"/>
      <c r="H941" s="7"/>
    </row>
    <row r="942" spans="6:8" ht="15.75" customHeight="1" x14ac:dyDescent="0.2">
      <c r="F942" s="24"/>
      <c r="G942" s="3"/>
      <c r="H942" s="7"/>
    </row>
    <row r="943" spans="6:8" ht="15.75" customHeight="1" x14ac:dyDescent="0.2">
      <c r="F943" s="24"/>
      <c r="G943" s="3"/>
      <c r="H943" s="7"/>
    </row>
    <row r="944" spans="6:8" ht="15.75" customHeight="1" x14ac:dyDescent="0.2">
      <c r="F944" s="24"/>
      <c r="G944" s="3"/>
      <c r="H944" s="7"/>
    </row>
    <row r="945" spans="6:8" ht="15.75" customHeight="1" x14ac:dyDescent="0.2">
      <c r="F945" s="24"/>
      <c r="G945" s="3"/>
      <c r="H945" s="7"/>
    </row>
    <row r="946" spans="6:8" ht="15.75" customHeight="1" x14ac:dyDescent="0.2">
      <c r="F946" s="24"/>
      <c r="G946" s="3"/>
      <c r="H946" s="7"/>
    </row>
    <row r="947" spans="6:8" ht="15.75" customHeight="1" x14ac:dyDescent="0.2">
      <c r="F947" s="24"/>
      <c r="G947" s="3"/>
      <c r="H947" s="7"/>
    </row>
    <row r="948" spans="6:8" ht="15.75" customHeight="1" x14ac:dyDescent="0.2">
      <c r="F948" s="24"/>
      <c r="G948" s="3"/>
      <c r="H948" s="7"/>
    </row>
    <row r="949" spans="6:8" ht="15.75" customHeight="1" x14ac:dyDescent="0.2">
      <c r="F949" s="24"/>
      <c r="G949" s="3"/>
      <c r="H949" s="7"/>
    </row>
    <row r="950" spans="6:8" ht="15.75" customHeight="1" x14ac:dyDescent="0.2">
      <c r="F950" s="24"/>
      <c r="G950" s="3"/>
      <c r="H950" s="7"/>
    </row>
    <row r="951" spans="6:8" ht="15.75" customHeight="1" x14ac:dyDescent="0.2">
      <c r="F951" s="24"/>
      <c r="G951" s="3"/>
      <c r="H951" s="7"/>
    </row>
    <row r="952" spans="6:8" ht="15.75" customHeight="1" x14ac:dyDescent="0.2">
      <c r="F952" s="24"/>
      <c r="G952" s="3"/>
      <c r="H952" s="7"/>
    </row>
    <row r="953" spans="6:8" ht="15.75" customHeight="1" x14ac:dyDescent="0.2">
      <c r="F953" s="24"/>
      <c r="G953" s="3"/>
      <c r="H953" s="7"/>
    </row>
    <row r="954" spans="6:8" ht="15.75" customHeight="1" x14ac:dyDescent="0.2">
      <c r="F954" s="24"/>
      <c r="G954" s="3"/>
      <c r="H954" s="7"/>
    </row>
    <row r="955" spans="6:8" ht="15.75" customHeight="1" x14ac:dyDescent="0.2">
      <c r="F955" s="24"/>
      <c r="G955" s="3"/>
      <c r="H955" s="7"/>
    </row>
    <row r="956" spans="6:8" ht="15.75" customHeight="1" x14ac:dyDescent="0.2">
      <c r="F956" s="24"/>
      <c r="G956" s="3"/>
      <c r="H956" s="7"/>
    </row>
    <row r="957" spans="6:8" ht="15.75" customHeight="1" x14ac:dyDescent="0.2">
      <c r="F957" s="24"/>
      <c r="G957" s="3"/>
      <c r="H957" s="7"/>
    </row>
    <row r="958" spans="6:8" ht="15.75" customHeight="1" x14ac:dyDescent="0.2">
      <c r="F958" s="24"/>
      <c r="G958" s="3"/>
      <c r="H958" s="7"/>
    </row>
    <row r="959" spans="6:8" ht="15.75" customHeight="1" x14ac:dyDescent="0.2">
      <c r="F959" s="24"/>
      <c r="G959" s="3"/>
      <c r="H959" s="7"/>
    </row>
    <row r="960" spans="6:8" ht="15.75" customHeight="1" x14ac:dyDescent="0.2">
      <c r="F960" s="24"/>
      <c r="G960" s="3"/>
      <c r="H960" s="7"/>
    </row>
    <row r="961" spans="6:8" ht="15.75" customHeight="1" x14ac:dyDescent="0.2">
      <c r="F961" s="24"/>
      <c r="G961" s="3"/>
      <c r="H961" s="7"/>
    </row>
    <row r="962" spans="6:8" ht="15.75" customHeight="1" x14ac:dyDescent="0.2">
      <c r="F962" s="24"/>
      <c r="G962" s="3"/>
      <c r="H962" s="7"/>
    </row>
    <row r="963" spans="6:8" ht="15.75" customHeight="1" x14ac:dyDescent="0.2">
      <c r="F963" s="24"/>
      <c r="G963" s="3"/>
      <c r="H963" s="7"/>
    </row>
    <row r="964" spans="6:8" ht="15.75" customHeight="1" x14ac:dyDescent="0.2">
      <c r="F964" s="24"/>
      <c r="G964" s="3"/>
      <c r="H964" s="7"/>
    </row>
    <row r="965" spans="6:8" ht="15.75" customHeight="1" x14ac:dyDescent="0.2">
      <c r="F965" s="24"/>
      <c r="G965" s="3"/>
      <c r="H965" s="7"/>
    </row>
    <row r="966" spans="6:8" ht="15.75" customHeight="1" x14ac:dyDescent="0.2">
      <c r="F966" s="24"/>
      <c r="G966" s="3"/>
      <c r="H966" s="7"/>
    </row>
    <row r="967" spans="6:8" ht="15.75" customHeight="1" x14ac:dyDescent="0.2">
      <c r="F967" s="24"/>
      <c r="G967" s="3"/>
      <c r="H967" s="7"/>
    </row>
    <row r="968" spans="6:8" ht="15.75" customHeight="1" x14ac:dyDescent="0.2">
      <c r="F968" s="24"/>
      <c r="G968" s="3"/>
      <c r="H968" s="7"/>
    </row>
    <row r="969" spans="6:8" ht="15.75" customHeight="1" x14ac:dyDescent="0.2">
      <c r="F969" s="24"/>
      <c r="G969" s="3"/>
      <c r="H969" s="7"/>
    </row>
    <row r="970" spans="6:8" ht="15.75" customHeight="1" x14ac:dyDescent="0.2">
      <c r="F970" s="24"/>
      <c r="G970" s="3"/>
      <c r="H970" s="7"/>
    </row>
    <row r="971" spans="6:8" ht="15.75" customHeight="1" x14ac:dyDescent="0.2">
      <c r="F971" s="24"/>
      <c r="G971" s="3"/>
      <c r="H971" s="7"/>
    </row>
    <row r="972" spans="6:8" ht="15.75" customHeight="1" x14ac:dyDescent="0.2">
      <c r="F972" s="24"/>
      <c r="G972" s="3"/>
      <c r="H972" s="7"/>
    </row>
    <row r="973" spans="6:8" ht="15.75" customHeight="1" x14ac:dyDescent="0.2">
      <c r="F973" s="24"/>
      <c r="G973" s="3"/>
      <c r="H973" s="7"/>
    </row>
    <row r="974" spans="6:8" ht="15.75" customHeight="1" x14ac:dyDescent="0.2">
      <c r="F974" s="24"/>
      <c r="G974" s="3"/>
      <c r="H974" s="7"/>
    </row>
    <row r="975" spans="6:8" ht="15.75" customHeight="1" x14ac:dyDescent="0.2">
      <c r="F975" s="24"/>
      <c r="G975" s="3"/>
      <c r="H975" s="7"/>
    </row>
    <row r="976" spans="6:8" ht="15.75" customHeight="1" x14ac:dyDescent="0.2">
      <c r="F976" s="24"/>
      <c r="G976" s="3"/>
      <c r="H976" s="7"/>
    </row>
    <row r="977" spans="6:8" ht="15.75" customHeight="1" x14ac:dyDescent="0.2">
      <c r="F977" s="24"/>
      <c r="G977" s="3"/>
      <c r="H977" s="7"/>
    </row>
    <row r="978" spans="6:8" ht="15.75" customHeight="1" x14ac:dyDescent="0.2">
      <c r="F978" s="24"/>
      <c r="G978" s="3"/>
      <c r="H978" s="7"/>
    </row>
    <row r="979" spans="6:8" ht="15.75" customHeight="1" x14ac:dyDescent="0.2">
      <c r="F979" s="24"/>
      <c r="G979" s="3"/>
      <c r="H979" s="7"/>
    </row>
    <row r="980" spans="6:8" ht="15.75" customHeight="1" x14ac:dyDescent="0.2">
      <c r="F980" s="24"/>
      <c r="G980" s="3"/>
      <c r="H980" s="7"/>
    </row>
    <row r="981" spans="6:8" ht="15.75" customHeight="1" x14ac:dyDescent="0.2">
      <c r="F981" s="24"/>
      <c r="G981" s="3"/>
      <c r="H981" s="7"/>
    </row>
    <row r="982" spans="6:8" ht="15.75" customHeight="1" x14ac:dyDescent="0.2">
      <c r="F982" s="24"/>
      <c r="G982" s="3"/>
      <c r="H982" s="7"/>
    </row>
    <row r="983" spans="6:8" ht="15.75" customHeight="1" x14ac:dyDescent="0.2">
      <c r="F983" s="24"/>
      <c r="G983" s="3"/>
      <c r="H983" s="7"/>
    </row>
    <row r="984" spans="6:8" ht="15.75" customHeight="1" x14ac:dyDescent="0.2">
      <c r="F984" s="24"/>
      <c r="G984" s="3"/>
      <c r="H984" s="7"/>
    </row>
    <row r="985" spans="6:8" ht="15.75" customHeight="1" x14ac:dyDescent="0.2">
      <c r="F985" s="24"/>
      <c r="G985" s="3"/>
      <c r="H985" s="7"/>
    </row>
    <row r="986" spans="6:8" ht="15.75" customHeight="1" x14ac:dyDescent="0.2">
      <c r="F986" s="24"/>
      <c r="G986" s="3"/>
      <c r="H986" s="7"/>
    </row>
    <row r="987" spans="6:8" ht="15.75" customHeight="1" x14ac:dyDescent="0.2">
      <c r="F987" s="24"/>
      <c r="G987" s="3"/>
      <c r="H987" s="7"/>
    </row>
    <row r="988" spans="6:8" ht="15.75" customHeight="1" x14ac:dyDescent="0.2">
      <c r="F988" s="24"/>
      <c r="G988" s="3"/>
      <c r="H988" s="7"/>
    </row>
    <row r="989" spans="6:8" ht="15.75" customHeight="1" x14ac:dyDescent="0.2">
      <c r="F989" s="24"/>
      <c r="G989" s="3"/>
      <c r="H989" s="7"/>
    </row>
    <row r="990" spans="6:8" ht="15.75" customHeight="1" x14ac:dyDescent="0.2">
      <c r="F990" s="24"/>
      <c r="G990" s="3"/>
      <c r="H990" s="7"/>
    </row>
    <row r="991" spans="6:8" ht="15.75" customHeight="1" x14ac:dyDescent="0.2">
      <c r="F991" s="24"/>
      <c r="G991" s="3"/>
      <c r="H991" s="7"/>
    </row>
    <row r="992" spans="6:8" ht="15.75" customHeight="1" x14ac:dyDescent="0.2">
      <c r="F992" s="24"/>
      <c r="G992" s="3"/>
      <c r="H992" s="7"/>
    </row>
    <row r="993" spans="6:8" ht="15.75" customHeight="1" x14ac:dyDescent="0.2">
      <c r="F993" s="24"/>
      <c r="G993" s="3"/>
      <c r="H993" s="7"/>
    </row>
    <row r="994" spans="6:8" ht="15.75" customHeight="1" x14ac:dyDescent="0.2">
      <c r="F994" s="24"/>
      <c r="G994" s="3"/>
      <c r="H994" s="7"/>
    </row>
    <row r="995" spans="6:8" ht="15.75" customHeight="1" x14ac:dyDescent="0.2">
      <c r="F995" s="24"/>
      <c r="G995" s="3"/>
      <c r="H995" s="7"/>
    </row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1000"/>
  <sheetViews>
    <sheetView workbookViewId="0"/>
  </sheetViews>
  <sheetFormatPr baseColWidth="10" defaultColWidth="11.1640625" defaultRowHeight="15" customHeight="1" x14ac:dyDescent="0.2"/>
  <cols>
    <col min="1" max="26" width="10.5" customWidth="1"/>
  </cols>
  <sheetData>
    <row r="1" spans="1:19" ht="15.75" customHeight="1" x14ac:dyDescent="0.2"/>
    <row r="2" spans="1:19" ht="15.75" customHeight="1" x14ac:dyDescent="0.2">
      <c r="A2" s="69" t="s">
        <v>310</v>
      </c>
      <c r="B2" s="69">
        <v>1993</v>
      </c>
      <c r="C2" s="69">
        <v>1994</v>
      </c>
      <c r="D2" s="69">
        <v>1995</v>
      </c>
      <c r="E2" s="69">
        <v>2008</v>
      </c>
      <c r="F2" s="69">
        <v>2010</v>
      </c>
      <c r="G2" s="69">
        <v>2011</v>
      </c>
      <c r="H2" s="69">
        <v>2012</v>
      </c>
      <c r="I2" s="69">
        <v>2013</v>
      </c>
      <c r="J2" s="69">
        <v>2014</v>
      </c>
      <c r="K2" s="69">
        <v>2015</v>
      </c>
      <c r="L2" s="69">
        <v>2016</v>
      </c>
      <c r="M2" s="69">
        <v>2017</v>
      </c>
      <c r="N2" s="69">
        <v>2018</v>
      </c>
      <c r="O2" s="69">
        <v>2019</v>
      </c>
      <c r="P2" s="69">
        <v>2020</v>
      </c>
      <c r="Q2" s="69">
        <v>2021</v>
      </c>
      <c r="R2" s="70">
        <v>2022</v>
      </c>
      <c r="S2" s="71" t="s">
        <v>311</v>
      </c>
    </row>
    <row r="3" spans="1:19" ht="15.75" customHeight="1" x14ac:dyDescent="0.2">
      <c r="A3" s="72" t="s">
        <v>17</v>
      </c>
      <c r="B3" s="73"/>
      <c r="C3" s="73"/>
      <c r="D3" s="73">
        <v>4</v>
      </c>
      <c r="E3" s="73"/>
      <c r="F3" s="73"/>
      <c r="G3" s="73"/>
      <c r="H3" s="73"/>
      <c r="I3" s="73"/>
      <c r="J3" s="73"/>
      <c r="K3" s="73"/>
      <c r="L3" s="73"/>
      <c r="M3" s="73">
        <v>6</v>
      </c>
      <c r="N3" s="73">
        <v>4</v>
      </c>
      <c r="O3" s="73"/>
      <c r="P3" s="73">
        <v>4</v>
      </c>
      <c r="Q3" s="73">
        <v>4</v>
      </c>
      <c r="R3" s="74"/>
      <c r="S3" s="75">
        <f t="shared" ref="S3:S4" si="0">SUM(B3:Q3)</f>
        <v>22</v>
      </c>
    </row>
    <row r="4" spans="1:19" ht="15.75" customHeight="1" x14ac:dyDescent="0.2">
      <c r="A4" s="72" t="s">
        <v>19</v>
      </c>
      <c r="B4" s="73">
        <v>6</v>
      </c>
      <c r="C4" s="73"/>
      <c r="D4" s="73"/>
      <c r="E4" s="73">
        <v>4</v>
      </c>
      <c r="F4" s="73"/>
      <c r="G4" s="73"/>
      <c r="H4" s="73"/>
      <c r="I4" s="73"/>
      <c r="J4" s="73"/>
      <c r="K4" s="73"/>
      <c r="L4" s="73">
        <v>2</v>
      </c>
      <c r="M4" s="73">
        <v>6</v>
      </c>
      <c r="N4" s="73"/>
      <c r="O4" s="73"/>
      <c r="P4" s="73">
        <v>3</v>
      </c>
      <c r="Q4" s="73">
        <v>4</v>
      </c>
      <c r="R4" s="74" t="s">
        <v>312</v>
      </c>
      <c r="S4" s="75">
        <f t="shared" si="0"/>
        <v>25</v>
      </c>
    </row>
    <row r="5" spans="1:19" ht="15.75" customHeight="1" x14ac:dyDescent="0.2">
      <c r="A5" s="72" t="s">
        <v>21</v>
      </c>
      <c r="B5" s="73">
        <v>6</v>
      </c>
      <c r="C5" s="73"/>
      <c r="D5" s="73"/>
      <c r="E5" s="73">
        <v>4</v>
      </c>
      <c r="F5" s="73"/>
      <c r="G5" s="73"/>
      <c r="H5" s="73"/>
      <c r="I5" s="73"/>
      <c r="J5" s="73"/>
      <c r="K5" s="73"/>
      <c r="L5" s="73"/>
      <c r="M5" s="73">
        <v>6</v>
      </c>
      <c r="N5" s="73">
        <v>4</v>
      </c>
      <c r="O5" s="73"/>
      <c r="P5" s="73">
        <v>4</v>
      </c>
      <c r="Q5" s="73"/>
      <c r="R5" s="74" t="s">
        <v>313</v>
      </c>
      <c r="S5" s="75">
        <f t="shared" ref="S5:S7" si="1">SUM(B5:P5)</f>
        <v>24</v>
      </c>
    </row>
    <row r="6" spans="1:19" ht="15.75" customHeight="1" x14ac:dyDescent="0.2">
      <c r="A6" s="72" t="s">
        <v>23</v>
      </c>
      <c r="B6" s="73">
        <v>6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>
        <v>4</v>
      </c>
      <c r="O6" s="73">
        <v>4</v>
      </c>
      <c r="P6" s="73">
        <v>4</v>
      </c>
      <c r="Q6" s="73"/>
      <c r="R6" s="74"/>
      <c r="S6" s="75">
        <f t="shared" si="1"/>
        <v>18</v>
      </c>
    </row>
    <row r="7" spans="1:19" ht="15.75" customHeight="1" x14ac:dyDescent="0.2">
      <c r="A7" s="72" t="s">
        <v>15</v>
      </c>
      <c r="B7" s="73">
        <v>5</v>
      </c>
      <c r="C7" s="73"/>
      <c r="D7" s="73">
        <v>6</v>
      </c>
      <c r="E7" s="73">
        <v>4</v>
      </c>
      <c r="F7" s="73"/>
      <c r="G7" s="73"/>
      <c r="H7" s="73"/>
      <c r="I7" s="73"/>
      <c r="J7" s="73"/>
      <c r="K7" s="73"/>
      <c r="L7" s="73"/>
      <c r="M7" s="73">
        <v>6</v>
      </c>
      <c r="N7" s="73">
        <v>4</v>
      </c>
      <c r="O7" s="73">
        <v>1</v>
      </c>
      <c r="P7" s="73">
        <v>4</v>
      </c>
      <c r="Q7" s="73"/>
      <c r="R7" s="74"/>
      <c r="S7" s="75">
        <f t="shared" si="1"/>
        <v>30</v>
      </c>
    </row>
    <row r="8" spans="1:19" ht="15.75" customHeight="1" x14ac:dyDescent="0.2">
      <c r="A8" s="72" t="s">
        <v>25</v>
      </c>
      <c r="B8" s="73">
        <v>6</v>
      </c>
      <c r="C8" s="73">
        <v>6</v>
      </c>
      <c r="D8" s="73">
        <v>6</v>
      </c>
      <c r="E8" s="73">
        <v>4</v>
      </c>
      <c r="F8" s="73"/>
      <c r="G8" s="73"/>
      <c r="H8" s="73"/>
      <c r="I8" s="73"/>
      <c r="J8" s="73"/>
      <c r="K8" s="73"/>
      <c r="L8" s="73">
        <v>2</v>
      </c>
      <c r="M8" s="73">
        <v>6</v>
      </c>
      <c r="N8" s="73">
        <v>4</v>
      </c>
      <c r="O8" s="73">
        <v>4</v>
      </c>
      <c r="P8" s="73"/>
      <c r="Q8" s="73">
        <v>4</v>
      </c>
      <c r="R8" s="74"/>
      <c r="S8" s="75">
        <f>SUM(B8:Q8)</f>
        <v>42</v>
      </c>
    </row>
    <row r="9" spans="1:19" ht="15.75" customHeight="1" x14ac:dyDescent="0.2">
      <c r="A9" s="72" t="s">
        <v>27</v>
      </c>
      <c r="B9" s="73">
        <v>6</v>
      </c>
      <c r="C9" s="73"/>
      <c r="D9" s="73"/>
      <c r="E9" s="73"/>
      <c r="F9" s="73"/>
      <c r="G9" s="73"/>
      <c r="H9" s="73"/>
      <c r="I9" s="73"/>
      <c r="J9" s="73"/>
      <c r="K9" s="73"/>
      <c r="L9" s="73"/>
      <c r="M9" s="73">
        <v>6</v>
      </c>
      <c r="N9" s="73"/>
      <c r="O9" s="73">
        <v>1</v>
      </c>
      <c r="P9" s="73">
        <v>4</v>
      </c>
      <c r="Q9" s="73"/>
      <c r="R9" s="74"/>
      <c r="S9" s="75">
        <f>SUM(B9:P9)</f>
        <v>17</v>
      </c>
    </row>
    <row r="10" spans="1:19" ht="15.75" customHeight="1" x14ac:dyDescent="0.2">
      <c r="A10" s="72" t="s">
        <v>29</v>
      </c>
      <c r="B10" s="73">
        <v>6</v>
      </c>
      <c r="C10" s="73">
        <v>6</v>
      </c>
      <c r="D10" s="73">
        <v>6</v>
      </c>
      <c r="E10" s="73">
        <v>1</v>
      </c>
      <c r="F10" s="73">
        <v>6</v>
      </c>
      <c r="G10" s="73">
        <v>5</v>
      </c>
      <c r="H10" s="73">
        <v>4</v>
      </c>
      <c r="I10" s="73">
        <v>3</v>
      </c>
      <c r="J10" s="73">
        <v>2</v>
      </c>
      <c r="K10" s="73">
        <v>1</v>
      </c>
      <c r="L10" s="73">
        <v>3</v>
      </c>
      <c r="M10" s="73">
        <v>6</v>
      </c>
      <c r="N10" s="73">
        <v>4</v>
      </c>
      <c r="O10" s="73">
        <v>4</v>
      </c>
      <c r="P10" s="73"/>
      <c r="Q10" s="73">
        <v>4</v>
      </c>
      <c r="R10" s="74" t="s">
        <v>313</v>
      </c>
      <c r="S10" s="75">
        <f>SUM(B10:Q10)</f>
        <v>61</v>
      </c>
    </row>
    <row r="11" spans="1:19" ht="15.75" customHeight="1" x14ac:dyDescent="0.2">
      <c r="A11" s="72" t="s">
        <v>33</v>
      </c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>
        <v>5</v>
      </c>
      <c r="N11" s="73"/>
      <c r="O11" s="73">
        <v>1</v>
      </c>
      <c r="P11" s="73"/>
      <c r="Q11" s="73"/>
      <c r="R11" s="74"/>
      <c r="S11" s="75">
        <f t="shared" ref="S11:S13" si="2">SUM(B11:P11)</f>
        <v>6</v>
      </c>
    </row>
    <row r="12" spans="1:19" ht="15.75" customHeight="1" x14ac:dyDescent="0.2">
      <c r="A12" s="72" t="s">
        <v>31</v>
      </c>
      <c r="B12" s="73"/>
      <c r="C12" s="73">
        <v>6</v>
      </c>
      <c r="D12" s="73">
        <v>6</v>
      </c>
      <c r="E12" s="73"/>
      <c r="F12" s="73"/>
      <c r="G12" s="73"/>
      <c r="H12" s="73"/>
      <c r="I12" s="73"/>
      <c r="J12" s="73"/>
      <c r="K12" s="73"/>
      <c r="L12" s="73"/>
      <c r="M12" s="73"/>
      <c r="N12" s="73">
        <v>3</v>
      </c>
      <c r="O12" s="73"/>
      <c r="P12" s="73"/>
      <c r="Q12" s="73"/>
      <c r="R12" s="74" t="s">
        <v>313</v>
      </c>
      <c r="S12" s="75">
        <f t="shared" si="2"/>
        <v>15</v>
      </c>
    </row>
    <row r="13" spans="1:19" ht="15.75" customHeight="1" x14ac:dyDescent="0.2">
      <c r="A13" s="72" t="s">
        <v>11</v>
      </c>
      <c r="B13" s="73"/>
      <c r="C13" s="73"/>
      <c r="D13" s="73"/>
      <c r="E13" s="73"/>
      <c r="F13" s="73"/>
      <c r="G13" s="73"/>
      <c r="H13" s="73"/>
      <c r="I13" s="73"/>
      <c r="J13" s="73"/>
      <c r="K13" s="73">
        <v>1</v>
      </c>
      <c r="L13" s="73">
        <v>3</v>
      </c>
      <c r="M13" s="73">
        <v>6</v>
      </c>
      <c r="N13" s="73">
        <v>4</v>
      </c>
      <c r="O13" s="73">
        <v>4</v>
      </c>
      <c r="P13" s="73"/>
      <c r="Q13" s="73"/>
      <c r="R13" s="74" t="s">
        <v>313</v>
      </c>
      <c r="S13" s="75">
        <f t="shared" si="2"/>
        <v>18</v>
      </c>
    </row>
    <row r="14" spans="1:19" ht="15.75" customHeight="1" x14ac:dyDescent="0.2">
      <c r="A14" s="72" t="s">
        <v>35</v>
      </c>
      <c r="B14" s="73"/>
      <c r="C14" s="73">
        <v>6</v>
      </c>
      <c r="D14" s="73"/>
      <c r="E14" s="73">
        <v>2</v>
      </c>
      <c r="F14" s="73">
        <v>6</v>
      </c>
      <c r="G14" s="73">
        <v>5</v>
      </c>
      <c r="H14" s="73">
        <v>5</v>
      </c>
      <c r="I14" s="73">
        <v>3</v>
      </c>
      <c r="J14" s="73">
        <v>2</v>
      </c>
      <c r="K14" s="73">
        <v>1</v>
      </c>
      <c r="L14" s="73">
        <v>4</v>
      </c>
      <c r="M14" s="73">
        <v>6</v>
      </c>
      <c r="N14" s="73">
        <v>4</v>
      </c>
      <c r="O14" s="73">
        <v>4</v>
      </c>
      <c r="P14" s="73">
        <v>4</v>
      </c>
      <c r="Q14" s="73">
        <v>4</v>
      </c>
      <c r="R14" s="74"/>
      <c r="S14" s="75">
        <f>SUM(B14:Q14)</f>
        <v>56</v>
      </c>
    </row>
    <row r="15" spans="1:19" ht="15.75" customHeight="1" x14ac:dyDescent="0.2">
      <c r="A15" s="72" t="s">
        <v>314</v>
      </c>
      <c r="B15" s="73">
        <v>5</v>
      </c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4"/>
      <c r="S15" s="75">
        <f t="shared" ref="S15:S17" si="3">SUM(B15:P15)</f>
        <v>5</v>
      </c>
    </row>
    <row r="16" spans="1:19" ht="15.75" customHeight="1" x14ac:dyDescent="0.2">
      <c r="A16" s="72" t="s">
        <v>315</v>
      </c>
      <c r="B16" s="73">
        <v>5</v>
      </c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4"/>
      <c r="S16" s="75">
        <f t="shared" si="3"/>
        <v>5</v>
      </c>
    </row>
    <row r="17" spans="1:26" ht="15.75" customHeight="1" x14ac:dyDescent="0.2">
      <c r="A17" s="72" t="s">
        <v>37</v>
      </c>
      <c r="B17" s="73">
        <v>6</v>
      </c>
      <c r="C17" s="73"/>
      <c r="D17" s="73"/>
      <c r="E17" s="73">
        <v>4</v>
      </c>
      <c r="F17" s="73"/>
      <c r="G17" s="73"/>
      <c r="H17" s="73"/>
      <c r="I17" s="73"/>
      <c r="J17" s="73"/>
      <c r="K17" s="73"/>
      <c r="L17" s="73"/>
      <c r="M17" s="73">
        <v>6</v>
      </c>
      <c r="N17" s="73"/>
      <c r="O17" s="73"/>
      <c r="P17" s="73"/>
      <c r="Q17" s="73">
        <v>4</v>
      </c>
      <c r="R17" s="74" t="s">
        <v>313</v>
      </c>
      <c r="S17" s="75">
        <f t="shared" si="3"/>
        <v>16</v>
      </c>
    </row>
    <row r="18" spans="1:26" ht="15.75" customHeight="1" x14ac:dyDescent="0.2">
      <c r="A18" s="72" t="s">
        <v>9</v>
      </c>
      <c r="B18" s="73">
        <v>6</v>
      </c>
      <c r="C18" s="73">
        <v>6</v>
      </c>
      <c r="D18" s="73">
        <v>6</v>
      </c>
      <c r="E18" s="73">
        <v>4</v>
      </c>
      <c r="F18" s="73">
        <v>6</v>
      </c>
      <c r="G18" s="73">
        <v>5</v>
      </c>
      <c r="H18" s="73">
        <v>4</v>
      </c>
      <c r="I18" s="73">
        <v>3</v>
      </c>
      <c r="J18" s="73">
        <v>5</v>
      </c>
      <c r="K18" s="73">
        <v>5</v>
      </c>
      <c r="L18" s="73">
        <v>4</v>
      </c>
      <c r="M18" s="73">
        <v>6</v>
      </c>
      <c r="N18" s="73">
        <v>4</v>
      </c>
      <c r="O18" s="73">
        <v>4</v>
      </c>
      <c r="P18" s="73">
        <v>4</v>
      </c>
      <c r="Q18" s="73">
        <v>4</v>
      </c>
      <c r="R18" s="74" t="s">
        <v>313</v>
      </c>
      <c r="S18" s="75">
        <f>SUM(B18:Q18)</f>
        <v>76</v>
      </c>
    </row>
    <row r="19" spans="1:26" ht="15.75" customHeight="1" x14ac:dyDescent="0.2">
      <c r="A19" s="72" t="s">
        <v>7</v>
      </c>
      <c r="B19" s="73">
        <v>6</v>
      </c>
      <c r="C19" s="73">
        <v>6</v>
      </c>
      <c r="D19" s="73">
        <v>6</v>
      </c>
      <c r="E19" s="73"/>
      <c r="F19" s="73"/>
      <c r="G19" s="73"/>
      <c r="H19" s="73"/>
      <c r="I19" s="73"/>
      <c r="J19" s="73">
        <v>5</v>
      </c>
      <c r="K19" s="73">
        <v>5</v>
      </c>
      <c r="L19" s="73">
        <v>4</v>
      </c>
      <c r="M19" s="73">
        <v>6</v>
      </c>
      <c r="N19" s="73"/>
      <c r="O19" s="73"/>
      <c r="P19" s="73"/>
      <c r="Q19" s="73">
        <v>4</v>
      </c>
      <c r="R19" s="74"/>
      <c r="S19" s="75">
        <f t="shared" ref="S19:S22" si="4">SUM(B19:P19)</f>
        <v>38</v>
      </c>
    </row>
    <row r="20" spans="1:26" ht="15.75" customHeight="1" x14ac:dyDescent="0.2">
      <c r="A20" s="72" t="s">
        <v>39</v>
      </c>
      <c r="B20" s="73">
        <v>6</v>
      </c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>
        <v>6</v>
      </c>
      <c r="N20" s="73"/>
      <c r="O20" s="73"/>
      <c r="P20" s="73"/>
      <c r="Q20" s="73"/>
      <c r="R20" s="74"/>
      <c r="S20" s="75">
        <f t="shared" si="4"/>
        <v>12</v>
      </c>
    </row>
    <row r="21" spans="1:26" ht="15.75" customHeight="1" x14ac:dyDescent="0.2">
      <c r="A21" s="72" t="s">
        <v>13</v>
      </c>
      <c r="B21" s="73">
        <v>6</v>
      </c>
      <c r="C21" s="73">
        <v>6</v>
      </c>
      <c r="D21" s="73">
        <v>6</v>
      </c>
      <c r="E21" s="73"/>
      <c r="F21" s="73"/>
      <c r="G21" s="73"/>
      <c r="H21" s="73"/>
      <c r="I21" s="73"/>
      <c r="J21" s="73"/>
      <c r="K21" s="73"/>
      <c r="L21" s="73">
        <v>3</v>
      </c>
      <c r="M21" s="73">
        <v>6</v>
      </c>
      <c r="N21" s="73">
        <v>4</v>
      </c>
      <c r="O21" s="73">
        <v>2</v>
      </c>
      <c r="P21" s="73"/>
      <c r="Q21" s="73"/>
      <c r="R21" s="74"/>
      <c r="S21" s="75">
        <f t="shared" si="4"/>
        <v>33</v>
      </c>
    </row>
    <row r="22" spans="1:26" ht="15.75" customHeight="1" x14ac:dyDescent="0.2">
      <c r="A22" s="76" t="s">
        <v>316</v>
      </c>
      <c r="B22" s="77">
        <f t="shared" ref="B22:Q22" si="5">SUM(B3:B21)</f>
        <v>81</v>
      </c>
      <c r="C22" s="77">
        <f t="shared" si="5"/>
        <v>42</v>
      </c>
      <c r="D22" s="77">
        <f t="shared" si="5"/>
        <v>46</v>
      </c>
      <c r="E22" s="77">
        <f t="shared" si="5"/>
        <v>27</v>
      </c>
      <c r="F22" s="77">
        <f t="shared" si="5"/>
        <v>18</v>
      </c>
      <c r="G22" s="77">
        <f t="shared" si="5"/>
        <v>15</v>
      </c>
      <c r="H22" s="77">
        <f t="shared" si="5"/>
        <v>13</v>
      </c>
      <c r="I22" s="77">
        <f t="shared" si="5"/>
        <v>9</v>
      </c>
      <c r="J22" s="77">
        <f t="shared" si="5"/>
        <v>14</v>
      </c>
      <c r="K22" s="77">
        <f t="shared" si="5"/>
        <v>13</v>
      </c>
      <c r="L22" s="77">
        <f t="shared" si="5"/>
        <v>25</v>
      </c>
      <c r="M22" s="77">
        <f t="shared" si="5"/>
        <v>89</v>
      </c>
      <c r="N22" s="77">
        <f t="shared" si="5"/>
        <v>43</v>
      </c>
      <c r="O22" s="77">
        <f t="shared" si="5"/>
        <v>29</v>
      </c>
      <c r="P22" s="77">
        <f t="shared" si="5"/>
        <v>31</v>
      </c>
      <c r="Q22" s="77">
        <f t="shared" si="5"/>
        <v>32</v>
      </c>
      <c r="R22" s="78"/>
      <c r="S22" s="75">
        <f t="shared" si="4"/>
        <v>495</v>
      </c>
      <c r="T22" s="79"/>
      <c r="U22" s="79"/>
      <c r="V22" s="79"/>
      <c r="W22" s="79"/>
      <c r="X22" s="79"/>
      <c r="Y22" s="79"/>
      <c r="Z22" s="79"/>
    </row>
    <row r="23" spans="1:26" ht="15.75" customHeight="1" x14ac:dyDescent="0.2"/>
    <row r="24" spans="1:26" ht="15.75" customHeight="1" x14ac:dyDescent="0.2"/>
    <row r="25" spans="1:26" ht="15.75" customHeight="1" x14ac:dyDescent="0.2"/>
    <row r="26" spans="1:26" ht="15.75" customHeight="1" x14ac:dyDescent="0.2"/>
    <row r="27" spans="1:26" ht="15.75" customHeight="1" x14ac:dyDescent="0.2"/>
    <row r="28" spans="1:26" ht="15.75" customHeight="1" x14ac:dyDescent="0.2"/>
    <row r="29" spans="1:26" ht="15.75" customHeight="1" x14ac:dyDescent="0.2"/>
    <row r="30" spans="1:26" ht="15.75" customHeight="1" x14ac:dyDescent="0.2"/>
    <row r="31" spans="1:26" ht="15.75" customHeight="1" x14ac:dyDescent="0.2"/>
    <row r="32" spans="1:2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000"/>
  <sheetViews>
    <sheetView topLeftCell="A686" workbookViewId="0"/>
  </sheetViews>
  <sheetFormatPr baseColWidth="10" defaultColWidth="11.1640625" defaultRowHeight="15" customHeight="1" x14ac:dyDescent="0.2"/>
  <cols>
    <col min="1" max="1" width="4.33203125" customWidth="1"/>
    <col min="2" max="2" width="9.83203125" customWidth="1"/>
    <col min="3" max="3" width="10.5" customWidth="1"/>
    <col min="4" max="14" width="8.83203125" customWidth="1"/>
    <col min="15" max="15" width="4.5" customWidth="1"/>
    <col min="16" max="26" width="10.5" customWidth="1"/>
  </cols>
  <sheetData>
    <row r="1" spans="1:15" ht="15.75" customHeight="1" x14ac:dyDescent="0.2">
      <c r="A1" s="80" t="s">
        <v>317</v>
      </c>
      <c r="B1" s="81"/>
      <c r="C1" s="82"/>
      <c r="D1" s="81"/>
      <c r="E1" s="81"/>
      <c r="F1" s="81"/>
      <c r="G1" s="81"/>
      <c r="H1" s="81"/>
      <c r="I1" s="81"/>
    </row>
    <row r="2" spans="1:15" ht="15.75" customHeight="1" x14ac:dyDescent="0.2">
      <c r="A2" s="83" t="s">
        <v>318</v>
      </c>
      <c r="B2" s="84"/>
      <c r="C2" s="82"/>
      <c r="D2" s="81"/>
      <c r="E2" s="81"/>
      <c r="F2" s="81"/>
      <c r="G2" s="81"/>
      <c r="H2" s="81"/>
      <c r="I2" s="81"/>
    </row>
    <row r="3" spans="1:15" ht="15.75" customHeight="1" x14ac:dyDescent="0.2">
      <c r="A3" s="85"/>
      <c r="B3" s="38"/>
      <c r="C3" s="86"/>
      <c r="D3" s="87"/>
      <c r="E3" s="87"/>
      <c r="F3" s="87"/>
      <c r="G3" s="87"/>
      <c r="H3" s="88" t="s">
        <v>319</v>
      </c>
      <c r="I3" s="87"/>
      <c r="J3" s="87"/>
      <c r="K3" s="87"/>
      <c r="L3" s="87"/>
      <c r="M3" s="87"/>
      <c r="N3" s="87"/>
      <c r="O3" s="89"/>
    </row>
    <row r="4" spans="1:15" ht="15.75" customHeight="1" x14ac:dyDescent="0.25">
      <c r="A4" s="85"/>
      <c r="B4" s="90" t="s">
        <v>320</v>
      </c>
      <c r="C4" s="91"/>
      <c r="D4" s="92" t="s">
        <v>321</v>
      </c>
      <c r="E4" s="93" t="s">
        <v>322</v>
      </c>
      <c r="F4" s="94"/>
      <c r="G4" s="92" t="s">
        <v>323</v>
      </c>
      <c r="H4" s="90" t="s">
        <v>324</v>
      </c>
      <c r="I4" s="92" t="s">
        <v>323</v>
      </c>
      <c r="J4" s="94"/>
      <c r="K4" s="92" t="s">
        <v>323</v>
      </c>
      <c r="L4" s="94"/>
      <c r="M4" s="94"/>
      <c r="N4" s="94"/>
      <c r="O4" s="95"/>
    </row>
    <row r="5" spans="1:15" ht="15.75" customHeight="1" x14ac:dyDescent="0.25">
      <c r="A5" s="85"/>
      <c r="B5" s="90" t="s">
        <v>325</v>
      </c>
      <c r="C5" s="91"/>
      <c r="D5" s="92" t="s">
        <v>52</v>
      </c>
      <c r="E5" s="93" t="s">
        <v>52</v>
      </c>
      <c r="F5" s="92" t="s">
        <v>326</v>
      </c>
      <c r="G5" s="92" t="s">
        <v>327</v>
      </c>
      <c r="H5" s="90" t="s">
        <v>328</v>
      </c>
      <c r="I5" s="92" t="s">
        <v>329</v>
      </c>
      <c r="J5" s="92" t="s">
        <v>330</v>
      </c>
      <c r="K5" s="92" t="s">
        <v>331</v>
      </c>
      <c r="L5" s="92" t="s">
        <v>332</v>
      </c>
      <c r="M5" s="94"/>
      <c r="N5" s="92" t="s">
        <v>333</v>
      </c>
      <c r="O5" s="95"/>
    </row>
    <row r="6" spans="1:15" ht="15.75" customHeight="1" x14ac:dyDescent="0.2">
      <c r="A6" s="96"/>
      <c r="B6" s="97" t="s">
        <v>334</v>
      </c>
      <c r="C6" s="91" t="s">
        <v>335</v>
      </c>
      <c r="D6" s="92" t="s">
        <v>336</v>
      </c>
      <c r="E6" s="93" t="s">
        <v>336</v>
      </c>
      <c r="F6" s="92" t="s">
        <v>337</v>
      </c>
      <c r="G6" s="92" t="s">
        <v>337</v>
      </c>
      <c r="H6" s="92" t="s">
        <v>337</v>
      </c>
      <c r="I6" s="92" t="s">
        <v>337</v>
      </c>
      <c r="J6" s="92" t="s">
        <v>337</v>
      </c>
      <c r="K6" s="92" t="s">
        <v>337</v>
      </c>
      <c r="L6" s="92" t="s">
        <v>337</v>
      </c>
      <c r="M6" s="92" t="s">
        <v>338</v>
      </c>
      <c r="N6" s="92" t="s">
        <v>339</v>
      </c>
      <c r="O6" s="95"/>
    </row>
    <row r="7" spans="1:15" ht="15.75" customHeight="1" x14ac:dyDescent="0.2">
      <c r="A7" s="85"/>
      <c r="B7" s="38"/>
      <c r="C7" s="86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9"/>
    </row>
    <row r="8" spans="1:15" ht="15.75" customHeight="1" x14ac:dyDescent="0.2">
      <c r="A8" s="85"/>
      <c r="B8" s="90" t="s">
        <v>340</v>
      </c>
      <c r="C8" s="36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95"/>
    </row>
    <row r="9" spans="1:15" ht="15.75" customHeight="1" x14ac:dyDescent="0.2">
      <c r="A9" s="85"/>
      <c r="B9" s="38"/>
      <c r="C9" s="36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98"/>
    </row>
    <row r="10" spans="1:15" ht="15.75" customHeight="1" x14ac:dyDescent="0.2">
      <c r="A10" s="85"/>
      <c r="B10" s="99" t="s">
        <v>95</v>
      </c>
      <c r="C10" s="100">
        <f>DATE(93,4,22)</f>
        <v>34081</v>
      </c>
      <c r="D10" s="37">
        <f>(95*0.3048)</f>
        <v>28.956000000000003</v>
      </c>
      <c r="E10" s="37">
        <v>6</v>
      </c>
      <c r="F10" s="101">
        <v>0.01</v>
      </c>
      <c r="G10" s="101">
        <f>0.023-0.015</f>
        <v>8.0000000000000002E-3</v>
      </c>
      <c r="H10" s="101">
        <v>6.7000000000000004E-2</v>
      </c>
      <c r="I10" s="101">
        <f>H10+G10</f>
        <v>7.5000000000000011E-2</v>
      </c>
      <c r="J10" s="102" t="s">
        <v>341</v>
      </c>
      <c r="K10" s="103">
        <f t="shared" ref="K10:K14" si="0">L10-I10</f>
        <v>3.2000000000000001E-2</v>
      </c>
      <c r="L10" s="101">
        <f>0.04+0.067</f>
        <v>0.10700000000000001</v>
      </c>
      <c r="M10" s="39">
        <f t="shared" ref="M10:M14" si="1">L10/F10</f>
        <v>10.700000000000001</v>
      </c>
      <c r="N10" s="37">
        <v>1.5</v>
      </c>
      <c r="O10" s="98"/>
    </row>
    <row r="11" spans="1:15" ht="15.75" customHeight="1" x14ac:dyDescent="0.2">
      <c r="A11" s="85"/>
      <c r="B11" s="99" t="s">
        <v>342</v>
      </c>
      <c r="C11" s="100">
        <f>DATE(93,5,18)</f>
        <v>34107</v>
      </c>
      <c r="D11" s="37">
        <f>105*0.3048</f>
        <v>32.004000000000005</v>
      </c>
      <c r="E11" s="37">
        <v>3</v>
      </c>
      <c r="F11" s="101">
        <v>1.2999999999999999E-2</v>
      </c>
      <c r="G11" s="104" t="s">
        <v>343</v>
      </c>
      <c r="H11" s="101">
        <v>0.104</v>
      </c>
      <c r="I11" s="101">
        <f>0.001+0.104</f>
        <v>0.105</v>
      </c>
      <c r="J11" s="103">
        <f>0.22-0.01</f>
        <v>0.21</v>
      </c>
      <c r="K11" s="103">
        <f t="shared" si="0"/>
        <v>0.20900000000000002</v>
      </c>
      <c r="L11" s="101">
        <f t="shared" ref="L11:L13" si="2">J11+H11</f>
        <v>0.314</v>
      </c>
      <c r="M11" s="39">
        <f t="shared" si="1"/>
        <v>24.153846153846153</v>
      </c>
      <c r="N11" s="37">
        <v>1.9</v>
      </c>
      <c r="O11" s="105"/>
    </row>
    <row r="12" spans="1:15" ht="15.75" customHeight="1" x14ac:dyDescent="0.2">
      <c r="A12" s="85"/>
      <c r="B12" s="99" t="s">
        <v>344</v>
      </c>
      <c r="C12" s="100">
        <f>DATE(93,6,15)</f>
        <v>34135</v>
      </c>
      <c r="D12" s="37">
        <v>33</v>
      </c>
      <c r="E12" s="37">
        <v>5</v>
      </c>
      <c r="F12" s="101">
        <v>7.0000000000000001E-3</v>
      </c>
      <c r="G12" s="101">
        <f>0.052-0.01</f>
        <v>4.1999999999999996E-2</v>
      </c>
      <c r="H12" s="101">
        <v>5.5E-2</v>
      </c>
      <c r="I12" s="101">
        <f t="shared" ref="I12:I14" si="3">H12+G12</f>
        <v>9.7000000000000003E-2</v>
      </c>
      <c r="J12" s="103">
        <f>0.13-0.01</f>
        <v>0.12000000000000001</v>
      </c>
      <c r="K12" s="103">
        <f t="shared" si="0"/>
        <v>7.8000000000000014E-2</v>
      </c>
      <c r="L12" s="101">
        <f t="shared" si="2"/>
        <v>0.17500000000000002</v>
      </c>
      <c r="M12" s="39">
        <f t="shared" si="1"/>
        <v>25.000000000000004</v>
      </c>
      <c r="N12" s="37">
        <v>1.8</v>
      </c>
      <c r="O12" s="105"/>
    </row>
    <row r="13" spans="1:15" ht="15.75" customHeight="1" x14ac:dyDescent="0.2">
      <c r="A13" s="85"/>
      <c r="B13" s="99" t="s">
        <v>345</v>
      </c>
      <c r="C13" s="100">
        <f>DATE(93,7,7)</f>
        <v>34157</v>
      </c>
      <c r="D13" s="37">
        <f>92*0.3048</f>
        <v>28.041600000000003</v>
      </c>
      <c r="E13" s="37">
        <v>4.5</v>
      </c>
      <c r="F13" s="101">
        <v>6.0000000000000001E-3</v>
      </c>
      <c r="G13" s="101">
        <v>4.2999999999999997E-2</v>
      </c>
      <c r="H13" s="101">
        <v>2.4E-2</v>
      </c>
      <c r="I13" s="101">
        <f t="shared" si="3"/>
        <v>6.7000000000000004E-2</v>
      </c>
      <c r="J13" s="103">
        <v>0.1</v>
      </c>
      <c r="K13" s="103">
        <f t="shared" si="0"/>
        <v>5.6999999999999995E-2</v>
      </c>
      <c r="L13" s="101">
        <f t="shared" si="2"/>
        <v>0.124</v>
      </c>
      <c r="M13" s="39">
        <f t="shared" si="1"/>
        <v>20.666666666666668</v>
      </c>
      <c r="N13" s="37">
        <v>4.0999999999999996</v>
      </c>
      <c r="O13" s="105"/>
    </row>
    <row r="14" spans="1:15" ht="15.75" customHeight="1" x14ac:dyDescent="0.2">
      <c r="A14" s="85"/>
      <c r="B14" s="99" t="s">
        <v>345</v>
      </c>
      <c r="C14" s="100">
        <f t="shared" ref="C14:C15" si="4">DATE(93,7,27)</f>
        <v>34177</v>
      </c>
      <c r="D14" s="37">
        <f>89*0.3048</f>
        <v>27.127200000000002</v>
      </c>
      <c r="E14" s="37">
        <v>6.7</v>
      </c>
      <c r="F14" s="101">
        <v>2.5999999999999999E-2</v>
      </c>
      <c r="G14" s="101">
        <v>1.7000000000000001E-2</v>
      </c>
      <c r="H14" s="101">
        <v>1.4E-2</v>
      </c>
      <c r="I14" s="101">
        <f t="shared" si="3"/>
        <v>3.1E-2</v>
      </c>
      <c r="J14" s="102" t="s">
        <v>341</v>
      </c>
      <c r="K14" s="103">
        <f t="shared" si="0"/>
        <v>3.0000000000000027E-3</v>
      </c>
      <c r="L14" s="101">
        <f>0.02+0.014</f>
        <v>3.4000000000000002E-2</v>
      </c>
      <c r="M14" s="39">
        <f t="shared" si="1"/>
        <v>1.3076923076923079</v>
      </c>
      <c r="N14" s="37">
        <v>0.87</v>
      </c>
      <c r="O14" s="105"/>
    </row>
    <row r="15" spans="1:15" ht="15.75" customHeight="1" x14ac:dyDescent="0.2">
      <c r="A15" s="85"/>
      <c r="B15" s="99" t="s">
        <v>346</v>
      </c>
      <c r="C15" s="100">
        <f t="shared" si="4"/>
        <v>34177</v>
      </c>
      <c r="D15" s="106" t="s">
        <v>84</v>
      </c>
      <c r="E15" s="106" t="s">
        <v>84</v>
      </c>
      <c r="F15" s="101">
        <v>2.7E-2</v>
      </c>
      <c r="G15" s="104" t="s">
        <v>84</v>
      </c>
      <c r="H15" s="104" t="s">
        <v>84</v>
      </c>
      <c r="I15" s="104" t="s">
        <v>84</v>
      </c>
      <c r="J15" s="102" t="s">
        <v>84</v>
      </c>
      <c r="K15" s="102" t="s">
        <v>84</v>
      </c>
      <c r="L15" s="104" t="s">
        <v>84</v>
      </c>
      <c r="M15" s="107" t="s">
        <v>84</v>
      </c>
      <c r="N15" s="106" t="s">
        <v>84</v>
      </c>
      <c r="O15" s="105"/>
    </row>
    <row r="16" spans="1:15" ht="15.75" customHeight="1" x14ac:dyDescent="0.2">
      <c r="A16" s="85"/>
      <c r="B16" s="99" t="s">
        <v>345</v>
      </c>
      <c r="C16" s="100">
        <f>DATE(93,8,17)</f>
        <v>34198</v>
      </c>
      <c r="D16" s="37">
        <v>26.5</v>
      </c>
      <c r="E16" s="37">
        <v>6.5</v>
      </c>
      <c r="F16" s="101">
        <v>5.0000000000000001E-3</v>
      </c>
      <c r="G16" s="101">
        <f>0.039-0.027</f>
        <v>1.2E-2</v>
      </c>
      <c r="H16" s="104" t="s">
        <v>343</v>
      </c>
      <c r="I16" s="101">
        <f>0.012+0.0025</f>
        <v>1.4500000000000001E-2</v>
      </c>
      <c r="J16" s="103">
        <f>0.08-0.02</f>
        <v>0.06</v>
      </c>
      <c r="K16" s="103">
        <f t="shared" ref="K16:K18" si="5">L16-I16</f>
        <v>4.8000000000000001E-2</v>
      </c>
      <c r="L16" s="101">
        <f>0.06+0.0025</f>
        <v>6.25E-2</v>
      </c>
      <c r="M16" s="39">
        <f t="shared" ref="M16:M18" si="6">L16/F16</f>
        <v>12.5</v>
      </c>
      <c r="N16" s="37">
        <v>1.8</v>
      </c>
      <c r="O16" s="105"/>
    </row>
    <row r="17" spans="1:15" ht="15.75" customHeight="1" x14ac:dyDescent="0.2">
      <c r="A17" s="85"/>
      <c r="B17" s="99" t="s">
        <v>98</v>
      </c>
      <c r="C17" s="100">
        <f>DATE(93,9,14)</f>
        <v>34226</v>
      </c>
      <c r="D17" s="37">
        <f>100*0.3048</f>
        <v>30.48</v>
      </c>
      <c r="E17" s="37">
        <v>11</v>
      </c>
      <c r="F17" s="101">
        <v>4.0000000000000001E-3</v>
      </c>
      <c r="G17" s="104" t="s">
        <v>343</v>
      </c>
      <c r="H17" s="101">
        <v>8.0000000000000002E-3</v>
      </c>
      <c r="I17" s="101">
        <f>0+0.008</f>
        <v>8.0000000000000002E-3</v>
      </c>
      <c r="J17" s="102" t="s">
        <v>341</v>
      </c>
      <c r="K17" s="103">
        <f t="shared" si="5"/>
        <v>0.02</v>
      </c>
      <c r="L17" s="101">
        <f>0.02+0.008</f>
        <v>2.8000000000000001E-2</v>
      </c>
      <c r="M17" s="39">
        <f t="shared" si="6"/>
        <v>7</v>
      </c>
      <c r="N17" s="37">
        <v>0.7</v>
      </c>
      <c r="O17" s="105"/>
    </row>
    <row r="18" spans="1:15" ht="15.75" customHeight="1" x14ac:dyDescent="0.2">
      <c r="A18" s="85"/>
      <c r="B18" s="99" t="s">
        <v>97</v>
      </c>
      <c r="C18" s="100">
        <f>DATE(93,10,12)</f>
        <v>34254</v>
      </c>
      <c r="D18" s="37">
        <v>30</v>
      </c>
      <c r="E18" s="37">
        <v>9.4</v>
      </c>
      <c r="F18" s="101">
        <v>5.0000000000000001E-3</v>
      </c>
      <c r="G18" s="104" t="s">
        <v>343</v>
      </c>
      <c r="H18" s="101">
        <v>1.4999999999999999E-2</v>
      </c>
      <c r="I18" s="101">
        <f>0.001+0.015</f>
        <v>1.6E-2</v>
      </c>
      <c r="J18" s="102" t="s">
        <v>341</v>
      </c>
      <c r="K18" s="103">
        <f t="shared" si="5"/>
        <v>1.9000000000000003E-2</v>
      </c>
      <c r="L18" s="101">
        <f>0.02+0.015</f>
        <v>3.5000000000000003E-2</v>
      </c>
      <c r="M18" s="39">
        <f t="shared" si="6"/>
        <v>7.0000000000000009</v>
      </c>
      <c r="N18" s="37">
        <v>1.9</v>
      </c>
      <c r="O18" s="105"/>
    </row>
    <row r="19" spans="1:15" ht="15.75" customHeight="1" x14ac:dyDescent="0.2">
      <c r="A19" s="85"/>
      <c r="B19" s="38"/>
      <c r="C19" s="36"/>
      <c r="D19" s="37"/>
      <c r="E19" s="37"/>
      <c r="F19" s="101"/>
      <c r="G19" s="101"/>
      <c r="H19" s="101"/>
      <c r="I19" s="101"/>
      <c r="J19" s="103"/>
      <c r="K19" s="103"/>
      <c r="L19" s="101"/>
      <c r="M19" s="39"/>
      <c r="N19" s="37"/>
      <c r="O19" s="98"/>
    </row>
    <row r="20" spans="1:15" ht="15.75" customHeight="1" x14ac:dyDescent="0.2">
      <c r="A20" s="85"/>
      <c r="B20" s="99" t="s">
        <v>347</v>
      </c>
      <c r="C20" s="100">
        <f t="shared" ref="C20:C21" si="7">DATE(94,4,26)</f>
        <v>34450</v>
      </c>
      <c r="D20" s="37">
        <v>29</v>
      </c>
      <c r="E20" s="37">
        <v>4.3</v>
      </c>
      <c r="F20" s="101">
        <v>8.9999999999999993E-3</v>
      </c>
      <c r="G20" s="101">
        <f>0.017-0.008</f>
        <v>9.0000000000000011E-3</v>
      </c>
      <c r="H20" s="101">
        <v>0.106</v>
      </c>
      <c r="I20" s="101">
        <f>0.009+0.106</f>
        <v>0.11499999999999999</v>
      </c>
      <c r="J20" s="103">
        <f>0.13-0.01</f>
        <v>0.12000000000000001</v>
      </c>
      <c r="K20" s="103">
        <f t="shared" ref="K20:K32" si="8">L20-I20</f>
        <v>0.11100000000000002</v>
      </c>
      <c r="L20" s="101">
        <f t="shared" ref="L20:L23" si="9">J20+H20</f>
        <v>0.22600000000000001</v>
      </c>
      <c r="M20" s="39">
        <f>L20/F20</f>
        <v>25.111111111111114</v>
      </c>
      <c r="N20" s="37">
        <v>0.8</v>
      </c>
      <c r="O20" s="98"/>
    </row>
    <row r="21" spans="1:15" ht="15.75" customHeight="1" x14ac:dyDescent="0.2">
      <c r="A21" s="108"/>
      <c r="B21" s="109" t="s">
        <v>348</v>
      </c>
      <c r="C21" s="110">
        <f t="shared" si="7"/>
        <v>34450</v>
      </c>
      <c r="D21" s="111" t="s">
        <v>84</v>
      </c>
      <c r="E21" s="111" t="s">
        <v>84</v>
      </c>
      <c r="F21" s="112">
        <v>8.0000000000000002E-3</v>
      </c>
      <c r="G21" s="112">
        <f>0.018-0.008</f>
        <v>9.9999999999999985E-3</v>
      </c>
      <c r="H21" s="112">
        <v>0.113</v>
      </c>
      <c r="I21" s="112">
        <f>0.01+0.113</f>
        <v>0.123</v>
      </c>
      <c r="J21" s="113">
        <v>0.05</v>
      </c>
      <c r="K21" s="113">
        <f t="shared" si="8"/>
        <v>4.0000000000000008E-2</v>
      </c>
      <c r="L21" s="112">
        <f t="shared" si="9"/>
        <v>0.16300000000000001</v>
      </c>
      <c r="M21" s="114" t="s">
        <v>84</v>
      </c>
      <c r="N21" s="111" t="s">
        <v>84</v>
      </c>
      <c r="O21" s="115"/>
    </row>
    <row r="22" spans="1:15" ht="15.75" customHeight="1" x14ac:dyDescent="0.2">
      <c r="A22" s="85"/>
      <c r="B22" s="99" t="s">
        <v>349</v>
      </c>
      <c r="C22" s="100">
        <f t="shared" ref="C22:C23" si="10">DATE(94,5,18)</f>
        <v>34472</v>
      </c>
      <c r="D22" s="37">
        <v>31</v>
      </c>
      <c r="E22" s="37">
        <v>5.6</v>
      </c>
      <c r="F22" s="101">
        <v>6.0000000000000001E-3</v>
      </c>
      <c r="G22" s="104" t="s">
        <v>343</v>
      </c>
      <c r="H22" s="101">
        <v>0.115</v>
      </c>
      <c r="I22" s="101">
        <f t="shared" ref="I22:I23" si="11">0.004+0.115</f>
        <v>0.11900000000000001</v>
      </c>
      <c r="J22" s="103">
        <f>0.08-0.01</f>
        <v>7.0000000000000007E-2</v>
      </c>
      <c r="K22" s="103">
        <f t="shared" si="8"/>
        <v>6.5999999999999989E-2</v>
      </c>
      <c r="L22" s="101">
        <f t="shared" si="9"/>
        <v>0.185</v>
      </c>
      <c r="M22" s="39">
        <f>L22/F22</f>
        <v>30.833333333333332</v>
      </c>
      <c r="N22" s="37">
        <v>0.6</v>
      </c>
      <c r="O22" s="98"/>
    </row>
    <row r="23" spans="1:15" ht="15.75" customHeight="1" x14ac:dyDescent="0.2">
      <c r="A23" s="108"/>
      <c r="B23" s="109" t="s">
        <v>350</v>
      </c>
      <c r="C23" s="110">
        <f t="shared" si="10"/>
        <v>34472</v>
      </c>
      <c r="D23" s="111" t="s">
        <v>84</v>
      </c>
      <c r="E23" s="111" t="s">
        <v>84</v>
      </c>
      <c r="F23" s="112">
        <v>7.0000000000000001E-3</v>
      </c>
      <c r="G23" s="116" t="s">
        <v>343</v>
      </c>
      <c r="H23" s="112">
        <v>0.115</v>
      </c>
      <c r="I23" s="112">
        <f t="shared" si="11"/>
        <v>0.11900000000000001</v>
      </c>
      <c r="J23" s="113">
        <f>0.22-0.01</f>
        <v>0.21</v>
      </c>
      <c r="K23" s="113">
        <f t="shared" si="8"/>
        <v>0.20600000000000002</v>
      </c>
      <c r="L23" s="112">
        <f t="shared" si="9"/>
        <v>0.32500000000000001</v>
      </c>
      <c r="M23" s="114" t="s">
        <v>84</v>
      </c>
      <c r="N23" s="111" t="s">
        <v>84</v>
      </c>
      <c r="O23" s="115"/>
    </row>
    <row r="24" spans="1:15" ht="15.75" customHeight="1" x14ac:dyDescent="0.2">
      <c r="A24" s="108"/>
      <c r="B24" s="109" t="s">
        <v>351</v>
      </c>
      <c r="C24" s="110">
        <f>DATE(94,6,2)</f>
        <v>34487</v>
      </c>
      <c r="D24" s="117">
        <v>31.1</v>
      </c>
      <c r="E24" s="117">
        <v>7.4</v>
      </c>
      <c r="F24" s="112">
        <v>8.0000000000000002E-3</v>
      </c>
      <c r="G24" s="116" t="s">
        <v>343</v>
      </c>
      <c r="H24" s="112">
        <v>6.9000000000000006E-2</v>
      </c>
      <c r="I24" s="112">
        <f>0.004+0.069</f>
        <v>7.3000000000000009E-2</v>
      </c>
      <c r="J24" s="118" t="s">
        <v>341</v>
      </c>
      <c r="K24" s="113">
        <f t="shared" si="8"/>
        <v>1.6E-2</v>
      </c>
      <c r="L24" s="112">
        <f>0.02+0.069</f>
        <v>8.900000000000001E-2</v>
      </c>
      <c r="M24" s="119">
        <f>L24/F24</f>
        <v>11.125000000000002</v>
      </c>
      <c r="N24" s="117">
        <v>1.1000000000000001</v>
      </c>
      <c r="O24" s="115"/>
    </row>
    <row r="25" spans="1:15" ht="15.75" customHeight="1" x14ac:dyDescent="0.2">
      <c r="A25" s="85"/>
      <c r="B25" s="99" t="s">
        <v>352</v>
      </c>
      <c r="C25" s="100">
        <f t="shared" ref="C25:C27" si="12">DATE(94,6,21)</f>
        <v>34506</v>
      </c>
      <c r="D25" s="37">
        <v>31</v>
      </c>
      <c r="E25" s="37">
        <v>6.5</v>
      </c>
      <c r="F25" s="101">
        <v>3.0000000000000001E-3</v>
      </c>
      <c r="G25" s="101">
        <f>0.013-0.008</f>
        <v>4.9999999999999992E-3</v>
      </c>
      <c r="H25" s="101">
        <v>5.7000000000000002E-2</v>
      </c>
      <c r="I25" s="101">
        <f>0.005+0.057</f>
        <v>6.2E-2</v>
      </c>
      <c r="J25" s="103">
        <f>0.13-0.01</f>
        <v>0.12000000000000001</v>
      </c>
      <c r="K25" s="103">
        <f t="shared" si="8"/>
        <v>0.11500000000000002</v>
      </c>
      <c r="L25" s="101">
        <f t="shared" ref="L25:L28" si="13">J25+H25</f>
        <v>0.17700000000000002</v>
      </c>
      <c r="M25" s="107" t="s">
        <v>84</v>
      </c>
      <c r="N25" s="106" t="s">
        <v>84</v>
      </c>
      <c r="O25" s="98"/>
    </row>
    <row r="26" spans="1:15" ht="15.75" customHeight="1" x14ac:dyDescent="0.2">
      <c r="A26" s="85"/>
      <c r="B26" s="99" t="s">
        <v>89</v>
      </c>
      <c r="C26" s="100">
        <f t="shared" si="12"/>
        <v>34506</v>
      </c>
      <c r="D26" s="106" t="s">
        <v>84</v>
      </c>
      <c r="E26" s="106" t="s">
        <v>84</v>
      </c>
      <c r="F26" s="101">
        <v>5.0000000000000001E-3</v>
      </c>
      <c r="G26" s="104" t="s">
        <v>343</v>
      </c>
      <c r="H26" s="101">
        <v>6.9000000000000006E-2</v>
      </c>
      <c r="I26" s="101">
        <f>0.004+0.069</f>
        <v>7.3000000000000009E-2</v>
      </c>
      <c r="J26" s="103">
        <f>0.06-0.01</f>
        <v>4.9999999999999996E-2</v>
      </c>
      <c r="K26" s="103">
        <f t="shared" si="8"/>
        <v>4.5999999999999985E-2</v>
      </c>
      <c r="L26" s="101">
        <f t="shared" si="13"/>
        <v>0.11899999999999999</v>
      </c>
      <c r="M26" s="39">
        <f>L26/F26</f>
        <v>23.799999999999997</v>
      </c>
      <c r="N26" s="37">
        <v>2.5</v>
      </c>
      <c r="O26" s="98"/>
    </row>
    <row r="27" spans="1:15" ht="15.75" customHeight="1" x14ac:dyDescent="0.2">
      <c r="A27" s="108"/>
      <c r="B27" s="109" t="s">
        <v>353</v>
      </c>
      <c r="C27" s="110">
        <f t="shared" si="12"/>
        <v>34506</v>
      </c>
      <c r="D27" s="111" t="s">
        <v>84</v>
      </c>
      <c r="E27" s="111" t="s">
        <v>84</v>
      </c>
      <c r="F27" s="112">
        <v>4.0000000000000001E-3</v>
      </c>
      <c r="G27" s="112">
        <f>0.013-0.008</f>
        <v>4.9999999999999992E-3</v>
      </c>
      <c r="H27" s="112">
        <v>0.11700000000000001</v>
      </c>
      <c r="I27" s="112">
        <f>0.005+0.117</f>
        <v>0.12200000000000001</v>
      </c>
      <c r="J27" s="113">
        <f>0.12-0.01</f>
        <v>0.11</v>
      </c>
      <c r="K27" s="113">
        <f t="shared" si="8"/>
        <v>0.105</v>
      </c>
      <c r="L27" s="112">
        <f t="shared" si="13"/>
        <v>0.22700000000000001</v>
      </c>
      <c r="M27" s="114" t="s">
        <v>84</v>
      </c>
      <c r="N27" s="111" t="s">
        <v>84</v>
      </c>
      <c r="O27" s="115"/>
    </row>
    <row r="28" spans="1:15" ht="15.75" customHeight="1" x14ac:dyDescent="0.2">
      <c r="A28" s="85" t="s">
        <v>354</v>
      </c>
      <c r="B28" s="99" t="s">
        <v>355</v>
      </c>
      <c r="C28" s="100">
        <f t="shared" ref="C28:C30" si="14">DATE(94,7,12)</f>
        <v>34527</v>
      </c>
      <c r="D28" s="37">
        <v>28.4</v>
      </c>
      <c r="E28" s="37">
        <v>7.6</v>
      </c>
      <c r="F28" s="101">
        <v>5.0000000000000001E-3</v>
      </c>
      <c r="G28" s="101">
        <f>0.026-0.008</f>
        <v>1.7999999999999999E-2</v>
      </c>
      <c r="H28" s="101">
        <v>3.1E-2</v>
      </c>
      <c r="I28" s="101">
        <f>0.018+0.031</f>
        <v>4.9000000000000002E-2</v>
      </c>
      <c r="J28" s="103">
        <f>0.09-0.01</f>
        <v>0.08</v>
      </c>
      <c r="K28" s="103">
        <f t="shared" si="8"/>
        <v>6.2E-2</v>
      </c>
      <c r="L28" s="101">
        <f t="shared" si="13"/>
        <v>0.111</v>
      </c>
      <c r="M28" s="39">
        <f t="shared" ref="M28:M29" si="15">L28/F28</f>
        <v>22.2</v>
      </c>
      <c r="N28" s="37">
        <v>1.2</v>
      </c>
      <c r="O28" s="98"/>
    </row>
    <row r="29" spans="1:15" ht="15.75" customHeight="1" x14ac:dyDescent="0.2">
      <c r="A29" s="85" t="s">
        <v>354</v>
      </c>
      <c r="B29" s="99" t="s">
        <v>356</v>
      </c>
      <c r="C29" s="100">
        <f t="shared" si="14"/>
        <v>34527</v>
      </c>
      <c r="D29" s="106" t="s">
        <v>84</v>
      </c>
      <c r="E29" s="106" t="s">
        <v>84</v>
      </c>
      <c r="F29" s="101">
        <v>5.0000000000000001E-3</v>
      </c>
      <c r="G29" s="104" t="s">
        <v>343</v>
      </c>
      <c r="H29" s="101">
        <v>4.7E-2</v>
      </c>
      <c r="I29" s="101">
        <f>0+0.047</f>
        <v>4.7E-2</v>
      </c>
      <c r="J29" s="102" t="s">
        <v>341</v>
      </c>
      <c r="K29" s="103">
        <f t="shared" si="8"/>
        <v>2.0000000000000004E-2</v>
      </c>
      <c r="L29" s="101">
        <f>0.02+0.047</f>
        <v>6.7000000000000004E-2</v>
      </c>
      <c r="M29" s="39">
        <f t="shared" si="15"/>
        <v>13.4</v>
      </c>
      <c r="N29" s="37">
        <v>4</v>
      </c>
      <c r="O29" s="98"/>
    </row>
    <row r="30" spans="1:15" ht="15.75" customHeight="1" x14ac:dyDescent="0.2">
      <c r="A30" s="108"/>
      <c r="B30" s="109" t="s">
        <v>350</v>
      </c>
      <c r="C30" s="110">
        <f t="shared" si="14"/>
        <v>34527</v>
      </c>
      <c r="D30" s="111" t="s">
        <v>84</v>
      </c>
      <c r="E30" s="111" t="s">
        <v>84</v>
      </c>
      <c r="F30" s="112">
        <v>3.0000000000000001E-3</v>
      </c>
      <c r="G30" s="116" t="s">
        <v>343</v>
      </c>
      <c r="H30" s="112">
        <v>0.122</v>
      </c>
      <c r="I30" s="112">
        <f>0+0.122</f>
        <v>0.122</v>
      </c>
      <c r="J30" s="118" t="s">
        <v>341</v>
      </c>
      <c r="K30" s="113">
        <f t="shared" si="8"/>
        <v>1.999999999999999E-2</v>
      </c>
      <c r="L30" s="112">
        <f>0.02+0.122</f>
        <v>0.14199999999999999</v>
      </c>
      <c r="M30" s="114" t="s">
        <v>84</v>
      </c>
      <c r="N30" s="111" t="s">
        <v>84</v>
      </c>
      <c r="O30" s="115"/>
    </row>
    <row r="31" spans="1:15" ht="15.75" customHeight="1" x14ac:dyDescent="0.2">
      <c r="A31" s="85" t="s">
        <v>354</v>
      </c>
      <c r="B31" s="99" t="s">
        <v>355</v>
      </c>
      <c r="C31" s="100">
        <f t="shared" ref="C31:C34" si="16">DATE(94,8,8)</f>
        <v>34554</v>
      </c>
      <c r="D31" s="37">
        <v>30.8</v>
      </c>
      <c r="E31" s="37">
        <v>8</v>
      </c>
      <c r="F31" s="101">
        <v>2E-3</v>
      </c>
      <c r="G31" s="104" t="s">
        <v>84</v>
      </c>
      <c r="H31" s="101">
        <v>8.0000000000000002E-3</v>
      </c>
      <c r="I31" s="101">
        <v>8.0000000000000002E-3</v>
      </c>
      <c r="J31" s="102" t="s">
        <v>341</v>
      </c>
      <c r="K31" s="103">
        <f t="shared" si="8"/>
        <v>0.02</v>
      </c>
      <c r="L31" s="101">
        <f>0.02+0.008</f>
        <v>2.8000000000000001E-2</v>
      </c>
      <c r="M31" s="39">
        <f t="shared" ref="M31:M32" si="17">L31/F31</f>
        <v>14</v>
      </c>
      <c r="N31" s="37">
        <v>0.56999999999999995</v>
      </c>
      <c r="O31" s="98"/>
    </row>
    <row r="32" spans="1:15" ht="15.75" customHeight="1" x14ac:dyDescent="0.2">
      <c r="A32" s="85" t="s">
        <v>354</v>
      </c>
      <c r="B32" s="99" t="s">
        <v>357</v>
      </c>
      <c r="C32" s="100">
        <f t="shared" si="16"/>
        <v>34554</v>
      </c>
      <c r="D32" s="106" t="s">
        <v>84</v>
      </c>
      <c r="E32" s="106" t="s">
        <v>84</v>
      </c>
      <c r="F32" s="101">
        <v>3.0000000000000001E-3</v>
      </c>
      <c r="G32" s="104" t="s">
        <v>84</v>
      </c>
      <c r="H32" s="101">
        <v>1.9E-2</v>
      </c>
      <c r="I32" s="101">
        <v>1.9E-2</v>
      </c>
      <c r="J32" s="103">
        <f>0.15-0.01</f>
        <v>0.13999999999999999</v>
      </c>
      <c r="K32" s="103">
        <f t="shared" si="8"/>
        <v>0.13999999999999999</v>
      </c>
      <c r="L32" s="101">
        <f>J32+H32</f>
        <v>0.15899999999999997</v>
      </c>
      <c r="M32" s="39">
        <f t="shared" si="17"/>
        <v>52.999999999999993</v>
      </c>
      <c r="N32" s="37">
        <v>2.6</v>
      </c>
      <c r="O32" s="98"/>
    </row>
    <row r="33" spans="1:15" ht="15.75" customHeight="1" x14ac:dyDescent="0.2">
      <c r="A33" s="85" t="s">
        <v>354</v>
      </c>
      <c r="B33" s="99" t="s">
        <v>358</v>
      </c>
      <c r="C33" s="100">
        <f t="shared" si="16"/>
        <v>34554</v>
      </c>
      <c r="D33" s="106" t="s">
        <v>84</v>
      </c>
      <c r="E33" s="106" t="s">
        <v>84</v>
      </c>
      <c r="F33" s="104" t="s">
        <v>84</v>
      </c>
      <c r="G33" s="104" t="s">
        <v>84</v>
      </c>
      <c r="H33" s="104" t="s">
        <v>84</v>
      </c>
      <c r="I33" s="104" t="s">
        <v>84</v>
      </c>
      <c r="J33" s="102" t="s">
        <v>84</v>
      </c>
      <c r="K33" s="102" t="s">
        <v>84</v>
      </c>
      <c r="L33" s="104" t="s">
        <v>84</v>
      </c>
      <c r="M33" s="107" t="s">
        <v>84</v>
      </c>
      <c r="N33" s="37">
        <v>3.3</v>
      </c>
      <c r="O33" s="98"/>
    </row>
    <row r="34" spans="1:15" ht="15.75" customHeight="1" x14ac:dyDescent="0.2">
      <c r="A34" s="108"/>
      <c r="B34" s="109" t="s">
        <v>353</v>
      </c>
      <c r="C34" s="110">
        <f t="shared" si="16"/>
        <v>34554</v>
      </c>
      <c r="D34" s="111" t="s">
        <v>84</v>
      </c>
      <c r="E34" s="111" t="s">
        <v>84</v>
      </c>
      <c r="F34" s="112">
        <v>8.0000000000000002E-3</v>
      </c>
      <c r="G34" s="116" t="s">
        <v>84</v>
      </c>
      <c r="H34" s="112">
        <v>0.15</v>
      </c>
      <c r="I34" s="112">
        <v>0.15</v>
      </c>
      <c r="J34" s="113">
        <f>0.12-0.01</f>
        <v>0.11</v>
      </c>
      <c r="K34" s="113">
        <f t="shared" ref="K34:K37" si="18">L34-I34</f>
        <v>0.11000000000000001</v>
      </c>
      <c r="L34" s="112">
        <f>J34+H34</f>
        <v>0.26</v>
      </c>
      <c r="M34" s="114" t="s">
        <v>84</v>
      </c>
      <c r="N34" s="111" t="s">
        <v>84</v>
      </c>
      <c r="O34" s="115"/>
    </row>
    <row r="35" spans="1:15" ht="15.75" customHeight="1" x14ac:dyDescent="0.2">
      <c r="A35" s="85" t="s">
        <v>354</v>
      </c>
      <c r="B35" s="99" t="s">
        <v>359</v>
      </c>
      <c r="C35" s="100">
        <f t="shared" ref="C35:C37" si="19">DATE(94,9,7)</f>
        <v>34584</v>
      </c>
      <c r="D35" s="37">
        <v>28.9</v>
      </c>
      <c r="E35" s="37">
        <v>12.9</v>
      </c>
      <c r="F35" s="101">
        <v>4.0000000000000001E-3</v>
      </c>
      <c r="G35" s="104" t="s">
        <v>343</v>
      </c>
      <c r="H35" s="101">
        <v>7.0000000000000001E-3</v>
      </c>
      <c r="I35" s="101">
        <f>0.004+0.007</f>
        <v>1.0999999999999999E-2</v>
      </c>
      <c r="J35" s="102" t="s">
        <v>341</v>
      </c>
      <c r="K35" s="103">
        <f t="shared" si="18"/>
        <v>1.6E-2</v>
      </c>
      <c r="L35" s="101">
        <f>0.02+0.007</f>
        <v>2.7E-2</v>
      </c>
      <c r="M35" s="39">
        <f t="shared" ref="M35:M37" si="20">L35/F35</f>
        <v>6.75</v>
      </c>
      <c r="N35" s="37">
        <v>0.8</v>
      </c>
      <c r="O35" s="98"/>
    </row>
    <row r="36" spans="1:15" ht="15.75" customHeight="1" x14ac:dyDescent="0.2">
      <c r="A36" s="85" t="s">
        <v>354</v>
      </c>
      <c r="B36" s="99" t="s">
        <v>360</v>
      </c>
      <c r="C36" s="100">
        <f t="shared" si="19"/>
        <v>34584</v>
      </c>
      <c r="D36" s="106" t="s">
        <v>84</v>
      </c>
      <c r="E36" s="106" t="s">
        <v>84</v>
      </c>
      <c r="F36" s="101">
        <v>5.0000000000000001E-3</v>
      </c>
      <c r="G36" s="101">
        <f>0.018-0.008</f>
        <v>9.9999999999999985E-3</v>
      </c>
      <c r="H36" s="101">
        <v>4.1000000000000002E-2</v>
      </c>
      <c r="I36" s="101">
        <f>0.01+0.041</f>
        <v>5.1000000000000004E-2</v>
      </c>
      <c r="J36" s="102" t="s">
        <v>341</v>
      </c>
      <c r="K36" s="103">
        <f t="shared" si="18"/>
        <v>9.999999999999995E-3</v>
      </c>
      <c r="L36" s="101">
        <f>0.02+0.041</f>
        <v>6.0999999999999999E-2</v>
      </c>
      <c r="M36" s="39">
        <f t="shared" si="20"/>
        <v>12.2</v>
      </c>
      <c r="N36" s="37">
        <v>1.6</v>
      </c>
      <c r="O36" s="98"/>
    </row>
    <row r="37" spans="1:15" ht="15.75" customHeight="1" x14ac:dyDescent="0.2">
      <c r="A37" s="85" t="s">
        <v>354</v>
      </c>
      <c r="B37" s="120" t="s">
        <v>361</v>
      </c>
      <c r="C37" s="121">
        <f t="shared" si="19"/>
        <v>34584</v>
      </c>
      <c r="D37" s="122" t="s">
        <v>84</v>
      </c>
      <c r="E37" s="122" t="s">
        <v>84</v>
      </c>
      <c r="F37" s="123">
        <v>7.0000000000000001E-3</v>
      </c>
      <c r="G37" s="123">
        <f>0.021-0.008</f>
        <v>1.3000000000000001E-2</v>
      </c>
      <c r="H37" s="123">
        <v>0.13100000000000001</v>
      </c>
      <c r="I37" s="123">
        <f>0.013+0.131</f>
        <v>0.14400000000000002</v>
      </c>
      <c r="J37" s="124" t="s">
        <v>341</v>
      </c>
      <c r="K37" s="125">
        <f t="shared" si="18"/>
        <v>6.9999999999999785E-3</v>
      </c>
      <c r="L37" s="123">
        <f>0.02+0.131</f>
        <v>0.151</v>
      </c>
      <c r="M37" s="126">
        <f t="shared" si="20"/>
        <v>21.571428571428569</v>
      </c>
      <c r="N37" s="127">
        <v>0.5</v>
      </c>
      <c r="O37" s="128"/>
    </row>
    <row r="38" spans="1:15" ht="15.75" customHeight="1" x14ac:dyDescent="0.2">
      <c r="A38" s="38"/>
      <c r="B38" s="99"/>
      <c r="C38" s="100"/>
      <c r="D38" s="106"/>
      <c r="E38" s="106"/>
      <c r="F38" s="101"/>
      <c r="G38" s="101"/>
      <c r="H38" s="101"/>
      <c r="I38" s="101"/>
      <c r="J38" s="102"/>
      <c r="K38" s="103"/>
      <c r="L38" s="101"/>
      <c r="M38" s="39"/>
      <c r="N38" s="37"/>
    </row>
    <row r="39" spans="1:15" ht="15.75" customHeight="1" x14ac:dyDescent="0.2">
      <c r="A39" s="38"/>
      <c r="B39" s="99"/>
      <c r="C39" s="100"/>
      <c r="D39" s="106"/>
      <c r="E39" s="106"/>
      <c r="F39" s="101"/>
      <c r="G39" s="101"/>
      <c r="H39" s="101"/>
      <c r="I39" s="101"/>
      <c r="J39" s="102"/>
      <c r="K39" s="103"/>
      <c r="L39" s="101"/>
      <c r="M39" s="39"/>
      <c r="N39" s="37"/>
    </row>
    <row r="40" spans="1:15" ht="15.75" customHeight="1" x14ac:dyDescent="0.2">
      <c r="A40" s="129"/>
      <c r="B40" s="120"/>
      <c r="C40" s="130"/>
      <c r="D40" s="106"/>
      <c r="E40" s="106"/>
      <c r="F40" s="101"/>
      <c r="G40" s="101"/>
      <c r="H40" s="101"/>
      <c r="I40" s="101"/>
      <c r="J40" s="102"/>
      <c r="K40" s="103"/>
      <c r="L40" s="101"/>
      <c r="M40" s="39"/>
      <c r="N40" s="37"/>
    </row>
    <row r="41" spans="1:15" ht="15.75" customHeight="1" x14ac:dyDescent="0.2">
      <c r="A41" s="85"/>
      <c r="B41" s="38"/>
      <c r="C41" s="86"/>
      <c r="D41" s="131"/>
      <c r="E41" s="131"/>
      <c r="F41" s="132"/>
      <c r="G41" s="132"/>
      <c r="H41" s="133" t="s">
        <v>319</v>
      </c>
      <c r="I41" s="132"/>
      <c r="J41" s="134"/>
      <c r="K41" s="134"/>
      <c r="L41" s="132"/>
      <c r="M41" s="135"/>
      <c r="N41" s="131"/>
      <c r="O41" s="89"/>
    </row>
    <row r="42" spans="1:15" ht="15.75" customHeight="1" x14ac:dyDescent="0.25">
      <c r="A42" s="85"/>
      <c r="B42" s="90" t="s">
        <v>320</v>
      </c>
      <c r="C42" s="91"/>
      <c r="D42" s="136" t="s">
        <v>321</v>
      </c>
      <c r="E42" s="136" t="s">
        <v>322</v>
      </c>
      <c r="F42" s="137"/>
      <c r="G42" s="138" t="s">
        <v>323</v>
      </c>
      <c r="H42" s="139" t="s">
        <v>362</v>
      </c>
      <c r="I42" s="138" t="s">
        <v>323</v>
      </c>
      <c r="J42" s="140"/>
      <c r="K42" s="141" t="s">
        <v>323</v>
      </c>
      <c r="L42" s="137"/>
      <c r="M42" s="142"/>
      <c r="N42" s="143"/>
      <c r="O42" s="95"/>
    </row>
    <row r="43" spans="1:15" ht="15.75" customHeight="1" x14ac:dyDescent="0.25">
      <c r="A43" s="85"/>
      <c r="B43" s="90" t="s">
        <v>325</v>
      </c>
      <c r="C43" s="91"/>
      <c r="D43" s="136" t="s">
        <v>52</v>
      </c>
      <c r="E43" s="136" t="s">
        <v>52</v>
      </c>
      <c r="F43" s="138" t="s">
        <v>326</v>
      </c>
      <c r="G43" s="138" t="s">
        <v>363</v>
      </c>
      <c r="H43" s="139" t="s">
        <v>364</v>
      </c>
      <c r="I43" s="138" t="s">
        <v>329</v>
      </c>
      <c r="J43" s="141" t="s">
        <v>330</v>
      </c>
      <c r="K43" s="141" t="s">
        <v>331</v>
      </c>
      <c r="L43" s="138" t="s">
        <v>332</v>
      </c>
      <c r="M43" s="142"/>
      <c r="N43" s="136" t="s">
        <v>333</v>
      </c>
      <c r="O43" s="95"/>
    </row>
    <row r="44" spans="1:15" ht="15.75" customHeight="1" x14ac:dyDescent="0.2">
      <c r="A44" s="96"/>
      <c r="B44" s="97" t="s">
        <v>334</v>
      </c>
      <c r="C44" s="91" t="s">
        <v>335</v>
      </c>
      <c r="D44" s="136" t="s">
        <v>336</v>
      </c>
      <c r="E44" s="136" t="s">
        <v>336</v>
      </c>
      <c r="F44" s="138" t="s">
        <v>337</v>
      </c>
      <c r="G44" s="138" t="s">
        <v>337</v>
      </c>
      <c r="H44" s="138" t="s">
        <v>337</v>
      </c>
      <c r="I44" s="138" t="s">
        <v>337</v>
      </c>
      <c r="J44" s="141" t="s">
        <v>337</v>
      </c>
      <c r="K44" s="141" t="s">
        <v>337</v>
      </c>
      <c r="L44" s="138" t="s">
        <v>337</v>
      </c>
      <c r="M44" s="144" t="s">
        <v>338</v>
      </c>
      <c r="N44" s="136" t="s">
        <v>339</v>
      </c>
      <c r="O44" s="95"/>
    </row>
    <row r="45" spans="1:15" ht="15.75" customHeight="1" x14ac:dyDescent="0.2">
      <c r="A45" s="85"/>
      <c r="B45" s="38"/>
      <c r="C45" s="86"/>
      <c r="D45" s="131"/>
      <c r="E45" s="131"/>
      <c r="F45" s="132"/>
      <c r="G45" s="132"/>
      <c r="H45" s="132"/>
      <c r="I45" s="132"/>
      <c r="J45" s="134"/>
      <c r="K45" s="134"/>
      <c r="L45" s="132"/>
      <c r="M45" s="135"/>
      <c r="N45" s="131"/>
      <c r="O45" s="89"/>
    </row>
    <row r="46" spans="1:15" ht="15.75" customHeight="1" x14ac:dyDescent="0.2">
      <c r="A46" s="85"/>
      <c r="B46" s="90" t="s">
        <v>365</v>
      </c>
      <c r="C46" s="36"/>
      <c r="D46" s="37"/>
      <c r="E46" s="37"/>
      <c r="F46" s="101"/>
      <c r="G46" s="101"/>
      <c r="H46" s="101"/>
      <c r="I46" s="101"/>
      <c r="J46" s="103"/>
      <c r="K46" s="103"/>
      <c r="L46" s="101"/>
      <c r="M46" s="39"/>
      <c r="N46" s="37"/>
      <c r="O46" s="95"/>
    </row>
    <row r="47" spans="1:15" ht="15.75" customHeight="1" x14ac:dyDescent="0.2">
      <c r="A47" s="85" t="s">
        <v>354</v>
      </c>
      <c r="B47" s="99" t="s">
        <v>347</v>
      </c>
      <c r="C47" s="100">
        <f t="shared" ref="C47:C48" si="21">DATE(94,10,4)</f>
        <v>34611</v>
      </c>
      <c r="D47" s="37">
        <v>28.3</v>
      </c>
      <c r="E47" s="37">
        <v>11.3</v>
      </c>
      <c r="F47" s="101">
        <v>5.0000000000000001E-3</v>
      </c>
      <c r="G47" s="104" t="s">
        <v>343</v>
      </c>
      <c r="H47" s="101">
        <v>8.0000000000000002E-3</v>
      </c>
      <c r="I47" s="101">
        <v>8.0000000000000002E-3</v>
      </c>
      <c r="J47" s="103">
        <f>0.07-0.01</f>
        <v>6.0000000000000005E-2</v>
      </c>
      <c r="K47" s="103">
        <f t="shared" ref="K47:K50" si="22">L47-I47</f>
        <v>6.0000000000000005E-2</v>
      </c>
      <c r="L47" s="101">
        <f t="shared" ref="L47:L50" si="23">J47+H47</f>
        <v>6.8000000000000005E-2</v>
      </c>
      <c r="M47" s="39">
        <f t="shared" ref="M47:M50" si="24">L47/F47</f>
        <v>13.600000000000001</v>
      </c>
      <c r="N47" s="37">
        <v>1.4</v>
      </c>
      <c r="O47" s="98"/>
    </row>
    <row r="48" spans="1:15" ht="15.75" customHeight="1" x14ac:dyDescent="0.2">
      <c r="A48" s="85" t="s">
        <v>354</v>
      </c>
      <c r="B48" s="109" t="s">
        <v>366</v>
      </c>
      <c r="C48" s="110">
        <f t="shared" si="21"/>
        <v>34611</v>
      </c>
      <c r="D48" s="111" t="s">
        <v>84</v>
      </c>
      <c r="E48" s="111" t="s">
        <v>84</v>
      </c>
      <c r="F48" s="112">
        <v>7.0000000000000001E-3</v>
      </c>
      <c r="G48" s="116" t="s">
        <v>343</v>
      </c>
      <c r="H48" s="112">
        <v>0.109</v>
      </c>
      <c r="I48" s="112">
        <v>0.109</v>
      </c>
      <c r="J48" s="113">
        <f>0.11-0.01</f>
        <v>0.1</v>
      </c>
      <c r="K48" s="113">
        <f t="shared" si="22"/>
        <v>0.10000000000000002</v>
      </c>
      <c r="L48" s="112">
        <f t="shared" si="23"/>
        <v>0.20900000000000002</v>
      </c>
      <c r="M48" s="119">
        <f t="shared" si="24"/>
        <v>29.857142857142858</v>
      </c>
      <c r="N48" s="117">
        <v>1.2</v>
      </c>
      <c r="O48" s="115"/>
    </row>
    <row r="49" spans="1:15" ht="15.75" customHeight="1" x14ac:dyDescent="0.2">
      <c r="A49" s="85"/>
      <c r="B49" s="99" t="s">
        <v>367</v>
      </c>
      <c r="C49" s="100">
        <f t="shared" ref="C49:C50" si="25">DATE(94,10,31)</f>
        <v>34638</v>
      </c>
      <c r="D49" s="37">
        <v>29.5</v>
      </c>
      <c r="E49" s="37">
        <v>8.9</v>
      </c>
      <c r="F49" s="101">
        <v>3.0000000000000001E-3</v>
      </c>
      <c r="G49" s="104" t="s">
        <v>343</v>
      </c>
      <c r="H49" s="101">
        <v>7.9000000000000001E-2</v>
      </c>
      <c r="I49" s="101">
        <f>0.003+0.079</f>
        <v>8.2000000000000003E-2</v>
      </c>
      <c r="J49" s="103">
        <f t="shared" ref="J49:J50" si="26">0.06-0.01</f>
        <v>4.9999999999999996E-2</v>
      </c>
      <c r="K49" s="103">
        <f t="shared" si="22"/>
        <v>4.7E-2</v>
      </c>
      <c r="L49" s="101">
        <f t="shared" si="23"/>
        <v>0.129</v>
      </c>
      <c r="M49" s="39">
        <f t="shared" si="24"/>
        <v>43</v>
      </c>
      <c r="N49" s="37">
        <v>1.2</v>
      </c>
      <c r="O49" s="98"/>
    </row>
    <row r="50" spans="1:15" ht="15.75" customHeight="1" x14ac:dyDescent="0.2">
      <c r="A50" s="85"/>
      <c r="B50" s="109" t="s">
        <v>348</v>
      </c>
      <c r="C50" s="110">
        <f t="shared" si="25"/>
        <v>34638</v>
      </c>
      <c r="D50" s="111" t="s">
        <v>84</v>
      </c>
      <c r="E50" s="111" t="s">
        <v>84</v>
      </c>
      <c r="F50" s="112">
        <v>4.0000000000000001E-3</v>
      </c>
      <c r="G50" s="112">
        <f>0.027-0.008</f>
        <v>1.9E-2</v>
      </c>
      <c r="H50" s="112">
        <v>0.17299999999999999</v>
      </c>
      <c r="I50" s="112">
        <f>0.019+0.173</f>
        <v>0.19199999999999998</v>
      </c>
      <c r="J50" s="113">
        <f t="shared" si="26"/>
        <v>4.9999999999999996E-2</v>
      </c>
      <c r="K50" s="113">
        <f t="shared" si="22"/>
        <v>3.1E-2</v>
      </c>
      <c r="L50" s="112">
        <f t="shared" si="23"/>
        <v>0.22299999999999998</v>
      </c>
      <c r="M50" s="119">
        <f t="shared" si="24"/>
        <v>55.749999999999993</v>
      </c>
      <c r="N50" s="111" t="s">
        <v>84</v>
      </c>
      <c r="O50" s="115"/>
    </row>
    <row r="51" spans="1:15" ht="15.75" customHeight="1" x14ac:dyDescent="0.2">
      <c r="A51" s="85"/>
      <c r="B51" s="90"/>
      <c r="C51" s="145"/>
      <c r="D51" s="37"/>
      <c r="E51" s="37"/>
      <c r="F51" s="101"/>
      <c r="G51" s="101"/>
      <c r="H51" s="101"/>
      <c r="I51" s="101"/>
      <c r="J51" s="103"/>
      <c r="K51" s="103"/>
      <c r="L51" s="101"/>
      <c r="M51" s="39"/>
      <c r="N51" s="37"/>
      <c r="O51" s="98"/>
    </row>
    <row r="52" spans="1:15" ht="15.75" customHeight="1" x14ac:dyDescent="0.2">
      <c r="A52" s="85"/>
      <c r="B52" s="99" t="s">
        <v>368</v>
      </c>
      <c r="C52" s="100">
        <f t="shared" ref="C52:C55" si="27">DATE(95,4,12)</f>
        <v>34801</v>
      </c>
      <c r="D52" s="37">
        <v>24.1</v>
      </c>
      <c r="E52" s="37">
        <v>6.7</v>
      </c>
      <c r="F52" s="101">
        <v>7.0000000000000001E-3</v>
      </c>
      <c r="G52" s="101">
        <f>0.03-0.023</f>
        <v>6.9999999999999993E-3</v>
      </c>
      <c r="H52" s="101">
        <v>6.4000000000000001E-2</v>
      </c>
      <c r="I52" s="101">
        <f>G52+H52</f>
        <v>7.1000000000000008E-2</v>
      </c>
      <c r="J52" s="102" t="s">
        <v>341</v>
      </c>
      <c r="K52" s="103">
        <f>L52-I52</f>
        <v>1.2999999999999998E-2</v>
      </c>
      <c r="L52" s="101">
        <f>(0.02+0.064)</f>
        <v>8.4000000000000005E-2</v>
      </c>
      <c r="M52" s="39">
        <f>L52/F52</f>
        <v>12</v>
      </c>
      <c r="N52" s="106" t="s">
        <v>84</v>
      </c>
      <c r="O52" s="98"/>
    </row>
    <row r="53" spans="1:15" ht="15.75" customHeight="1" x14ac:dyDescent="0.2">
      <c r="A53" s="85" t="s">
        <v>354</v>
      </c>
      <c r="B53" s="99" t="s">
        <v>369</v>
      </c>
      <c r="C53" s="100">
        <f t="shared" si="27"/>
        <v>34801</v>
      </c>
      <c r="D53" s="106" t="s">
        <v>84</v>
      </c>
      <c r="E53" s="106" t="s">
        <v>84</v>
      </c>
      <c r="F53" s="104" t="s">
        <v>84</v>
      </c>
      <c r="G53" s="104" t="s">
        <v>84</v>
      </c>
      <c r="H53" s="104" t="s">
        <v>84</v>
      </c>
      <c r="I53" s="104" t="s">
        <v>84</v>
      </c>
      <c r="J53" s="102" t="s">
        <v>84</v>
      </c>
      <c r="K53" s="102" t="s">
        <v>84</v>
      </c>
      <c r="L53" s="104" t="s">
        <v>84</v>
      </c>
      <c r="M53" s="107" t="s">
        <v>84</v>
      </c>
      <c r="N53" s="37">
        <v>0.28000000000000003</v>
      </c>
      <c r="O53" s="98"/>
    </row>
    <row r="54" spans="1:15" ht="15.75" customHeight="1" x14ac:dyDescent="0.2">
      <c r="A54" s="85" t="s">
        <v>354</v>
      </c>
      <c r="B54" s="99" t="s">
        <v>370</v>
      </c>
      <c r="C54" s="100">
        <f t="shared" si="27"/>
        <v>34801</v>
      </c>
      <c r="D54" s="106" t="s">
        <v>84</v>
      </c>
      <c r="E54" s="106" t="s">
        <v>84</v>
      </c>
      <c r="F54" s="104" t="s">
        <v>84</v>
      </c>
      <c r="G54" s="104" t="s">
        <v>84</v>
      </c>
      <c r="H54" s="104" t="s">
        <v>84</v>
      </c>
      <c r="I54" s="104" t="s">
        <v>84</v>
      </c>
      <c r="J54" s="102" t="s">
        <v>84</v>
      </c>
      <c r="K54" s="102" t="s">
        <v>84</v>
      </c>
      <c r="L54" s="104" t="s">
        <v>84</v>
      </c>
      <c r="M54" s="107" t="s">
        <v>84</v>
      </c>
      <c r="N54" s="37">
        <v>0.5</v>
      </c>
      <c r="O54" s="98"/>
    </row>
    <row r="55" spans="1:15" ht="15.75" customHeight="1" x14ac:dyDescent="0.2">
      <c r="A55" s="85"/>
      <c r="B55" s="109" t="s">
        <v>371</v>
      </c>
      <c r="C55" s="110">
        <f t="shared" si="27"/>
        <v>34801</v>
      </c>
      <c r="D55" s="111" t="s">
        <v>84</v>
      </c>
      <c r="E55" s="111" t="s">
        <v>84</v>
      </c>
      <c r="F55" s="112">
        <v>6.0000000000000001E-3</v>
      </c>
      <c r="G55" s="116" t="s">
        <v>343</v>
      </c>
      <c r="H55" s="112">
        <v>8.6999999999999994E-2</v>
      </c>
      <c r="I55" s="112">
        <f>(0.004+0.087)</f>
        <v>9.0999999999999998E-2</v>
      </c>
      <c r="J55" s="118" t="s">
        <v>341</v>
      </c>
      <c r="K55" s="113">
        <f t="shared" ref="K55:K56" si="28">L55-I55</f>
        <v>1.6E-2</v>
      </c>
      <c r="L55" s="112">
        <f>0.02+0.087</f>
        <v>0.107</v>
      </c>
      <c r="M55" s="114" t="s">
        <v>84</v>
      </c>
      <c r="N55" s="111" t="s">
        <v>84</v>
      </c>
      <c r="O55" s="115"/>
    </row>
    <row r="56" spans="1:15" ht="15.75" customHeight="1" x14ac:dyDescent="0.2">
      <c r="A56" s="85"/>
      <c r="B56" s="99" t="s">
        <v>372</v>
      </c>
      <c r="C56" s="100">
        <f t="shared" ref="C56:C59" si="29">DATE(95,5,3)</f>
        <v>34822</v>
      </c>
      <c r="D56" s="37">
        <v>29</v>
      </c>
      <c r="E56" s="37">
        <v>5.5</v>
      </c>
      <c r="F56" s="101">
        <v>4.0000000000000001E-3</v>
      </c>
      <c r="G56" s="101">
        <f>0.033-0.02</f>
        <v>1.3000000000000001E-2</v>
      </c>
      <c r="H56" s="101">
        <v>5.8999999999999997E-2</v>
      </c>
      <c r="I56" s="101">
        <f>G56+H56</f>
        <v>7.1999999999999995E-2</v>
      </c>
      <c r="J56" s="103">
        <f>0.08-0.02</f>
        <v>0.06</v>
      </c>
      <c r="K56" s="103">
        <f t="shared" si="28"/>
        <v>4.7E-2</v>
      </c>
      <c r="L56" s="101">
        <f>J56+H56</f>
        <v>0.11899999999999999</v>
      </c>
      <c r="M56" s="39">
        <f>L56/F56</f>
        <v>29.749999999999996</v>
      </c>
      <c r="N56" s="106" t="s">
        <v>84</v>
      </c>
      <c r="O56" s="98"/>
    </row>
    <row r="57" spans="1:15" ht="15.75" customHeight="1" x14ac:dyDescent="0.2">
      <c r="A57" s="85" t="s">
        <v>354</v>
      </c>
      <c r="B57" s="99" t="s">
        <v>373</v>
      </c>
      <c r="C57" s="100">
        <f t="shared" si="29"/>
        <v>34822</v>
      </c>
      <c r="D57" s="106" t="s">
        <v>84</v>
      </c>
      <c r="E57" s="106" t="s">
        <v>84</v>
      </c>
      <c r="F57" s="104" t="s">
        <v>84</v>
      </c>
      <c r="G57" s="104" t="s">
        <v>84</v>
      </c>
      <c r="H57" s="104" t="s">
        <v>84</v>
      </c>
      <c r="I57" s="104" t="s">
        <v>84</v>
      </c>
      <c r="J57" s="102" t="s">
        <v>84</v>
      </c>
      <c r="K57" s="102" t="s">
        <v>84</v>
      </c>
      <c r="L57" s="104" t="s">
        <v>84</v>
      </c>
      <c r="M57" s="107" t="s">
        <v>84</v>
      </c>
      <c r="N57" s="37">
        <v>4.7</v>
      </c>
      <c r="O57" s="98"/>
    </row>
    <row r="58" spans="1:15" ht="15.75" customHeight="1" x14ac:dyDescent="0.2">
      <c r="A58" s="85" t="s">
        <v>354</v>
      </c>
      <c r="B58" s="99" t="s">
        <v>374</v>
      </c>
      <c r="C58" s="100">
        <f t="shared" si="29"/>
        <v>34822</v>
      </c>
      <c r="D58" s="106" t="s">
        <v>84</v>
      </c>
      <c r="E58" s="106" t="s">
        <v>84</v>
      </c>
      <c r="F58" s="104" t="s">
        <v>84</v>
      </c>
      <c r="G58" s="104" t="s">
        <v>84</v>
      </c>
      <c r="H58" s="104" t="s">
        <v>84</v>
      </c>
      <c r="I58" s="104" t="s">
        <v>84</v>
      </c>
      <c r="J58" s="102" t="s">
        <v>84</v>
      </c>
      <c r="K58" s="102" t="s">
        <v>84</v>
      </c>
      <c r="L58" s="104" t="s">
        <v>84</v>
      </c>
      <c r="M58" s="107" t="s">
        <v>84</v>
      </c>
      <c r="N58" s="37">
        <v>3.3</v>
      </c>
      <c r="O58" s="98"/>
    </row>
    <row r="59" spans="1:15" ht="15.75" customHeight="1" x14ac:dyDescent="0.2">
      <c r="A59" s="85"/>
      <c r="B59" s="109" t="s">
        <v>375</v>
      </c>
      <c r="C59" s="110">
        <f t="shared" si="29"/>
        <v>34822</v>
      </c>
      <c r="D59" s="111" t="s">
        <v>84</v>
      </c>
      <c r="E59" s="111" t="s">
        <v>84</v>
      </c>
      <c r="F59" s="112">
        <v>3.0000000000000001E-3</v>
      </c>
      <c r="G59" s="112">
        <f>0.036-0.02</f>
        <v>1.5999999999999997E-2</v>
      </c>
      <c r="H59" s="112">
        <v>6.7000000000000004E-2</v>
      </c>
      <c r="I59" s="112">
        <f t="shared" ref="I59:I60" si="30">G59+H59</f>
        <v>8.3000000000000004E-2</v>
      </c>
      <c r="J59" s="113">
        <f>0.09-0.02</f>
        <v>6.9999999999999993E-2</v>
      </c>
      <c r="K59" s="113">
        <f t="shared" ref="K59:K60" si="31">L59-I59</f>
        <v>5.4000000000000006E-2</v>
      </c>
      <c r="L59" s="112">
        <f t="shared" ref="L59:L60" si="32">J59+H59</f>
        <v>0.13700000000000001</v>
      </c>
      <c r="M59" s="114" t="s">
        <v>84</v>
      </c>
      <c r="N59" s="111" t="s">
        <v>84</v>
      </c>
      <c r="O59" s="115"/>
    </row>
    <row r="60" spans="1:15" ht="15.75" customHeight="1" x14ac:dyDescent="0.2">
      <c r="A60" s="85"/>
      <c r="B60" s="99" t="s">
        <v>82</v>
      </c>
      <c r="C60" s="100">
        <f t="shared" ref="C60:C63" si="33">DATE(95,5,22)</f>
        <v>34841</v>
      </c>
      <c r="D60" s="37">
        <v>28</v>
      </c>
      <c r="E60" s="37">
        <v>4.5999999999999996</v>
      </c>
      <c r="F60" s="101">
        <v>3.0000000000000001E-3</v>
      </c>
      <c r="G60" s="101">
        <f>0.039-0.023</f>
        <v>1.6E-2</v>
      </c>
      <c r="H60" s="101">
        <v>7.5999999999999998E-2</v>
      </c>
      <c r="I60" s="101">
        <f t="shared" si="30"/>
        <v>9.1999999999999998E-2</v>
      </c>
      <c r="J60" s="103">
        <f>0.14-0.02</f>
        <v>0.12000000000000001</v>
      </c>
      <c r="K60" s="103">
        <f t="shared" si="31"/>
        <v>0.10400000000000001</v>
      </c>
      <c r="L60" s="101">
        <f t="shared" si="32"/>
        <v>0.19600000000000001</v>
      </c>
      <c r="M60" s="39">
        <f>L60/F60</f>
        <v>65.333333333333329</v>
      </c>
      <c r="N60" s="106" t="s">
        <v>84</v>
      </c>
      <c r="O60" s="98"/>
    </row>
    <row r="61" spans="1:15" ht="15.75" customHeight="1" x14ac:dyDescent="0.2">
      <c r="A61" s="85" t="s">
        <v>354</v>
      </c>
      <c r="B61" s="99" t="s">
        <v>376</v>
      </c>
      <c r="C61" s="100">
        <f t="shared" si="33"/>
        <v>34841</v>
      </c>
      <c r="D61" s="106" t="s">
        <v>84</v>
      </c>
      <c r="E61" s="106" t="s">
        <v>84</v>
      </c>
      <c r="F61" s="104" t="s">
        <v>84</v>
      </c>
      <c r="G61" s="104" t="s">
        <v>84</v>
      </c>
      <c r="H61" s="104" t="s">
        <v>84</v>
      </c>
      <c r="I61" s="104" t="s">
        <v>84</v>
      </c>
      <c r="J61" s="102" t="s">
        <v>84</v>
      </c>
      <c r="K61" s="102" t="s">
        <v>84</v>
      </c>
      <c r="L61" s="104" t="s">
        <v>84</v>
      </c>
      <c r="M61" s="107" t="s">
        <v>84</v>
      </c>
      <c r="N61" s="37">
        <v>2.7</v>
      </c>
      <c r="O61" s="98"/>
    </row>
    <row r="62" spans="1:15" ht="15.75" customHeight="1" x14ac:dyDescent="0.2">
      <c r="A62" s="85" t="s">
        <v>354</v>
      </c>
      <c r="B62" s="99" t="s">
        <v>377</v>
      </c>
      <c r="C62" s="100">
        <f t="shared" si="33"/>
        <v>34841</v>
      </c>
      <c r="D62" s="106" t="s">
        <v>84</v>
      </c>
      <c r="E62" s="106" t="s">
        <v>84</v>
      </c>
      <c r="F62" s="104" t="s">
        <v>84</v>
      </c>
      <c r="G62" s="104" t="s">
        <v>84</v>
      </c>
      <c r="H62" s="104" t="s">
        <v>84</v>
      </c>
      <c r="I62" s="104" t="s">
        <v>84</v>
      </c>
      <c r="J62" s="102" t="s">
        <v>84</v>
      </c>
      <c r="K62" s="102" t="s">
        <v>84</v>
      </c>
      <c r="L62" s="104" t="s">
        <v>84</v>
      </c>
      <c r="M62" s="107" t="s">
        <v>84</v>
      </c>
      <c r="N62" s="37">
        <v>3</v>
      </c>
      <c r="O62" s="98"/>
    </row>
    <row r="63" spans="1:15" ht="15.75" customHeight="1" x14ac:dyDescent="0.2">
      <c r="A63" s="85"/>
      <c r="B63" s="109" t="s">
        <v>378</v>
      </c>
      <c r="C63" s="110">
        <f t="shared" si="33"/>
        <v>34841</v>
      </c>
      <c r="D63" s="111" t="s">
        <v>84</v>
      </c>
      <c r="E63" s="111" t="s">
        <v>84</v>
      </c>
      <c r="F63" s="112">
        <v>4.0000000000000001E-3</v>
      </c>
      <c r="G63" s="112">
        <f>0.056-0.023</f>
        <v>3.3000000000000002E-2</v>
      </c>
      <c r="H63" s="112">
        <v>8.1000000000000003E-2</v>
      </c>
      <c r="I63" s="112">
        <f t="shared" ref="I63:I64" si="34">G63+H63</f>
        <v>0.114</v>
      </c>
      <c r="J63" s="113">
        <f t="shared" ref="J63:J64" si="35">0.13-0.02</f>
        <v>0.11</v>
      </c>
      <c r="K63" s="113">
        <f t="shared" ref="K63:K64" si="36">L63-I63</f>
        <v>7.6999999999999999E-2</v>
      </c>
      <c r="L63" s="112">
        <f t="shared" ref="L63:L64" si="37">J63+H63</f>
        <v>0.191</v>
      </c>
      <c r="M63" s="114" t="s">
        <v>84</v>
      </c>
      <c r="N63" s="111" t="s">
        <v>84</v>
      </c>
      <c r="O63" s="115"/>
    </row>
    <row r="64" spans="1:15" ht="15.75" customHeight="1" x14ac:dyDescent="0.2">
      <c r="A64" s="85"/>
      <c r="B64" s="99" t="s">
        <v>85</v>
      </c>
      <c r="C64" s="100">
        <f t="shared" ref="C64:C67" si="38">DATE(95,6,12)</f>
        <v>34862</v>
      </c>
      <c r="D64" s="37">
        <v>29.4</v>
      </c>
      <c r="E64" s="37">
        <v>4.5</v>
      </c>
      <c r="F64" s="101">
        <v>2E-3</v>
      </c>
      <c r="G64" s="101">
        <f>0.082-0.026</f>
        <v>5.6000000000000008E-2</v>
      </c>
      <c r="H64" s="101">
        <v>6.3E-2</v>
      </c>
      <c r="I64" s="101">
        <f t="shared" si="34"/>
        <v>0.11900000000000001</v>
      </c>
      <c r="J64" s="103">
        <f t="shared" si="35"/>
        <v>0.11</v>
      </c>
      <c r="K64" s="103">
        <f t="shared" si="36"/>
        <v>5.3999999999999979E-2</v>
      </c>
      <c r="L64" s="101">
        <f t="shared" si="37"/>
        <v>0.17299999999999999</v>
      </c>
      <c r="M64" s="39">
        <f>L64/F64</f>
        <v>86.499999999999986</v>
      </c>
      <c r="N64" s="106" t="s">
        <v>84</v>
      </c>
      <c r="O64" s="98"/>
    </row>
    <row r="65" spans="1:15" ht="15.75" customHeight="1" x14ac:dyDescent="0.2">
      <c r="A65" s="85" t="s">
        <v>354</v>
      </c>
      <c r="B65" s="99" t="s">
        <v>376</v>
      </c>
      <c r="C65" s="100">
        <f t="shared" si="38"/>
        <v>34862</v>
      </c>
      <c r="D65" s="106" t="s">
        <v>84</v>
      </c>
      <c r="E65" s="106" t="s">
        <v>84</v>
      </c>
      <c r="F65" s="104" t="s">
        <v>84</v>
      </c>
      <c r="G65" s="104" t="s">
        <v>84</v>
      </c>
      <c r="H65" s="104" t="s">
        <v>84</v>
      </c>
      <c r="I65" s="104" t="s">
        <v>84</v>
      </c>
      <c r="J65" s="102" t="s">
        <v>84</v>
      </c>
      <c r="K65" s="102" t="s">
        <v>84</v>
      </c>
      <c r="L65" s="104" t="s">
        <v>84</v>
      </c>
      <c r="M65" s="107" t="s">
        <v>84</v>
      </c>
      <c r="N65" s="37">
        <v>3.5</v>
      </c>
      <c r="O65" s="98"/>
    </row>
    <row r="66" spans="1:15" ht="15.75" customHeight="1" x14ac:dyDescent="0.2">
      <c r="A66" s="85" t="s">
        <v>354</v>
      </c>
      <c r="B66" s="99" t="s">
        <v>379</v>
      </c>
      <c r="C66" s="100">
        <f t="shared" si="38"/>
        <v>34862</v>
      </c>
      <c r="D66" s="106" t="s">
        <v>84</v>
      </c>
      <c r="E66" s="106" t="s">
        <v>84</v>
      </c>
      <c r="F66" s="104" t="s">
        <v>84</v>
      </c>
      <c r="G66" s="104" t="s">
        <v>84</v>
      </c>
      <c r="H66" s="104" t="s">
        <v>84</v>
      </c>
      <c r="I66" s="104" t="s">
        <v>84</v>
      </c>
      <c r="J66" s="102" t="s">
        <v>84</v>
      </c>
      <c r="K66" s="102" t="s">
        <v>84</v>
      </c>
      <c r="L66" s="104" t="s">
        <v>84</v>
      </c>
      <c r="M66" s="107" t="s">
        <v>84</v>
      </c>
      <c r="N66" s="37">
        <v>2.6</v>
      </c>
      <c r="O66" s="98"/>
    </row>
    <row r="67" spans="1:15" ht="15.75" customHeight="1" x14ac:dyDescent="0.2">
      <c r="A67" s="85"/>
      <c r="B67" s="109" t="s">
        <v>380</v>
      </c>
      <c r="C67" s="110">
        <f t="shared" si="38"/>
        <v>34862</v>
      </c>
      <c r="D67" s="111" t="s">
        <v>84</v>
      </c>
      <c r="E67" s="111" t="s">
        <v>84</v>
      </c>
      <c r="F67" s="112">
        <v>4.0000000000000001E-3</v>
      </c>
      <c r="G67" s="112">
        <f>0.035-0.026</f>
        <v>9.0000000000000045E-3</v>
      </c>
      <c r="H67" s="112">
        <v>8.4000000000000005E-2</v>
      </c>
      <c r="I67" s="112">
        <f t="shared" ref="I67:I68" si="39">G67+H67</f>
        <v>9.3000000000000013E-2</v>
      </c>
      <c r="J67" s="113">
        <f>0.07-0.02</f>
        <v>0.05</v>
      </c>
      <c r="K67" s="113">
        <f t="shared" ref="K67:K68" si="40">L67-I67</f>
        <v>4.0999999999999995E-2</v>
      </c>
      <c r="L67" s="112">
        <f t="shared" ref="L67:L68" si="41">J67+H67</f>
        <v>0.13400000000000001</v>
      </c>
      <c r="M67" s="114" t="s">
        <v>84</v>
      </c>
      <c r="N67" s="111" t="s">
        <v>84</v>
      </c>
      <c r="O67" s="115"/>
    </row>
    <row r="68" spans="1:15" ht="15.75" customHeight="1" x14ac:dyDescent="0.2">
      <c r="A68" s="85"/>
      <c r="B68" s="99" t="s">
        <v>372</v>
      </c>
      <c r="C68" s="100">
        <f t="shared" ref="C68:C71" si="42">DATE(95,7,5)</f>
        <v>34885</v>
      </c>
      <c r="D68" s="37">
        <v>29.1</v>
      </c>
      <c r="E68" s="37">
        <v>5.5</v>
      </c>
      <c r="F68" s="101">
        <v>5.0000000000000001E-3</v>
      </c>
      <c r="G68" s="101">
        <f>0.037-0.03</f>
        <v>6.9999999999999993E-3</v>
      </c>
      <c r="H68" s="101">
        <v>4.7E-2</v>
      </c>
      <c r="I68" s="101">
        <f t="shared" si="39"/>
        <v>5.3999999999999999E-2</v>
      </c>
      <c r="J68" s="103">
        <f>0.09-0.03</f>
        <v>0.06</v>
      </c>
      <c r="K68" s="103">
        <f t="shared" si="40"/>
        <v>5.2999999999999999E-2</v>
      </c>
      <c r="L68" s="101">
        <f t="shared" si="41"/>
        <v>0.107</v>
      </c>
      <c r="M68" s="39">
        <f>L68/F68</f>
        <v>21.4</v>
      </c>
      <c r="N68" s="106" t="s">
        <v>84</v>
      </c>
      <c r="O68" s="98"/>
    </row>
    <row r="69" spans="1:15" ht="15.75" customHeight="1" x14ac:dyDescent="0.2">
      <c r="A69" s="85" t="s">
        <v>354</v>
      </c>
      <c r="B69" s="99" t="s">
        <v>373</v>
      </c>
      <c r="C69" s="100">
        <f t="shared" si="42"/>
        <v>34885</v>
      </c>
      <c r="D69" s="106" t="s">
        <v>84</v>
      </c>
      <c r="E69" s="106" t="s">
        <v>84</v>
      </c>
      <c r="F69" s="104" t="s">
        <v>84</v>
      </c>
      <c r="G69" s="104" t="s">
        <v>84</v>
      </c>
      <c r="H69" s="104" t="s">
        <v>84</v>
      </c>
      <c r="I69" s="104" t="s">
        <v>84</v>
      </c>
      <c r="J69" s="102" t="s">
        <v>84</v>
      </c>
      <c r="K69" s="102" t="s">
        <v>84</v>
      </c>
      <c r="L69" s="104" t="s">
        <v>84</v>
      </c>
      <c r="M69" s="107" t="s">
        <v>84</v>
      </c>
      <c r="N69" s="37">
        <v>2.9</v>
      </c>
      <c r="O69" s="98"/>
    </row>
    <row r="70" spans="1:15" ht="15.75" customHeight="1" x14ac:dyDescent="0.2">
      <c r="A70" s="85" t="s">
        <v>354</v>
      </c>
      <c r="B70" s="99" t="s">
        <v>374</v>
      </c>
      <c r="C70" s="100">
        <f t="shared" si="42"/>
        <v>34885</v>
      </c>
      <c r="D70" s="106" t="s">
        <v>84</v>
      </c>
      <c r="E70" s="106" t="s">
        <v>84</v>
      </c>
      <c r="F70" s="104" t="s">
        <v>84</v>
      </c>
      <c r="G70" s="104" t="s">
        <v>84</v>
      </c>
      <c r="H70" s="104" t="s">
        <v>84</v>
      </c>
      <c r="I70" s="104" t="s">
        <v>84</v>
      </c>
      <c r="J70" s="102" t="s">
        <v>84</v>
      </c>
      <c r="K70" s="102" t="s">
        <v>84</v>
      </c>
      <c r="L70" s="104" t="s">
        <v>84</v>
      </c>
      <c r="M70" s="107" t="s">
        <v>84</v>
      </c>
      <c r="N70" s="37">
        <v>4.0999999999999996</v>
      </c>
      <c r="O70" s="98"/>
    </row>
    <row r="71" spans="1:15" ht="15.75" customHeight="1" x14ac:dyDescent="0.2">
      <c r="A71" s="85"/>
      <c r="B71" s="109" t="s">
        <v>381</v>
      </c>
      <c r="C71" s="110">
        <f t="shared" si="42"/>
        <v>34885</v>
      </c>
      <c r="D71" s="111" t="s">
        <v>84</v>
      </c>
      <c r="E71" s="111" t="s">
        <v>84</v>
      </c>
      <c r="F71" s="112">
        <v>8.0000000000000002E-3</v>
      </c>
      <c r="G71" s="112">
        <f>0.04-0.03</f>
        <v>1.0000000000000002E-2</v>
      </c>
      <c r="H71" s="112">
        <v>0.112</v>
      </c>
      <c r="I71" s="112">
        <f t="shared" ref="I71:I72" si="43">G71+H71</f>
        <v>0.122</v>
      </c>
      <c r="J71" s="118" t="s">
        <v>341</v>
      </c>
      <c r="K71" s="113">
        <f t="shared" ref="K71:K78" si="44">L71-I71</f>
        <v>2.0000000000000018E-2</v>
      </c>
      <c r="L71" s="112">
        <f>(0.03+0.112)</f>
        <v>0.14200000000000002</v>
      </c>
      <c r="M71" s="114" t="s">
        <v>84</v>
      </c>
      <c r="N71" s="111" t="s">
        <v>84</v>
      </c>
      <c r="O71" s="115"/>
    </row>
    <row r="72" spans="1:15" ht="15.75" customHeight="1" x14ac:dyDescent="0.2">
      <c r="A72" s="85" t="s">
        <v>354</v>
      </c>
      <c r="B72" s="99" t="s">
        <v>83</v>
      </c>
      <c r="C72" s="100">
        <f t="shared" ref="C72:C74" si="45">DATE(95,7,26)</f>
        <v>34906</v>
      </c>
      <c r="D72" s="37">
        <v>30.8</v>
      </c>
      <c r="E72" s="37">
        <v>8.5</v>
      </c>
      <c r="F72" s="101">
        <v>4.0000000000000001E-3</v>
      </c>
      <c r="G72" s="101">
        <f>0.033-0.03</f>
        <v>3.0000000000000027E-3</v>
      </c>
      <c r="H72" s="101">
        <v>2.1999999999999999E-2</v>
      </c>
      <c r="I72" s="101">
        <f t="shared" si="43"/>
        <v>2.5000000000000001E-2</v>
      </c>
      <c r="J72" s="103">
        <f>0.18-0.03</f>
        <v>0.15</v>
      </c>
      <c r="K72" s="103">
        <f t="shared" si="44"/>
        <v>0.14699999999999999</v>
      </c>
      <c r="L72" s="101">
        <f t="shared" ref="L72:L74" si="46">J72+H72</f>
        <v>0.17199999999999999</v>
      </c>
      <c r="M72" s="39">
        <f t="shared" ref="M72:M73" si="47">L72/F72</f>
        <v>42.999999999999993</v>
      </c>
      <c r="N72" s="37">
        <v>2.2000000000000002</v>
      </c>
      <c r="O72" s="98"/>
    </row>
    <row r="73" spans="1:15" ht="15.75" customHeight="1" x14ac:dyDescent="0.2">
      <c r="A73" s="85" t="s">
        <v>354</v>
      </c>
      <c r="B73" s="99" t="s">
        <v>382</v>
      </c>
      <c r="C73" s="100">
        <f t="shared" si="45"/>
        <v>34906</v>
      </c>
      <c r="D73" s="106" t="s">
        <v>84</v>
      </c>
      <c r="E73" s="106" t="s">
        <v>84</v>
      </c>
      <c r="F73" s="101">
        <v>6.0000000000000001E-3</v>
      </c>
      <c r="G73" s="104" t="s">
        <v>343</v>
      </c>
      <c r="H73" s="101">
        <v>7.8E-2</v>
      </c>
      <c r="I73" s="101">
        <f>0+0.078</f>
        <v>7.8E-2</v>
      </c>
      <c r="J73" s="103">
        <f>0.11-0.03</f>
        <v>0.08</v>
      </c>
      <c r="K73" s="103">
        <f t="shared" si="44"/>
        <v>0.08</v>
      </c>
      <c r="L73" s="101">
        <f t="shared" si="46"/>
        <v>0.158</v>
      </c>
      <c r="M73" s="39">
        <f t="shared" si="47"/>
        <v>26.333333333333332</v>
      </c>
      <c r="N73" s="37">
        <v>3.2</v>
      </c>
      <c r="O73" s="98"/>
    </row>
    <row r="74" spans="1:15" ht="15.75" customHeight="1" x14ac:dyDescent="0.2">
      <c r="A74" s="85"/>
      <c r="B74" s="109" t="s">
        <v>383</v>
      </c>
      <c r="C74" s="110">
        <f t="shared" si="45"/>
        <v>34906</v>
      </c>
      <c r="D74" s="111" t="s">
        <v>84</v>
      </c>
      <c r="E74" s="111" t="s">
        <v>84</v>
      </c>
      <c r="F74" s="112">
        <v>1.7999999999999999E-2</v>
      </c>
      <c r="G74" s="116" t="s">
        <v>343</v>
      </c>
      <c r="H74" s="112">
        <v>0.121</v>
      </c>
      <c r="I74" s="112">
        <f>0.001+0.121</f>
        <v>0.122</v>
      </c>
      <c r="J74" s="113">
        <f>0.09-0.03</f>
        <v>0.06</v>
      </c>
      <c r="K74" s="113">
        <f t="shared" si="44"/>
        <v>5.8999999999999997E-2</v>
      </c>
      <c r="L74" s="112">
        <f t="shared" si="46"/>
        <v>0.18099999999999999</v>
      </c>
      <c r="M74" s="114" t="s">
        <v>84</v>
      </c>
      <c r="N74" s="111" t="s">
        <v>84</v>
      </c>
      <c r="O74" s="115"/>
    </row>
    <row r="75" spans="1:15" ht="15.75" customHeight="1" x14ac:dyDescent="0.2">
      <c r="A75" s="85" t="s">
        <v>354</v>
      </c>
      <c r="B75" s="99" t="s">
        <v>384</v>
      </c>
      <c r="C75" s="100">
        <f t="shared" ref="C75:C78" si="48">DATE(95,8,23)</f>
        <v>34934</v>
      </c>
      <c r="D75" s="37">
        <v>28.3</v>
      </c>
      <c r="E75" s="37">
        <v>8.5</v>
      </c>
      <c r="F75" s="101">
        <v>2E-3</v>
      </c>
      <c r="G75" s="104" t="s">
        <v>343</v>
      </c>
      <c r="H75" s="101">
        <v>6.0000000000000001E-3</v>
      </c>
      <c r="I75" s="101">
        <f>0+0.006</f>
        <v>6.0000000000000001E-3</v>
      </c>
      <c r="J75" s="102" t="s">
        <v>341</v>
      </c>
      <c r="K75" s="103">
        <f t="shared" si="44"/>
        <v>0.04</v>
      </c>
      <c r="L75" s="101">
        <f>0.04+0.006</f>
        <v>4.5999999999999999E-2</v>
      </c>
      <c r="M75" s="39">
        <f t="shared" ref="M75:M77" si="49">L75/F75</f>
        <v>23</v>
      </c>
      <c r="N75" s="37">
        <v>1.8</v>
      </c>
      <c r="O75" s="98"/>
    </row>
    <row r="76" spans="1:15" ht="15.75" customHeight="1" x14ac:dyDescent="0.2">
      <c r="A76" s="85" t="s">
        <v>354</v>
      </c>
      <c r="B76" s="99" t="s">
        <v>385</v>
      </c>
      <c r="C76" s="100">
        <f t="shared" si="48"/>
        <v>34934</v>
      </c>
      <c r="D76" s="106" t="s">
        <v>84</v>
      </c>
      <c r="E76" s="106" t="s">
        <v>84</v>
      </c>
      <c r="F76" s="101">
        <v>3.0000000000000001E-3</v>
      </c>
      <c r="G76" s="104" t="s">
        <v>343</v>
      </c>
      <c r="H76" s="101">
        <v>4.1000000000000002E-2</v>
      </c>
      <c r="I76" s="101">
        <f>0.004+0.041</f>
        <v>4.4999999999999998E-2</v>
      </c>
      <c r="J76" s="102" t="s">
        <v>341</v>
      </c>
      <c r="K76" s="103">
        <f t="shared" si="44"/>
        <v>3.6000000000000004E-2</v>
      </c>
      <c r="L76" s="101">
        <f>0.04+0.041</f>
        <v>8.1000000000000003E-2</v>
      </c>
      <c r="M76" s="39">
        <f t="shared" si="49"/>
        <v>27</v>
      </c>
      <c r="N76" s="37">
        <v>2.7</v>
      </c>
      <c r="O76" s="98"/>
    </row>
    <row r="77" spans="1:15" ht="15.75" customHeight="1" x14ac:dyDescent="0.2">
      <c r="A77" s="85" t="s">
        <v>354</v>
      </c>
      <c r="B77" s="99" t="s">
        <v>386</v>
      </c>
      <c r="C77" s="100">
        <f t="shared" si="48"/>
        <v>34934</v>
      </c>
      <c r="D77" s="106" t="s">
        <v>84</v>
      </c>
      <c r="E77" s="106" t="s">
        <v>84</v>
      </c>
      <c r="F77" s="101">
        <v>3.0000000000000001E-3</v>
      </c>
      <c r="G77" s="104" t="s">
        <v>343</v>
      </c>
      <c r="H77" s="101">
        <v>9.0999999999999998E-2</v>
      </c>
      <c r="I77" s="101">
        <f>0+0.091</f>
        <v>9.0999999999999998E-2</v>
      </c>
      <c r="J77" s="102" t="s">
        <v>341</v>
      </c>
      <c r="K77" s="103">
        <f t="shared" si="44"/>
        <v>4.0000000000000008E-2</v>
      </c>
      <c r="L77" s="101">
        <f>0.04+0.091</f>
        <v>0.13100000000000001</v>
      </c>
      <c r="M77" s="39">
        <f t="shared" si="49"/>
        <v>43.666666666666664</v>
      </c>
      <c r="N77" s="37">
        <v>2.2999999999999998</v>
      </c>
      <c r="O77" s="98"/>
    </row>
    <row r="78" spans="1:15" ht="15.75" customHeight="1" x14ac:dyDescent="0.2">
      <c r="A78" s="96"/>
      <c r="B78" s="120" t="s">
        <v>378</v>
      </c>
      <c r="C78" s="121">
        <f t="shared" si="48"/>
        <v>34934</v>
      </c>
      <c r="D78" s="122" t="s">
        <v>84</v>
      </c>
      <c r="E78" s="122" t="s">
        <v>84</v>
      </c>
      <c r="F78" s="123">
        <v>3.0000000000000001E-3</v>
      </c>
      <c r="G78" s="146" t="s">
        <v>343</v>
      </c>
      <c r="H78" s="123">
        <v>0.126</v>
      </c>
      <c r="I78" s="123">
        <f>0+0.126</f>
        <v>0.126</v>
      </c>
      <c r="J78" s="124" t="s">
        <v>341</v>
      </c>
      <c r="K78" s="125">
        <f t="shared" si="44"/>
        <v>0.03</v>
      </c>
      <c r="L78" s="123">
        <f>0.03+0.126</f>
        <v>0.156</v>
      </c>
      <c r="M78" s="147" t="s">
        <v>84</v>
      </c>
      <c r="N78" s="122" t="s">
        <v>84</v>
      </c>
      <c r="O78" s="128"/>
    </row>
    <row r="79" spans="1:15" ht="15.75" customHeight="1" x14ac:dyDescent="0.2">
      <c r="A79" s="129"/>
      <c r="B79" s="129"/>
      <c r="C79" s="36"/>
      <c r="D79" s="37"/>
      <c r="E79" s="37"/>
      <c r="F79" s="101"/>
      <c r="G79" s="101"/>
      <c r="H79" s="101"/>
      <c r="I79" s="101"/>
      <c r="J79" s="103"/>
      <c r="K79" s="103"/>
      <c r="L79" s="101"/>
      <c r="M79" s="39"/>
      <c r="N79" s="37"/>
    </row>
    <row r="80" spans="1:15" ht="15.75" customHeight="1" x14ac:dyDescent="0.2">
      <c r="A80" s="85"/>
      <c r="B80" s="38"/>
      <c r="C80" s="86"/>
      <c r="D80" s="131"/>
      <c r="E80" s="131"/>
      <c r="F80" s="132"/>
      <c r="G80" s="132"/>
      <c r="H80" s="133" t="s">
        <v>319</v>
      </c>
      <c r="I80" s="132"/>
      <c r="J80" s="134"/>
      <c r="K80" s="134"/>
      <c r="L80" s="132"/>
      <c r="M80" s="135"/>
      <c r="N80" s="131"/>
      <c r="O80" s="89"/>
    </row>
    <row r="81" spans="1:15" ht="15.75" customHeight="1" x14ac:dyDescent="0.25">
      <c r="A81" s="85"/>
      <c r="B81" s="90" t="s">
        <v>320</v>
      </c>
      <c r="C81" s="91"/>
      <c r="D81" s="136" t="s">
        <v>321</v>
      </c>
      <c r="E81" s="136" t="s">
        <v>322</v>
      </c>
      <c r="F81" s="137"/>
      <c r="G81" s="138" t="s">
        <v>323</v>
      </c>
      <c r="H81" s="139" t="s">
        <v>387</v>
      </c>
      <c r="I81" s="138" t="s">
        <v>323</v>
      </c>
      <c r="J81" s="140"/>
      <c r="K81" s="141" t="s">
        <v>323</v>
      </c>
      <c r="L81" s="137"/>
      <c r="M81" s="142"/>
      <c r="N81" s="143"/>
      <c r="O81" s="95"/>
    </row>
    <row r="82" spans="1:15" ht="15.75" customHeight="1" x14ac:dyDescent="0.25">
      <c r="A82" s="85"/>
      <c r="B82" s="90" t="s">
        <v>325</v>
      </c>
      <c r="C82" s="91"/>
      <c r="D82" s="136" t="s">
        <v>52</v>
      </c>
      <c r="E82" s="136" t="s">
        <v>52</v>
      </c>
      <c r="F82" s="138" t="s">
        <v>326</v>
      </c>
      <c r="G82" s="138" t="s">
        <v>388</v>
      </c>
      <c r="H82" s="139" t="s">
        <v>389</v>
      </c>
      <c r="I82" s="138" t="s">
        <v>329</v>
      </c>
      <c r="J82" s="141" t="s">
        <v>330</v>
      </c>
      <c r="K82" s="141" t="s">
        <v>331</v>
      </c>
      <c r="L82" s="138" t="s">
        <v>332</v>
      </c>
      <c r="M82" s="142"/>
      <c r="N82" s="136" t="s">
        <v>333</v>
      </c>
      <c r="O82" s="95"/>
    </row>
    <row r="83" spans="1:15" ht="15.75" customHeight="1" x14ac:dyDescent="0.2">
      <c r="A83" s="96"/>
      <c r="B83" s="97" t="s">
        <v>334</v>
      </c>
      <c r="C83" s="91" t="s">
        <v>335</v>
      </c>
      <c r="D83" s="136" t="s">
        <v>336</v>
      </c>
      <c r="E83" s="136" t="s">
        <v>336</v>
      </c>
      <c r="F83" s="138" t="s">
        <v>337</v>
      </c>
      <c r="G83" s="138" t="s">
        <v>337</v>
      </c>
      <c r="H83" s="138" t="s">
        <v>337</v>
      </c>
      <c r="I83" s="138" t="s">
        <v>337</v>
      </c>
      <c r="J83" s="141" t="s">
        <v>337</v>
      </c>
      <c r="K83" s="141" t="s">
        <v>337</v>
      </c>
      <c r="L83" s="138" t="s">
        <v>337</v>
      </c>
      <c r="M83" s="144" t="s">
        <v>338</v>
      </c>
      <c r="N83" s="136" t="s">
        <v>339</v>
      </c>
      <c r="O83" s="95"/>
    </row>
    <row r="84" spans="1:15" ht="15.75" customHeight="1" x14ac:dyDescent="0.2">
      <c r="A84" s="85"/>
      <c r="B84" s="38"/>
      <c r="C84" s="86"/>
      <c r="D84" s="131"/>
      <c r="E84" s="131"/>
      <c r="F84" s="132"/>
      <c r="G84" s="132"/>
      <c r="H84" s="132"/>
      <c r="I84" s="132"/>
      <c r="J84" s="134"/>
      <c r="K84" s="134"/>
      <c r="L84" s="132"/>
      <c r="M84" s="135"/>
      <c r="N84" s="131"/>
      <c r="O84" s="89"/>
    </row>
    <row r="85" spans="1:15" ht="15.75" customHeight="1" x14ac:dyDescent="0.2">
      <c r="A85" s="85"/>
      <c r="B85" s="90" t="s">
        <v>365</v>
      </c>
      <c r="C85" s="36"/>
      <c r="D85" s="37"/>
      <c r="E85" s="37"/>
      <c r="F85" s="101"/>
      <c r="G85" s="101"/>
      <c r="H85" s="101"/>
      <c r="I85" s="101"/>
      <c r="J85" s="103"/>
      <c r="K85" s="103"/>
      <c r="L85" s="101"/>
      <c r="M85" s="39"/>
      <c r="N85" s="37"/>
      <c r="O85" s="95"/>
    </row>
    <row r="86" spans="1:15" ht="15.75" customHeight="1" x14ac:dyDescent="0.2">
      <c r="A86" s="85" t="s">
        <v>354</v>
      </c>
      <c r="B86" s="99" t="s">
        <v>83</v>
      </c>
      <c r="C86" s="100">
        <f t="shared" ref="C86:C89" si="50">DATE(95,9,21)</f>
        <v>34963</v>
      </c>
      <c r="D86" s="37">
        <v>29</v>
      </c>
      <c r="E86" s="37">
        <v>11</v>
      </c>
      <c r="F86" s="104" t="s">
        <v>390</v>
      </c>
      <c r="G86" s="104" t="s">
        <v>343</v>
      </c>
      <c r="H86" s="104" t="s">
        <v>343</v>
      </c>
      <c r="I86" s="101">
        <f>0.001+0.0025</f>
        <v>3.5000000000000001E-3</v>
      </c>
      <c r="J86" s="102" t="s">
        <v>341</v>
      </c>
      <c r="K86" s="103">
        <f t="shared" ref="K86:K92" si="51">L86-I86</f>
        <v>1.9E-2</v>
      </c>
      <c r="L86" s="101">
        <f>0.02+0.0025</f>
        <v>2.2499999999999999E-2</v>
      </c>
      <c r="M86" s="39">
        <f>L86/0.001</f>
        <v>22.5</v>
      </c>
      <c r="N86" s="37">
        <v>1</v>
      </c>
      <c r="O86" s="98"/>
    </row>
    <row r="87" spans="1:15" ht="15.75" customHeight="1" x14ac:dyDescent="0.2">
      <c r="A87" s="85" t="s">
        <v>354</v>
      </c>
      <c r="B87" s="99" t="s">
        <v>391</v>
      </c>
      <c r="C87" s="100">
        <f t="shared" si="50"/>
        <v>34963</v>
      </c>
      <c r="D87" s="106" t="s">
        <v>84</v>
      </c>
      <c r="E87" s="106" t="s">
        <v>84</v>
      </c>
      <c r="F87" s="101">
        <v>2E-3</v>
      </c>
      <c r="G87" s="104" t="s">
        <v>343</v>
      </c>
      <c r="H87" s="101">
        <v>5.8999999999999997E-2</v>
      </c>
      <c r="I87" s="101">
        <f>0+0.059</f>
        <v>5.8999999999999997E-2</v>
      </c>
      <c r="J87" s="102" t="s">
        <v>341</v>
      </c>
      <c r="K87" s="103">
        <f t="shared" si="51"/>
        <v>4.0000000000000008E-2</v>
      </c>
      <c r="L87" s="101">
        <f>0.04+0.059</f>
        <v>9.9000000000000005E-2</v>
      </c>
      <c r="M87" s="39">
        <f t="shared" ref="M87:M88" si="52">L87/F87</f>
        <v>49.5</v>
      </c>
      <c r="N87" s="37">
        <v>1.7</v>
      </c>
      <c r="O87" s="98"/>
    </row>
    <row r="88" spans="1:15" ht="15.75" customHeight="1" x14ac:dyDescent="0.2">
      <c r="A88" s="85" t="s">
        <v>354</v>
      </c>
      <c r="B88" s="99" t="s">
        <v>392</v>
      </c>
      <c r="C88" s="100">
        <f t="shared" si="50"/>
        <v>34963</v>
      </c>
      <c r="D88" s="106" t="s">
        <v>84</v>
      </c>
      <c r="E88" s="106" t="s">
        <v>84</v>
      </c>
      <c r="F88" s="101">
        <v>2E-3</v>
      </c>
      <c r="G88" s="104" t="s">
        <v>343</v>
      </c>
      <c r="H88" s="101">
        <v>0.16200000000000001</v>
      </c>
      <c r="I88" s="101">
        <f>0+0.162</f>
        <v>0.16200000000000001</v>
      </c>
      <c r="J88" s="102" t="s">
        <v>341</v>
      </c>
      <c r="K88" s="103">
        <f t="shared" si="51"/>
        <v>1.999999999999999E-2</v>
      </c>
      <c r="L88" s="101">
        <f>0.02+0.162</f>
        <v>0.182</v>
      </c>
      <c r="M88" s="39">
        <f t="shared" si="52"/>
        <v>91</v>
      </c>
      <c r="N88" s="37">
        <v>0.63</v>
      </c>
      <c r="O88" s="98"/>
    </row>
    <row r="89" spans="1:15" ht="15.75" customHeight="1" x14ac:dyDescent="0.2">
      <c r="A89" s="108"/>
      <c r="B89" s="109" t="s">
        <v>381</v>
      </c>
      <c r="C89" s="110">
        <f t="shared" si="50"/>
        <v>34963</v>
      </c>
      <c r="D89" s="111" t="s">
        <v>84</v>
      </c>
      <c r="E89" s="111" t="s">
        <v>84</v>
      </c>
      <c r="F89" s="112">
        <v>3.0000000000000001E-3</v>
      </c>
      <c r="G89" s="116" t="s">
        <v>343</v>
      </c>
      <c r="H89" s="112">
        <v>0.13900000000000001</v>
      </c>
      <c r="I89" s="112">
        <f>0+0.139</f>
        <v>0.13900000000000001</v>
      </c>
      <c r="J89" s="118" t="s">
        <v>341</v>
      </c>
      <c r="K89" s="113">
        <f t="shared" si="51"/>
        <v>1.999999999999999E-2</v>
      </c>
      <c r="L89" s="112">
        <f>0.02+0.139</f>
        <v>0.159</v>
      </c>
      <c r="M89" s="114" t="s">
        <v>84</v>
      </c>
      <c r="N89" s="111" t="s">
        <v>84</v>
      </c>
      <c r="O89" s="115"/>
    </row>
    <row r="90" spans="1:15" ht="15.75" customHeight="1" x14ac:dyDescent="0.2">
      <c r="A90" s="85" t="s">
        <v>354</v>
      </c>
      <c r="B90" s="99" t="s">
        <v>393</v>
      </c>
      <c r="C90" s="100">
        <f t="shared" ref="C90:C92" si="53">DATE(95,10,23)</f>
        <v>34995</v>
      </c>
      <c r="D90" s="37">
        <v>29.3</v>
      </c>
      <c r="E90" s="37">
        <v>9.4</v>
      </c>
      <c r="F90" s="101">
        <v>6.0000000000000001E-3</v>
      </c>
      <c r="G90" s="104" t="s">
        <v>343</v>
      </c>
      <c r="H90" s="101">
        <v>2.3E-2</v>
      </c>
      <c r="I90" s="101">
        <f>0+0.023</f>
        <v>2.3E-2</v>
      </c>
      <c r="J90" s="103">
        <f>0.13-0.02</f>
        <v>0.11</v>
      </c>
      <c r="K90" s="103">
        <f t="shared" si="51"/>
        <v>0.11000000000000001</v>
      </c>
      <c r="L90" s="101">
        <f t="shared" ref="L90:L92" si="54">J90+H90</f>
        <v>0.13300000000000001</v>
      </c>
      <c r="M90" s="39">
        <f t="shared" ref="M90:M91" si="55">L90/F90</f>
        <v>22.166666666666668</v>
      </c>
      <c r="N90" s="37">
        <v>2.6</v>
      </c>
      <c r="O90" s="98"/>
    </row>
    <row r="91" spans="1:15" ht="15.75" customHeight="1" x14ac:dyDescent="0.2">
      <c r="A91" s="85" t="s">
        <v>354</v>
      </c>
      <c r="B91" s="99" t="s">
        <v>394</v>
      </c>
      <c r="C91" s="100">
        <f t="shared" si="53"/>
        <v>34995</v>
      </c>
      <c r="D91" s="106" t="s">
        <v>84</v>
      </c>
      <c r="E91" s="106" t="s">
        <v>84</v>
      </c>
      <c r="F91" s="101">
        <v>4.0000000000000001E-3</v>
      </c>
      <c r="G91" s="101">
        <f>0.032-0.02</f>
        <v>1.2E-2</v>
      </c>
      <c r="H91" s="101">
        <v>3.9E-2</v>
      </c>
      <c r="I91" s="101">
        <f t="shared" ref="I91:I92" si="56">G91+H91</f>
        <v>5.1000000000000004E-2</v>
      </c>
      <c r="J91" s="103">
        <f>0.11-0.02</f>
        <v>0.09</v>
      </c>
      <c r="K91" s="103">
        <f t="shared" si="51"/>
        <v>7.8E-2</v>
      </c>
      <c r="L91" s="101">
        <f t="shared" si="54"/>
        <v>0.129</v>
      </c>
      <c r="M91" s="39">
        <f t="shared" si="55"/>
        <v>32.25</v>
      </c>
      <c r="N91" s="37">
        <v>1.5</v>
      </c>
      <c r="O91" s="98"/>
    </row>
    <row r="92" spans="1:15" ht="15.75" customHeight="1" x14ac:dyDescent="0.2">
      <c r="A92" s="108"/>
      <c r="B92" s="109" t="s">
        <v>380</v>
      </c>
      <c r="C92" s="110">
        <f t="shared" si="53"/>
        <v>34995</v>
      </c>
      <c r="D92" s="111" t="s">
        <v>84</v>
      </c>
      <c r="E92" s="111" t="s">
        <v>84</v>
      </c>
      <c r="F92" s="112">
        <v>3.0000000000000001E-3</v>
      </c>
      <c r="G92" s="112">
        <f>0.027-0.02</f>
        <v>6.9999999999999993E-3</v>
      </c>
      <c r="H92" s="112">
        <v>0.14699999999999999</v>
      </c>
      <c r="I92" s="112">
        <f t="shared" si="56"/>
        <v>0.154</v>
      </c>
      <c r="J92" s="113">
        <f>0.1-0.02</f>
        <v>0.08</v>
      </c>
      <c r="K92" s="113">
        <f t="shared" si="51"/>
        <v>7.2999999999999982E-2</v>
      </c>
      <c r="L92" s="112">
        <f t="shared" si="54"/>
        <v>0.22699999999999998</v>
      </c>
      <c r="M92" s="114" t="s">
        <v>84</v>
      </c>
      <c r="N92" s="111" t="s">
        <v>84</v>
      </c>
      <c r="O92" s="115"/>
    </row>
    <row r="93" spans="1:15" ht="15.75" customHeight="1" x14ac:dyDescent="0.2">
      <c r="A93" s="85"/>
      <c r="B93" s="38"/>
      <c r="C93" s="100"/>
      <c r="D93" s="37"/>
      <c r="E93" s="37"/>
      <c r="F93" s="101"/>
      <c r="G93" s="101"/>
      <c r="H93" s="101"/>
      <c r="I93" s="101"/>
      <c r="J93" s="103"/>
      <c r="K93" s="103"/>
      <c r="L93" s="101"/>
      <c r="M93" s="39"/>
      <c r="N93" s="37"/>
      <c r="O93" s="98"/>
    </row>
    <row r="94" spans="1:15" ht="15.75" customHeight="1" x14ac:dyDescent="0.2">
      <c r="A94" s="85"/>
      <c r="B94" s="99" t="s">
        <v>83</v>
      </c>
      <c r="C94" s="100">
        <f t="shared" ref="C94:C95" si="57">DATE(97,4,24)</f>
        <v>35544</v>
      </c>
      <c r="D94" s="37">
        <v>21.8</v>
      </c>
      <c r="E94" s="37">
        <v>5.5</v>
      </c>
      <c r="F94" s="101">
        <v>6.0000000000000001E-3</v>
      </c>
      <c r="G94" s="148" t="s">
        <v>343</v>
      </c>
      <c r="H94" s="101">
        <v>0.09</v>
      </c>
      <c r="I94" s="101">
        <f>H94+0.002</f>
        <v>9.1999999999999998E-2</v>
      </c>
      <c r="J94" s="103">
        <f>0.09-0.006</f>
        <v>8.3999999999999991E-2</v>
      </c>
      <c r="K94" s="103">
        <f t="shared" ref="K94:K105" si="58">L94-I94</f>
        <v>8.199999999999999E-2</v>
      </c>
      <c r="L94" s="101">
        <f>H94+J94</f>
        <v>0.17399999999999999</v>
      </c>
      <c r="M94" s="39">
        <f>L94/F94</f>
        <v>28.999999999999996</v>
      </c>
      <c r="N94" s="37">
        <v>1.2</v>
      </c>
      <c r="O94" s="98"/>
    </row>
    <row r="95" spans="1:15" ht="15.75" customHeight="1" x14ac:dyDescent="0.2">
      <c r="A95" s="108"/>
      <c r="B95" s="149" t="s">
        <v>154</v>
      </c>
      <c r="C95" s="110">
        <f t="shared" si="57"/>
        <v>35544</v>
      </c>
      <c r="D95" s="150" t="s">
        <v>84</v>
      </c>
      <c r="E95" s="150" t="s">
        <v>84</v>
      </c>
      <c r="F95" s="112">
        <v>4.0000000000000001E-3</v>
      </c>
      <c r="G95" s="151" t="s">
        <v>343</v>
      </c>
      <c r="H95" s="112">
        <v>8.5000000000000006E-2</v>
      </c>
      <c r="I95" s="112">
        <f>H95+0.001</f>
        <v>8.6000000000000007E-2</v>
      </c>
      <c r="J95" s="152" t="s">
        <v>395</v>
      </c>
      <c r="K95" s="113">
        <f t="shared" si="58"/>
        <v>1.9000000000000003E-2</v>
      </c>
      <c r="L95" s="112">
        <f>H95+0.02</f>
        <v>0.10500000000000001</v>
      </c>
      <c r="M95" s="114" t="s">
        <v>84</v>
      </c>
      <c r="N95" s="111" t="s">
        <v>84</v>
      </c>
      <c r="O95" s="115"/>
    </row>
    <row r="96" spans="1:15" ht="15.75" customHeight="1" x14ac:dyDescent="0.2">
      <c r="A96" s="85"/>
      <c r="B96" s="99" t="s">
        <v>83</v>
      </c>
      <c r="C96" s="100">
        <f t="shared" ref="C96:C97" si="59">DATE(97,5,12)</f>
        <v>35562</v>
      </c>
      <c r="D96" s="106">
        <v>32</v>
      </c>
      <c r="E96" s="106">
        <v>5.4</v>
      </c>
      <c r="F96" s="101">
        <v>6.0000000000000001E-3</v>
      </c>
      <c r="G96" s="148" t="s">
        <v>343</v>
      </c>
      <c r="H96" s="101">
        <v>8.4000000000000005E-2</v>
      </c>
      <c r="I96" s="101">
        <f t="shared" ref="I96:I97" si="60">H96+0.004</f>
        <v>8.8000000000000009E-2</v>
      </c>
      <c r="J96" s="103">
        <f>0.07-0.006</f>
        <v>6.4000000000000001E-2</v>
      </c>
      <c r="K96" s="103">
        <f t="shared" si="58"/>
        <v>6.0000000000000012E-2</v>
      </c>
      <c r="L96" s="101">
        <f>H96+J96</f>
        <v>0.14800000000000002</v>
      </c>
      <c r="M96" s="39">
        <f>L96/F96</f>
        <v>24.666666666666668</v>
      </c>
      <c r="N96" s="37">
        <v>1.5</v>
      </c>
      <c r="O96" s="98"/>
    </row>
    <row r="97" spans="1:15" ht="15.75" customHeight="1" x14ac:dyDescent="0.2">
      <c r="A97" s="108"/>
      <c r="B97" s="149" t="s">
        <v>383</v>
      </c>
      <c r="C97" s="110">
        <f t="shared" si="59"/>
        <v>35562</v>
      </c>
      <c r="D97" s="150" t="s">
        <v>84</v>
      </c>
      <c r="E97" s="150" t="s">
        <v>84</v>
      </c>
      <c r="F97" s="112">
        <v>4.0000000000000001E-3</v>
      </c>
      <c r="G97" s="151" t="s">
        <v>343</v>
      </c>
      <c r="H97" s="112">
        <v>0.09</v>
      </c>
      <c r="I97" s="112">
        <f t="shared" si="60"/>
        <v>9.4E-2</v>
      </c>
      <c r="J97" s="152" t="s">
        <v>395</v>
      </c>
      <c r="K97" s="113">
        <f t="shared" si="58"/>
        <v>4.0000000000000008E-2</v>
      </c>
      <c r="L97" s="112">
        <f>H97+0.044</f>
        <v>0.13400000000000001</v>
      </c>
      <c r="M97" s="114" t="s">
        <v>84</v>
      </c>
      <c r="N97" s="111" t="s">
        <v>84</v>
      </c>
      <c r="O97" s="115"/>
    </row>
    <row r="98" spans="1:15" ht="15.75" customHeight="1" x14ac:dyDescent="0.2">
      <c r="A98" s="85"/>
      <c r="B98" s="99" t="s">
        <v>396</v>
      </c>
      <c r="C98" s="100">
        <f t="shared" ref="C98:C99" si="61">DATE(97,6,3)</f>
        <v>35584</v>
      </c>
      <c r="D98" s="106">
        <v>32.700000000000003</v>
      </c>
      <c r="E98" s="106">
        <v>2.1</v>
      </c>
      <c r="F98" s="101">
        <v>7.0000000000000001E-3</v>
      </c>
      <c r="G98" s="148" t="s">
        <v>343</v>
      </c>
      <c r="H98" s="101">
        <v>9.0999999999999998E-2</v>
      </c>
      <c r="I98" s="101">
        <f>H98+0.002</f>
        <v>9.2999999999999999E-2</v>
      </c>
      <c r="J98" s="103">
        <f>0.11-0.006</f>
        <v>0.104</v>
      </c>
      <c r="K98" s="103">
        <f t="shared" si="58"/>
        <v>0.10200000000000001</v>
      </c>
      <c r="L98" s="101">
        <f t="shared" ref="L98:L103" si="62">H98+J98</f>
        <v>0.19500000000000001</v>
      </c>
      <c r="M98" s="39">
        <f>L98/F98</f>
        <v>27.857142857142858</v>
      </c>
      <c r="N98" s="37">
        <v>1.6</v>
      </c>
      <c r="O98" s="98"/>
    </row>
    <row r="99" spans="1:15" ht="15.75" customHeight="1" x14ac:dyDescent="0.2">
      <c r="A99" s="108"/>
      <c r="B99" s="149" t="s">
        <v>397</v>
      </c>
      <c r="C99" s="110">
        <f t="shared" si="61"/>
        <v>35584</v>
      </c>
      <c r="D99" s="150" t="s">
        <v>84</v>
      </c>
      <c r="E99" s="150" t="s">
        <v>84</v>
      </c>
      <c r="F99" s="112">
        <v>4.0000000000000001E-3</v>
      </c>
      <c r="G99" s="112">
        <v>6.0000000000000001E-3</v>
      </c>
      <c r="H99" s="112">
        <v>9.0999999999999998E-2</v>
      </c>
      <c r="I99" s="112">
        <f>H99+0.006</f>
        <v>9.7000000000000003E-2</v>
      </c>
      <c r="J99" s="113">
        <f>0.1-0.006</f>
        <v>9.4E-2</v>
      </c>
      <c r="K99" s="113">
        <f t="shared" si="58"/>
        <v>8.7999999999999995E-2</v>
      </c>
      <c r="L99" s="112">
        <f t="shared" si="62"/>
        <v>0.185</v>
      </c>
      <c r="M99" s="114" t="s">
        <v>84</v>
      </c>
      <c r="N99" s="111" t="s">
        <v>84</v>
      </c>
      <c r="O99" s="115"/>
    </row>
    <row r="100" spans="1:15" ht="15.75" customHeight="1" x14ac:dyDescent="0.2">
      <c r="A100" s="85"/>
      <c r="B100" s="99" t="s">
        <v>393</v>
      </c>
      <c r="C100" s="100">
        <f t="shared" ref="C100:C101" si="63">DATE(97,6,24)</f>
        <v>35605</v>
      </c>
      <c r="D100" s="106">
        <v>32</v>
      </c>
      <c r="E100" s="106">
        <v>5.7</v>
      </c>
      <c r="F100" s="101">
        <v>6.0000000000000001E-3</v>
      </c>
      <c r="G100" s="148" t="s">
        <v>343</v>
      </c>
      <c r="H100" s="101">
        <v>5.8000000000000003E-2</v>
      </c>
      <c r="I100" s="101">
        <f>H100+0.003</f>
        <v>6.1000000000000006E-2</v>
      </c>
      <c r="J100" s="103">
        <f>0.08-0.006</f>
        <v>7.3999999999999996E-2</v>
      </c>
      <c r="K100" s="103">
        <f t="shared" si="58"/>
        <v>7.1000000000000008E-2</v>
      </c>
      <c r="L100" s="101">
        <f t="shared" si="62"/>
        <v>0.13200000000000001</v>
      </c>
      <c r="M100" s="39">
        <f>L100/F100</f>
        <v>22</v>
      </c>
      <c r="N100" s="37">
        <v>1.9</v>
      </c>
      <c r="O100" s="98"/>
    </row>
    <row r="101" spans="1:15" ht="15.75" customHeight="1" x14ac:dyDescent="0.2">
      <c r="A101" s="108"/>
      <c r="B101" s="149" t="s">
        <v>383</v>
      </c>
      <c r="C101" s="110">
        <f t="shared" si="63"/>
        <v>35605</v>
      </c>
      <c r="D101" s="150" t="s">
        <v>84</v>
      </c>
      <c r="E101" s="150" t="s">
        <v>84</v>
      </c>
      <c r="F101" s="112">
        <v>6.0000000000000001E-3</v>
      </c>
      <c r="G101" s="151" t="s">
        <v>343</v>
      </c>
      <c r="H101" s="112">
        <v>0.10199999999999999</v>
      </c>
      <c r="I101" s="112">
        <f>H101+0.002</f>
        <v>0.104</v>
      </c>
      <c r="J101" s="113">
        <f>0.06-0.006</f>
        <v>5.3999999999999999E-2</v>
      </c>
      <c r="K101" s="113">
        <f t="shared" si="58"/>
        <v>5.2000000000000005E-2</v>
      </c>
      <c r="L101" s="112">
        <f t="shared" si="62"/>
        <v>0.156</v>
      </c>
      <c r="M101" s="114" t="s">
        <v>84</v>
      </c>
      <c r="N101" s="111" t="s">
        <v>84</v>
      </c>
      <c r="O101" s="115"/>
    </row>
    <row r="102" spans="1:15" ht="15.75" customHeight="1" x14ac:dyDescent="0.2">
      <c r="A102" s="85"/>
      <c r="B102" s="99" t="s">
        <v>82</v>
      </c>
      <c r="C102" s="100">
        <f t="shared" ref="C102:C103" si="64">DATE(97,7,16)</f>
        <v>35627</v>
      </c>
      <c r="D102" s="106">
        <v>31.7</v>
      </c>
      <c r="E102" s="106">
        <v>5.5</v>
      </c>
      <c r="F102" s="101">
        <v>3.0000000000000001E-3</v>
      </c>
      <c r="G102" s="148" t="s">
        <v>343</v>
      </c>
      <c r="H102" s="101">
        <v>3.2000000000000001E-2</v>
      </c>
      <c r="I102" s="101">
        <f>H102+0.001</f>
        <v>3.3000000000000002E-2</v>
      </c>
      <c r="J102" s="103">
        <f>0.11-0.006</f>
        <v>0.104</v>
      </c>
      <c r="K102" s="103">
        <f t="shared" si="58"/>
        <v>0.10300000000000001</v>
      </c>
      <c r="L102" s="101">
        <f t="shared" si="62"/>
        <v>0.13600000000000001</v>
      </c>
      <c r="M102" s="39">
        <f>L102/F102</f>
        <v>45.333333333333336</v>
      </c>
      <c r="N102" s="37">
        <v>2</v>
      </c>
      <c r="O102" s="98"/>
    </row>
    <row r="103" spans="1:15" ht="15.75" customHeight="1" x14ac:dyDescent="0.2">
      <c r="A103" s="108"/>
      <c r="B103" s="149" t="s">
        <v>262</v>
      </c>
      <c r="C103" s="110">
        <f t="shared" si="64"/>
        <v>35627</v>
      </c>
      <c r="D103" s="150" t="s">
        <v>84</v>
      </c>
      <c r="E103" s="150" t="s">
        <v>84</v>
      </c>
      <c r="F103" s="112">
        <v>3.0000000000000001E-3</v>
      </c>
      <c r="G103" s="112">
        <v>2.7E-2</v>
      </c>
      <c r="H103" s="112">
        <v>5.1999999999999998E-2</v>
      </c>
      <c r="I103" s="112">
        <f>H103+0.027</f>
        <v>7.9000000000000001E-2</v>
      </c>
      <c r="J103" s="113">
        <f>0.14-0.006</f>
        <v>0.13400000000000001</v>
      </c>
      <c r="K103" s="113">
        <f t="shared" si="58"/>
        <v>0.107</v>
      </c>
      <c r="L103" s="112">
        <f t="shared" si="62"/>
        <v>0.186</v>
      </c>
      <c r="M103" s="114" t="s">
        <v>84</v>
      </c>
      <c r="N103" s="111" t="s">
        <v>84</v>
      </c>
      <c r="O103" s="115"/>
    </row>
    <row r="104" spans="1:15" ht="15.75" customHeight="1" x14ac:dyDescent="0.2">
      <c r="A104" s="85"/>
      <c r="B104" s="99" t="s">
        <v>372</v>
      </c>
      <c r="C104" s="100">
        <f t="shared" ref="C104:C105" si="65">DATE(97,9,10)</f>
        <v>35683</v>
      </c>
      <c r="D104" s="106">
        <v>30.8</v>
      </c>
      <c r="E104" s="106">
        <v>6.5</v>
      </c>
      <c r="F104" s="101">
        <v>6.0000000000000001E-3</v>
      </c>
      <c r="G104" s="101">
        <v>5.0000000000000001E-3</v>
      </c>
      <c r="H104" s="148" t="s">
        <v>398</v>
      </c>
      <c r="I104" s="101">
        <f>0.005+0.005</f>
        <v>0.01</v>
      </c>
      <c r="J104" s="103">
        <f>0.07-0.006</f>
        <v>6.4000000000000001E-2</v>
      </c>
      <c r="K104" s="103">
        <f t="shared" si="58"/>
        <v>5.9000000000000004E-2</v>
      </c>
      <c r="L104" s="101">
        <f>0.005+J104</f>
        <v>6.9000000000000006E-2</v>
      </c>
      <c r="M104" s="39">
        <f>L104/F104</f>
        <v>11.5</v>
      </c>
      <c r="N104" s="37">
        <v>2</v>
      </c>
      <c r="O104" s="98"/>
    </row>
    <row r="105" spans="1:15" ht="15.75" customHeight="1" x14ac:dyDescent="0.2">
      <c r="A105" s="108"/>
      <c r="B105" s="149" t="s">
        <v>383</v>
      </c>
      <c r="C105" s="110">
        <f t="shared" si="65"/>
        <v>35683</v>
      </c>
      <c r="D105" s="150" t="s">
        <v>84</v>
      </c>
      <c r="E105" s="150" t="s">
        <v>84</v>
      </c>
      <c r="F105" s="112">
        <v>6.0000000000000001E-3</v>
      </c>
      <c r="G105" s="151" t="s">
        <v>343</v>
      </c>
      <c r="H105" s="112">
        <v>0.123</v>
      </c>
      <c r="I105" s="112">
        <f>H105+0.004</f>
        <v>0.127</v>
      </c>
      <c r="J105" s="152" t="s">
        <v>395</v>
      </c>
      <c r="K105" s="113">
        <f t="shared" si="58"/>
        <v>3.999999999999998E-2</v>
      </c>
      <c r="L105" s="112">
        <f>H105+0.044</f>
        <v>0.16699999999999998</v>
      </c>
      <c r="M105" s="114" t="s">
        <v>84</v>
      </c>
      <c r="N105" s="111" t="s">
        <v>84</v>
      </c>
      <c r="O105" s="115"/>
    </row>
    <row r="106" spans="1:15" ht="15.75" customHeight="1" x14ac:dyDescent="0.2">
      <c r="A106" s="85"/>
      <c r="B106" s="38"/>
      <c r="C106" s="36"/>
      <c r="D106" s="37"/>
      <c r="E106" s="37"/>
      <c r="F106" s="153"/>
      <c r="G106" s="101"/>
      <c r="H106" s="101"/>
      <c r="I106" s="101"/>
      <c r="J106" s="103"/>
      <c r="K106" s="103"/>
      <c r="L106" s="101"/>
      <c r="M106" s="39"/>
      <c r="N106" s="37"/>
      <c r="O106" s="98"/>
    </row>
    <row r="107" spans="1:15" ht="15.75" customHeight="1" x14ac:dyDescent="0.2">
      <c r="A107" s="85"/>
      <c r="B107" s="99" t="s">
        <v>399</v>
      </c>
      <c r="C107" s="100">
        <f t="shared" ref="C107:C108" si="66">DATE(98,4,8)</f>
        <v>35893</v>
      </c>
      <c r="D107" s="106">
        <v>30</v>
      </c>
      <c r="E107" s="106">
        <v>7.5</v>
      </c>
      <c r="F107" s="101">
        <v>4.0000000000000001E-3</v>
      </c>
      <c r="G107" s="101">
        <v>1.0999999999999999E-2</v>
      </c>
      <c r="H107" s="101">
        <v>6.0999999999999999E-2</v>
      </c>
      <c r="I107" s="101">
        <f t="shared" ref="I107:I111" si="67">G107+H107</f>
        <v>7.1999999999999995E-2</v>
      </c>
      <c r="J107" s="103">
        <v>0.09</v>
      </c>
      <c r="K107" s="103">
        <f t="shared" ref="K107:K116" si="68">L107-I107</f>
        <v>7.9000000000000001E-2</v>
      </c>
      <c r="L107" s="101">
        <f t="shared" ref="L107:L116" si="69">J107+H107</f>
        <v>0.151</v>
      </c>
      <c r="M107" s="39">
        <f>L107/F107</f>
        <v>37.75</v>
      </c>
      <c r="N107" s="106">
        <v>3</v>
      </c>
      <c r="O107" s="95"/>
    </row>
    <row r="108" spans="1:15" ht="15.75" customHeight="1" x14ac:dyDescent="0.2">
      <c r="A108" s="108"/>
      <c r="B108" s="149" t="s">
        <v>375</v>
      </c>
      <c r="C108" s="110">
        <f t="shared" si="66"/>
        <v>35893</v>
      </c>
      <c r="D108" s="150" t="s">
        <v>84</v>
      </c>
      <c r="E108" s="150" t="s">
        <v>84</v>
      </c>
      <c r="F108" s="112">
        <v>3.0000000000000001E-3</v>
      </c>
      <c r="G108" s="112">
        <v>1.6E-2</v>
      </c>
      <c r="H108" s="112">
        <v>0.06</v>
      </c>
      <c r="I108" s="112">
        <f t="shared" si="67"/>
        <v>7.5999999999999998E-2</v>
      </c>
      <c r="J108" s="113">
        <v>0.08</v>
      </c>
      <c r="K108" s="113">
        <f t="shared" si="68"/>
        <v>6.4000000000000015E-2</v>
      </c>
      <c r="L108" s="112">
        <f t="shared" si="69"/>
        <v>0.14000000000000001</v>
      </c>
      <c r="M108" s="114" t="s">
        <v>84</v>
      </c>
      <c r="N108" s="111" t="s">
        <v>84</v>
      </c>
      <c r="O108" s="154"/>
    </row>
    <row r="109" spans="1:15" ht="15.75" customHeight="1" x14ac:dyDescent="0.2">
      <c r="A109" s="85"/>
      <c r="B109" s="99" t="s">
        <v>393</v>
      </c>
      <c r="C109" s="100">
        <f t="shared" ref="C109:C110" si="70">DATE(98,4,28)</f>
        <v>35913</v>
      </c>
      <c r="D109" s="106">
        <v>31</v>
      </c>
      <c r="E109" s="106">
        <v>5.5</v>
      </c>
      <c r="F109" s="101">
        <v>4.0000000000000001E-3</v>
      </c>
      <c r="G109" s="101">
        <v>8.0000000000000002E-3</v>
      </c>
      <c r="H109" s="101">
        <v>7.9000000000000001E-2</v>
      </c>
      <c r="I109" s="101">
        <f t="shared" si="67"/>
        <v>8.6999999999999994E-2</v>
      </c>
      <c r="J109" s="103">
        <v>0.17</v>
      </c>
      <c r="K109" s="103">
        <f t="shared" si="68"/>
        <v>0.16200000000000001</v>
      </c>
      <c r="L109" s="101">
        <f t="shared" si="69"/>
        <v>0.249</v>
      </c>
      <c r="M109" s="39">
        <f>L109/F109</f>
        <v>62.25</v>
      </c>
      <c r="N109" s="106">
        <v>4.0999999999999996</v>
      </c>
      <c r="O109" s="95"/>
    </row>
    <row r="110" spans="1:15" ht="15.75" customHeight="1" x14ac:dyDescent="0.2">
      <c r="A110" s="108"/>
      <c r="B110" s="149" t="s">
        <v>375</v>
      </c>
      <c r="C110" s="110">
        <f t="shared" si="70"/>
        <v>35913</v>
      </c>
      <c r="D110" s="150" t="s">
        <v>84</v>
      </c>
      <c r="E110" s="150" t="s">
        <v>84</v>
      </c>
      <c r="F110" s="112">
        <v>4.0000000000000001E-3</v>
      </c>
      <c r="G110" s="112">
        <v>8.9999999999999993E-3</v>
      </c>
      <c r="H110" s="112">
        <v>6.2E-2</v>
      </c>
      <c r="I110" s="112">
        <f t="shared" si="67"/>
        <v>7.0999999999999994E-2</v>
      </c>
      <c r="J110" s="113">
        <v>0.08</v>
      </c>
      <c r="K110" s="113">
        <f t="shared" si="68"/>
        <v>7.1000000000000021E-2</v>
      </c>
      <c r="L110" s="112">
        <f t="shared" si="69"/>
        <v>0.14200000000000002</v>
      </c>
      <c r="M110" s="114" t="s">
        <v>84</v>
      </c>
      <c r="N110" s="111" t="s">
        <v>84</v>
      </c>
      <c r="O110" s="154"/>
    </row>
    <row r="111" spans="1:15" ht="15.75" customHeight="1" x14ac:dyDescent="0.2">
      <c r="A111" s="85"/>
      <c r="B111" s="99" t="s">
        <v>393</v>
      </c>
      <c r="C111" s="100">
        <f t="shared" ref="C111:C112" si="71">DATE(98,5,19)</f>
        <v>35934</v>
      </c>
      <c r="D111" s="106">
        <v>31</v>
      </c>
      <c r="E111" s="106">
        <v>4.3</v>
      </c>
      <c r="F111" s="101">
        <v>6.0000000000000001E-3</v>
      </c>
      <c r="G111" s="101">
        <v>1.2E-2</v>
      </c>
      <c r="H111" s="101">
        <v>0.1</v>
      </c>
      <c r="I111" s="101">
        <f t="shared" si="67"/>
        <v>0.112</v>
      </c>
      <c r="J111" s="103">
        <v>0.11</v>
      </c>
      <c r="K111" s="103">
        <f t="shared" si="68"/>
        <v>9.8000000000000018E-2</v>
      </c>
      <c r="L111" s="101">
        <f t="shared" si="69"/>
        <v>0.21000000000000002</v>
      </c>
      <c r="M111" s="39">
        <f>L111/F111</f>
        <v>35</v>
      </c>
      <c r="N111" s="106">
        <v>2.2000000000000002</v>
      </c>
      <c r="O111" s="95"/>
    </row>
    <row r="112" spans="1:15" ht="15.75" customHeight="1" x14ac:dyDescent="0.2">
      <c r="A112" s="108"/>
      <c r="B112" s="149" t="s">
        <v>375</v>
      </c>
      <c r="C112" s="110">
        <f t="shared" si="71"/>
        <v>35934</v>
      </c>
      <c r="D112" s="150" t="s">
        <v>84</v>
      </c>
      <c r="E112" s="150" t="s">
        <v>84</v>
      </c>
      <c r="F112" s="112">
        <v>5.0000000000000001E-3</v>
      </c>
      <c r="G112" s="151" t="s">
        <v>343</v>
      </c>
      <c r="H112" s="112">
        <v>7.0999999999999994E-2</v>
      </c>
      <c r="I112" s="112">
        <f>0.0025+H112</f>
        <v>7.3499999999999996E-2</v>
      </c>
      <c r="J112" s="113">
        <v>0.1</v>
      </c>
      <c r="K112" s="113">
        <f t="shared" si="68"/>
        <v>9.7499999999999989E-2</v>
      </c>
      <c r="L112" s="112">
        <f t="shared" si="69"/>
        <v>0.17099999999999999</v>
      </c>
      <c r="M112" s="114" t="s">
        <v>84</v>
      </c>
      <c r="N112" s="111" t="s">
        <v>84</v>
      </c>
      <c r="O112" s="154"/>
    </row>
    <row r="113" spans="1:15" ht="15.75" customHeight="1" x14ac:dyDescent="0.2">
      <c r="A113" s="85"/>
      <c r="B113" s="99" t="s">
        <v>82</v>
      </c>
      <c r="C113" s="100">
        <f t="shared" ref="C113:C114" si="72">DATE(98,7,7)</f>
        <v>35983</v>
      </c>
      <c r="D113" s="106">
        <v>30.7</v>
      </c>
      <c r="E113" s="106">
        <v>5.5</v>
      </c>
      <c r="F113" s="101">
        <v>3.0000000000000001E-3</v>
      </c>
      <c r="G113" s="104">
        <v>6.0000000000000001E-3</v>
      </c>
      <c r="H113" s="101">
        <v>2.7E-2</v>
      </c>
      <c r="I113" s="101">
        <f t="shared" ref="I113:I116" si="73">G113+H113</f>
        <v>3.3000000000000002E-2</v>
      </c>
      <c r="J113" s="103">
        <v>0.11</v>
      </c>
      <c r="K113" s="103">
        <f t="shared" si="68"/>
        <v>0.10400000000000001</v>
      </c>
      <c r="L113" s="101">
        <f t="shared" si="69"/>
        <v>0.13700000000000001</v>
      </c>
      <c r="M113" s="39">
        <f>L113/F113</f>
        <v>45.666666666666671</v>
      </c>
      <c r="N113" s="106">
        <v>4.5999999999999996</v>
      </c>
      <c r="O113" s="95"/>
    </row>
    <row r="114" spans="1:15" ht="15.75" customHeight="1" x14ac:dyDescent="0.2">
      <c r="A114" s="108"/>
      <c r="B114" s="149" t="s">
        <v>375</v>
      </c>
      <c r="C114" s="110">
        <f t="shared" si="72"/>
        <v>35983</v>
      </c>
      <c r="D114" s="150" t="s">
        <v>84</v>
      </c>
      <c r="E114" s="150" t="s">
        <v>84</v>
      </c>
      <c r="F114" s="112">
        <v>2E-3</v>
      </c>
      <c r="G114" s="112">
        <v>1.7000000000000001E-2</v>
      </c>
      <c r="H114" s="112">
        <v>9.0999999999999998E-2</v>
      </c>
      <c r="I114" s="112">
        <f t="shared" si="73"/>
        <v>0.108</v>
      </c>
      <c r="J114" s="113">
        <v>0.09</v>
      </c>
      <c r="K114" s="113">
        <f t="shared" si="68"/>
        <v>7.2999999999999995E-2</v>
      </c>
      <c r="L114" s="112">
        <f t="shared" si="69"/>
        <v>0.18099999999999999</v>
      </c>
      <c r="M114" s="114" t="s">
        <v>84</v>
      </c>
      <c r="N114" s="111" t="s">
        <v>84</v>
      </c>
      <c r="O114" s="154"/>
    </row>
    <row r="115" spans="1:15" ht="15.75" customHeight="1" x14ac:dyDescent="0.2">
      <c r="A115" s="85"/>
      <c r="B115" s="99" t="s">
        <v>400</v>
      </c>
      <c r="C115" s="100">
        <f t="shared" ref="C115:C116" si="74">DATE(98,7,28)</f>
        <v>36004</v>
      </c>
      <c r="D115" s="106">
        <v>30.5</v>
      </c>
      <c r="E115" s="106">
        <v>6.5</v>
      </c>
      <c r="F115" s="101">
        <v>4.0000000000000001E-3</v>
      </c>
      <c r="G115" s="101">
        <v>0.03</v>
      </c>
      <c r="H115" s="101">
        <v>2.7E-2</v>
      </c>
      <c r="I115" s="101">
        <f t="shared" si="73"/>
        <v>5.6999999999999995E-2</v>
      </c>
      <c r="J115" s="103">
        <v>0.25</v>
      </c>
      <c r="K115" s="103">
        <f t="shared" si="68"/>
        <v>0.22000000000000003</v>
      </c>
      <c r="L115" s="101">
        <f t="shared" si="69"/>
        <v>0.27700000000000002</v>
      </c>
      <c r="M115" s="39">
        <f>L115/F115</f>
        <v>69.25</v>
      </c>
      <c r="N115" s="106">
        <v>3.6</v>
      </c>
      <c r="O115" s="95"/>
    </row>
    <row r="116" spans="1:15" ht="15.75" customHeight="1" x14ac:dyDescent="0.2">
      <c r="A116" s="85"/>
      <c r="B116" s="155" t="s">
        <v>401</v>
      </c>
      <c r="C116" s="100">
        <f t="shared" si="74"/>
        <v>36004</v>
      </c>
      <c r="D116" s="156" t="s">
        <v>84</v>
      </c>
      <c r="E116" s="156" t="s">
        <v>84</v>
      </c>
      <c r="F116" s="101">
        <v>5.0000000000000001E-3</v>
      </c>
      <c r="G116" s="101">
        <v>2.1999999999999999E-2</v>
      </c>
      <c r="H116" s="101">
        <v>0.126</v>
      </c>
      <c r="I116" s="101">
        <f t="shared" si="73"/>
        <v>0.14799999999999999</v>
      </c>
      <c r="J116" s="103">
        <v>0.15</v>
      </c>
      <c r="K116" s="103">
        <f t="shared" si="68"/>
        <v>0.12800000000000003</v>
      </c>
      <c r="L116" s="101">
        <f t="shared" si="69"/>
        <v>0.27600000000000002</v>
      </c>
      <c r="M116" s="107" t="s">
        <v>84</v>
      </c>
      <c r="N116" s="106" t="s">
        <v>84</v>
      </c>
      <c r="O116" s="95"/>
    </row>
    <row r="117" spans="1:15" ht="15.75" customHeight="1" x14ac:dyDescent="0.2">
      <c r="A117" s="96"/>
      <c r="B117" s="157"/>
      <c r="C117" s="157"/>
      <c r="D117" s="158"/>
      <c r="E117" s="158"/>
      <c r="F117" s="159"/>
      <c r="G117" s="159"/>
      <c r="H117" s="159"/>
      <c r="I117" s="159"/>
      <c r="J117" s="129"/>
      <c r="K117" s="125"/>
      <c r="L117" s="123"/>
      <c r="M117" s="126"/>
      <c r="N117" s="127"/>
      <c r="O117" s="160"/>
    </row>
    <row r="118" spans="1:15" ht="15.75" customHeight="1" x14ac:dyDescent="0.2">
      <c r="A118" s="129"/>
      <c r="B118" s="157"/>
      <c r="C118" s="157"/>
      <c r="D118" s="37"/>
      <c r="E118" s="37"/>
      <c r="F118" s="101"/>
      <c r="G118" s="101"/>
      <c r="H118" s="101"/>
      <c r="I118" s="101"/>
      <c r="J118" s="103"/>
      <c r="K118" s="103"/>
      <c r="L118" s="101"/>
      <c r="M118" s="39"/>
      <c r="N118" s="37"/>
    </row>
    <row r="119" spans="1:15" ht="15.75" customHeight="1" x14ac:dyDescent="0.2">
      <c r="A119" s="85"/>
      <c r="D119" s="131"/>
      <c r="E119" s="131"/>
      <c r="F119" s="132"/>
      <c r="G119" s="132"/>
      <c r="H119" s="133" t="s">
        <v>319</v>
      </c>
      <c r="I119" s="132"/>
      <c r="J119" s="134"/>
      <c r="K119" s="134"/>
      <c r="L119" s="132"/>
      <c r="M119" s="135"/>
      <c r="N119" s="131"/>
      <c r="O119" s="89"/>
    </row>
    <row r="120" spans="1:15" ht="15.75" customHeight="1" x14ac:dyDescent="0.25">
      <c r="A120" s="85"/>
      <c r="D120" s="136" t="s">
        <v>321</v>
      </c>
      <c r="E120" s="136" t="s">
        <v>322</v>
      </c>
      <c r="F120" s="137"/>
      <c r="G120" s="138" t="s">
        <v>323</v>
      </c>
      <c r="H120" s="139" t="s">
        <v>402</v>
      </c>
      <c r="I120" s="138" t="s">
        <v>323</v>
      </c>
      <c r="J120" s="140"/>
      <c r="K120" s="141" t="s">
        <v>323</v>
      </c>
      <c r="L120" s="137"/>
      <c r="M120" s="142"/>
      <c r="N120" s="143"/>
      <c r="O120" s="95"/>
    </row>
    <row r="121" spans="1:15" ht="15.75" customHeight="1" x14ac:dyDescent="0.25">
      <c r="A121" s="85"/>
      <c r="B121" s="90" t="s">
        <v>325</v>
      </c>
      <c r="C121" s="91"/>
      <c r="D121" s="136" t="s">
        <v>52</v>
      </c>
      <c r="E121" s="136" t="s">
        <v>52</v>
      </c>
      <c r="F121" s="138" t="s">
        <v>326</v>
      </c>
      <c r="G121" s="138" t="s">
        <v>403</v>
      </c>
      <c r="H121" s="139" t="s">
        <v>404</v>
      </c>
      <c r="I121" s="138" t="s">
        <v>329</v>
      </c>
      <c r="J121" s="141" t="s">
        <v>330</v>
      </c>
      <c r="K121" s="141" t="s">
        <v>331</v>
      </c>
      <c r="L121" s="138" t="s">
        <v>332</v>
      </c>
      <c r="M121" s="142"/>
      <c r="N121" s="136" t="s">
        <v>333</v>
      </c>
      <c r="O121" s="95"/>
    </row>
    <row r="122" spans="1:15" ht="15.75" customHeight="1" x14ac:dyDescent="0.2">
      <c r="A122" s="96"/>
      <c r="B122" s="97" t="s">
        <v>334</v>
      </c>
      <c r="C122" s="91" t="s">
        <v>335</v>
      </c>
      <c r="D122" s="136" t="s">
        <v>336</v>
      </c>
      <c r="E122" s="136" t="s">
        <v>336</v>
      </c>
      <c r="F122" s="138" t="s">
        <v>337</v>
      </c>
      <c r="G122" s="138" t="s">
        <v>337</v>
      </c>
      <c r="H122" s="138" t="s">
        <v>337</v>
      </c>
      <c r="I122" s="138" t="s">
        <v>337</v>
      </c>
      <c r="J122" s="141" t="s">
        <v>337</v>
      </c>
      <c r="K122" s="141" t="s">
        <v>337</v>
      </c>
      <c r="L122" s="138" t="s">
        <v>337</v>
      </c>
      <c r="M122" s="144" t="s">
        <v>338</v>
      </c>
      <c r="N122" s="136" t="s">
        <v>339</v>
      </c>
      <c r="O122" s="95"/>
    </row>
    <row r="123" spans="1:15" ht="15.75" customHeight="1" x14ac:dyDescent="0.2">
      <c r="A123" s="85"/>
      <c r="B123" s="38"/>
      <c r="C123" s="86"/>
      <c r="D123" s="131"/>
      <c r="E123" s="131"/>
      <c r="F123" s="132"/>
      <c r="G123" s="132"/>
      <c r="H123" s="132"/>
      <c r="I123" s="132"/>
      <c r="J123" s="134"/>
      <c r="K123" s="134"/>
      <c r="L123" s="132"/>
      <c r="M123" s="135"/>
      <c r="N123" s="131"/>
      <c r="O123" s="89"/>
    </row>
    <row r="124" spans="1:15" ht="15.75" customHeight="1" x14ac:dyDescent="0.2">
      <c r="A124" s="85"/>
      <c r="B124" s="90" t="s">
        <v>405</v>
      </c>
      <c r="C124" s="36"/>
      <c r="D124" s="37"/>
      <c r="E124" s="37"/>
      <c r="F124" s="101"/>
      <c r="G124" s="101"/>
      <c r="H124" s="101"/>
      <c r="I124" s="101"/>
      <c r="J124" s="103"/>
      <c r="K124" s="103"/>
      <c r="L124" s="101"/>
      <c r="M124" s="39"/>
      <c r="N124" s="37"/>
      <c r="O124" s="95"/>
    </row>
    <row r="125" spans="1:15" ht="15.75" customHeight="1" x14ac:dyDescent="0.2">
      <c r="A125" s="85"/>
      <c r="B125" s="99" t="s">
        <v>399</v>
      </c>
      <c r="C125" s="100">
        <f t="shared" ref="C125:C126" si="75">DATE(98,8,25)</f>
        <v>36032</v>
      </c>
      <c r="D125" s="106">
        <v>30.6</v>
      </c>
      <c r="E125" s="106">
        <v>8</v>
      </c>
      <c r="F125" s="101">
        <v>8.0000000000000002E-3</v>
      </c>
      <c r="G125" s="101">
        <v>6.0000000000000001E-3</v>
      </c>
      <c r="H125" s="101">
        <v>1.4999999999999999E-2</v>
      </c>
      <c r="I125" s="101">
        <f>G125+H125</f>
        <v>2.0999999999999998E-2</v>
      </c>
      <c r="J125" s="103">
        <v>0.08</v>
      </c>
      <c r="K125" s="103">
        <f t="shared" ref="K125:K128" si="76">L125-I125</f>
        <v>7.400000000000001E-2</v>
      </c>
      <c r="L125" s="101">
        <f t="shared" ref="L125:L128" si="77">J125+H125</f>
        <v>9.5000000000000001E-2</v>
      </c>
      <c r="M125" s="39">
        <f>L125/F125</f>
        <v>11.875</v>
      </c>
      <c r="N125" s="106">
        <v>2.2000000000000002</v>
      </c>
      <c r="O125" s="95"/>
    </row>
    <row r="126" spans="1:15" ht="15.75" customHeight="1" x14ac:dyDescent="0.2">
      <c r="A126" s="108"/>
      <c r="B126" s="149" t="s">
        <v>375</v>
      </c>
      <c r="C126" s="110">
        <f t="shared" si="75"/>
        <v>36032</v>
      </c>
      <c r="D126" s="150" t="s">
        <v>84</v>
      </c>
      <c r="E126" s="150" t="s">
        <v>84</v>
      </c>
      <c r="F126" s="112">
        <v>8.0000000000000002E-3</v>
      </c>
      <c r="G126" s="151" t="s">
        <v>343</v>
      </c>
      <c r="H126" s="112">
        <v>0.14399999999999999</v>
      </c>
      <c r="I126" s="112">
        <f>0.0025+H126</f>
        <v>0.14649999999999999</v>
      </c>
      <c r="J126" s="113">
        <v>0.05</v>
      </c>
      <c r="K126" s="113">
        <f t="shared" si="76"/>
        <v>4.7500000000000014E-2</v>
      </c>
      <c r="L126" s="112">
        <f t="shared" si="77"/>
        <v>0.19400000000000001</v>
      </c>
      <c r="M126" s="114" t="s">
        <v>84</v>
      </c>
      <c r="N126" s="111" t="s">
        <v>84</v>
      </c>
      <c r="O126" s="154"/>
    </row>
    <row r="127" spans="1:15" ht="15.75" customHeight="1" x14ac:dyDescent="0.2">
      <c r="A127" s="85"/>
      <c r="B127" s="99" t="s">
        <v>372</v>
      </c>
      <c r="C127" s="100">
        <f t="shared" ref="C127:C128" si="78">DATE(98,9,22)</f>
        <v>36060</v>
      </c>
      <c r="D127" s="106">
        <v>30.5</v>
      </c>
      <c r="E127" s="106">
        <v>9.1</v>
      </c>
      <c r="F127" s="101">
        <v>6.0000000000000001E-3</v>
      </c>
      <c r="G127" s="101">
        <v>2.4E-2</v>
      </c>
      <c r="H127" s="101">
        <v>1.2999999999999999E-2</v>
      </c>
      <c r="I127" s="101">
        <f t="shared" ref="I127:I128" si="79">G127+H127</f>
        <v>3.6999999999999998E-2</v>
      </c>
      <c r="J127" s="103">
        <v>7.0000000000000007E-2</v>
      </c>
      <c r="K127" s="103">
        <f t="shared" si="76"/>
        <v>4.6000000000000006E-2</v>
      </c>
      <c r="L127" s="101">
        <f t="shared" si="77"/>
        <v>8.3000000000000004E-2</v>
      </c>
      <c r="M127" s="39">
        <f>L127/F127</f>
        <v>13.833333333333334</v>
      </c>
      <c r="N127" s="106">
        <v>1.6</v>
      </c>
      <c r="O127" s="95"/>
    </row>
    <row r="128" spans="1:15" ht="15.75" customHeight="1" x14ac:dyDescent="0.2">
      <c r="A128" s="108"/>
      <c r="B128" s="149" t="s">
        <v>375</v>
      </c>
      <c r="C128" s="110">
        <f t="shared" si="78"/>
        <v>36060</v>
      </c>
      <c r="D128" s="150" t="s">
        <v>84</v>
      </c>
      <c r="E128" s="150" t="s">
        <v>84</v>
      </c>
      <c r="F128" s="112">
        <v>6.0000000000000001E-3</v>
      </c>
      <c r="G128" s="112">
        <v>4.2999999999999997E-2</v>
      </c>
      <c r="H128" s="112">
        <v>0.15</v>
      </c>
      <c r="I128" s="112">
        <f t="shared" si="79"/>
        <v>0.193</v>
      </c>
      <c r="J128" s="113">
        <v>0.06</v>
      </c>
      <c r="K128" s="113">
        <f t="shared" si="76"/>
        <v>1.6999999999999987E-2</v>
      </c>
      <c r="L128" s="112">
        <f t="shared" si="77"/>
        <v>0.21</v>
      </c>
      <c r="M128" s="114" t="s">
        <v>84</v>
      </c>
      <c r="N128" s="111" t="s">
        <v>84</v>
      </c>
      <c r="O128" s="154"/>
    </row>
    <row r="129" spans="1:15" ht="15.75" customHeight="1" x14ac:dyDescent="0.2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7"/>
      <c r="O129" s="38"/>
    </row>
    <row r="130" spans="1:15" ht="15.75" customHeight="1" x14ac:dyDescent="0.2">
      <c r="A130" s="38"/>
      <c r="B130" s="38" t="s">
        <v>369</v>
      </c>
      <c r="C130" s="100">
        <f t="shared" ref="C130:C131" si="80">DATE(2,6,5)</f>
        <v>887</v>
      </c>
      <c r="D130" s="37">
        <v>32</v>
      </c>
      <c r="E130" s="38">
        <v>2.5</v>
      </c>
      <c r="F130" s="38">
        <v>4.0000000000000001E-3</v>
      </c>
      <c r="G130" s="38">
        <v>1.9E-2</v>
      </c>
      <c r="H130" s="101">
        <v>7.0000000000000007E-2</v>
      </c>
      <c r="I130" s="101">
        <f t="shared" ref="I130:I133" si="81">G130+H130</f>
        <v>8.900000000000001E-2</v>
      </c>
      <c r="J130" s="38">
        <v>0.18</v>
      </c>
      <c r="K130" s="103">
        <f t="shared" ref="K130:K135" si="82">L130-I130</f>
        <v>0.16099999999999998</v>
      </c>
      <c r="L130" s="101">
        <f t="shared" ref="L130:L135" si="83">J130+H130</f>
        <v>0.25</v>
      </c>
      <c r="M130" s="39">
        <f>L130/F130</f>
        <v>62.5</v>
      </c>
      <c r="N130" s="37">
        <v>1.9</v>
      </c>
      <c r="O130" s="38"/>
    </row>
    <row r="131" spans="1:15" ht="15.75" customHeight="1" x14ac:dyDescent="0.2">
      <c r="A131" s="161"/>
      <c r="B131" s="162">
        <v>31</v>
      </c>
      <c r="C131" s="110">
        <f t="shared" si="80"/>
        <v>887</v>
      </c>
      <c r="D131" s="150" t="s">
        <v>84</v>
      </c>
      <c r="E131" s="150" t="s">
        <v>84</v>
      </c>
      <c r="F131" s="151" t="s">
        <v>390</v>
      </c>
      <c r="G131" s="112">
        <v>1.9E-2</v>
      </c>
      <c r="H131" s="112">
        <v>7.2999999999999995E-2</v>
      </c>
      <c r="I131" s="112">
        <f t="shared" si="81"/>
        <v>9.1999999999999998E-2</v>
      </c>
      <c r="J131" s="113">
        <v>0.09</v>
      </c>
      <c r="K131" s="113">
        <f t="shared" si="82"/>
        <v>7.099999999999998E-2</v>
      </c>
      <c r="L131" s="112">
        <f t="shared" si="83"/>
        <v>0.16299999999999998</v>
      </c>
      <c r="M131" s="114" t="s">
        <v>84</v>
      </c>
      <c r="N131" s="111" t="s">
        <v>84</v>
      </c>
      <c r="O131" s="161"/>
    </row>
    <row r="132" spans="1:15" ht="15.75" customHeight="1" x14ac:dyDescent="0.2">
      <c r="A132" s="38"/>
      <c r="B132" s="38" t="s">
        <v>85</v>
      </c>
      <c r="C132" s="100">
        <f t="shared" ref="C132:C133" si="84">DATE(2,7,30)</f>
        <v>942</v>
      </c>
      <c r="D132" s="37">
        <v>30.4</v>
      </c>
      <c r="E132" s="38">
        <v>6.5</v>
      </c>
      <c r="F132" s="38">
        <v>4.0000000000000001E-3</v>
      </c>
      <c r="G132" s="38">
        <v>1.2999999999999999E-2</v>
      </c>
      <c r="H132" s="101">
        <v>1.7000000000000001E-2</v>
      </c>
      <c r="I132" s="101">
        <f t="shared" si="81"/>
        <v>0.03</v>
      </c>
      <c r="J132" s="38">
        <v>0.11</v>
      </c>
      <c r="K132" s="103">
        <f t="shared" si="82"/>
        <v>9.7000000000000003E-2</v>
      </c>
      <c r="L132" s="101">
        <f t="shared" si="83"/>
        <v>0.127</v>
      </c>
      <c r="M132" s="39">
        <f>L132/F132</f>
        <v>31.75</v>
      </c>
      <c r="N132" s="37">
        <v>3.1</v>
      </c>
      <c r="O132" s="38"/>
    </row>
    <row r="133" spans="1:15" ht="15.75" customHeight="1" x14ac:dyDescent="0.2">
      <c r="A133" s="38"/>
      <c r="B133" s="162">
        <v>29</v>
      </c>
      <c r="C133" s="110">
        <f t="shared" si="84"/>
        <v>942</v>
      </c>
      <c r="D133" s="150" t="s">
        <v>84</v>
      </c>
      <c r="E133" s="150" t="s">
        <v>84</v>
      </c>
      <c r="F133" s="116">
        <v>8.0000000000000002E-3</v>
      </c>
      <c r="G133" s="112">
        <v>1.7999999999999999E-2</v>
      </c>
      <c r="H133" s="112">
        <v>9.2999999999999999E-2</v>
      </c>
      <c r="I133" s="112">
        <f t="shared" si="81"/>
        <v>0.111</v>
      </c>
      <c r="J133" s="113">
        <v>0.1</v>
      </c>
      <c r="K133" s="113">
        <f t="shared" si="82"/>
        <v>8.2000000000000003E-2</v>
      </c>
      <c r="L133" s="112">
        <f t="shared" si="83"/>
        <v>0.193</v>
      </c>
      <c r="M133" s="114" t="s">
        <v>84</v>
      </c>
      <c r="N133" s="111" t="s">
        <v>84</v>
      </c>
      <c r="O133" s="38"/>
    </row>
    <row r="134" spans="1:15" ht="15.75" customHeight="1" x14ac:dyDescent="0.2">
      <c r="A134" s="38"/>
      <c r="B134" s="38" t="s">
        <v>400</v>
      </c>
      <c r="C134" s="100">
        <f t="shared" ref="C134:C135" si="85">DATE(2,9,26)</f>
        <v>1000</v>
      </c>
      <c r="D134" s="37">
        <v>30.4</v>
      </c>
      <c r="E134" s="38">
        <v>9.6</v>
      </c>
      <c r="F134" s="38">
        <v>4.0000000000000001E-3</v>
      </c>
      <c r="G134" s="163" t="s">
        <v>343</v>
      </c>
      <c r="H134" s="101">
        <v>6.0000000000000001E-3</v>
      </c>
      <c r="I134" s="101">
        <v>8.9999999999999993E-3</v>
      </c>
      <c r="J134" s="38">
        <v>7.0000000000000007E-2</v>
      </c>
      <c r="K134" s="103">
        <f t="shared" si="82"/>
        <v>6.7000000000000018E-2</v>
      </c>
      <c r="L134" s="101">
        <f t="shared" si="83"/>
        <v>7.6000000000000012E-2</v>
      </c>
      <c r="M134" s="39">
        <f>L134/F134</f>
        <v>19.000000000000004</v>
      </c>
      <c r="N134" s="37">
        <v>2</v>
      </c>
      <c r="O134" s="38"/>
    </row>
    <row r="135" spans="1:15" ht="15.75" customHeight="1" x14ac:dyDescent="0.2">
      <c r="A135" s="38"/>
      <c r="B135" s="162">
        <v>29</v>
      </c>
      <c r="C135" s="110">
        <f t="shared" si="85"/>
        <v>1000</v>
      </c>
      <c r="D135" s="150" t="s">
        <v>84</v>
      </c>
      <c r="E135" s="150" t="s">
        <v>84</v>
      </c>
      <c r="F135" s="116">
        <v>5.0000000000000001E-3</v>
      </c>
      <c r="G135" s="112">
        <v>2.1999999999999999E-2</v>
      </c>
      <c r="H135" s="112">
        <v>0.13100000000000001</v>
      </c>
      <c r="I135" s="112">
        <f>G135+H135</f>
        <v>0.153</v>
      </c>
      <c r="J135" s="113">
        <v>7.0000000000000007E-2</v>
      </c>
      <c r="K135" s="113">
        <f t="shared" si="82"/>
        <v>4.8000000000000015E-2</v>
      </c>
      <c r="L135" s="112">
        <f t="shared" si="83"/>
        <v>0.20100000000000001</v>
      </c>
      <c r="M135" s="114" t="s">
        <v>84</v>
      </c>
      <c r="N135" s="111" t="s">
        <v>84</v>
      </c>
      <c r="O135" s="38"/>
    </row>
    <row r="136" spans="1:15" ht="15.75" customHeight="1" x14ac:dyDescent="0.2">
      <c r="A136" s="38"/>
      <c r="B136" s="38"/>
      <c r="C136" s="36"/>
      <c r="D136" s="37"/>
      <c r="E136" s="37"/>
      <c r="F136" s="101"/>
      <c r="G136" s="101"/>
      <c r="H136" s="101"/>
      <c r="I136" s="101"/>
      <c r="J136" s="103"/>
      <c r="K136" s="103"/>
      <c r="L136" s="101"/>
      <c r="M136" s="39"/>
      <c r="N136" s="37"/>
      <c r="O136" s="38"/>
    </row>
    <row r="137" spans="1:15" ht="15.75" customHeight="1" x14ac:dyDescent="0.2">
      <c r="A137" s="38"/>
      <c r="B137" s="38"/>
      <c r="C137" s="36"/>
      <c r="D137" s="37"/>
      <c r="E137" s="37"/>
      <c r="F137" s="101"/>
      <c r="G137" s="101"/>
      <c r="H137" s="101"/>
      <c r="I137" s="101"/>
      <c r="J137" s="103"/>
      <c r="K137" s="103"/>
      <c r="L137" s="101"/>
      <c r="M137" s="39"/>
      <c r="N137" s="37"/>
      <c r="O137" s="38"/>
    </row>
    <row r="138" spans="1:15" ht="15.75" customHeight="1" x14ac:dyDescent="0.2">
      <c r="A138" s="38"/>
      <c r="B138" s="38"/>
      <c r="C138" s="36"/>
      <c r="D138" s="37"/>
      <c r="E138" s="37"/>
      <c r="F138" s="101"/>
      <c r="G138" s="101"/>
      <c r="H138" s="101"/>
      <c r="I138" s="101"/>
      <c r="J138" s="103"/>
      <c r="K138" s="103"/>
      <c r="L138" s="101"/>
      <c r="M138" s="39"/>
      <c r="N138" s="37"/>
      <c r="O138" s="38"/>
    </row>
    <row r="139" spans="1:15" ht="15.75" customHeight="1" x14ac:dyDescent="0.2">
      <c r="A139" s="38"/>
      <c r="B139" s="38"/>
      <c r="C139" s="36"/>
      <c r="D139" s="37"/>
      <c r="E139" s="37"/>
      <c r="F139" s="101"/>
      <c r="G139" s="101"/>
      <c r="H139" s="101"/>
      <c r="I139" s="101"/>
      <c r="J139" s="103"/>
      <c r="K139" s="103"/>
      <c r="L139" s="101"/>
      <c r="M139" s="39"/>
      <c r="N139" s="37"/>
      <c r="O139" s="38"/>
    </row>
    <row r="140" spans="1:15" ht="15.75" customHeight="1" x14ac:dyDescent="0.2">
      <c r="A140" s="38"/>
      <c r="B140" s="38"/>
      <c r="C140" s="36"/>
      <c r="D140" s="37"/>
      <c r="E140" s="37"/>
      <c r="F140" s="101"/>
      <c r="G140" s="101"/>
      <c r="H140" s="101"/>
      <c r="I140" s="101"/>
      <c r="J140" s="103"/>
      <c r="K140" s="103"/>
      <c r="L140" s="101"/>
      <c r="M140" s="39"/>
      <c r="N140" s="37"/>
      <c r="O140" s="38"/>
    </row>
    <row r="141" spans="1:15" ht="15.75" customHeight="1" x14ac:dyDescent="0.2">
      <c r="A141" s="38"/>
      <c r="B141" s="38"/>
      <c r="C141" s="36"/>
      <c r="D141" s="37"/>
      <c r="E141" s="37"/>
      <c r="F141" s="101"/>
      <c r="G141" s="101"/>
      <c r="H141" s="101"/>
      <c r="I141" s="101"/>
      <c r="J141" s="103"/>
      <c r="K141" s="103"/>
      <c r="L141" s="101"/>
      <c r="M141" s="39"/>
      <c r="N141" s="37"/>
      <c r="O141" s="38"/>
    </row>
    <row r="142" spans="1:15" ht="15.75" customHeight="1" x14ac:dyDescent="0.2">
      <c r="A142" s="38"/>
      <c r="B142" s="38"/>
      <c r="C142" s="36"/>
      <c r="D142" s="37"/>
      <c r="E142" s="37"/>
      <c r="F142" s="101"/>
      <c r="G142" s="101"/>
      <c r="H142" s="101"/>
      <c r="I142" s="101"/>
      <c r="J142" s="103"/>
      <c r="K142" s="103"/>
      <c r="L142" s="101"/>
      <c r="M142" s="39"/>
      <c r="N142" s="37"/>
      <c r="O142" s="38"/>
    </row>
    <row r="143" spans="1:15" ht="15.75" customHeight="1" x14ac:dyDescent="0.2">
      <c r="A143" s="38"/>
      <c r="B143" s="38"/>
      <c r="C143" s="36"/>
      <c r="D143" s="37"/>
      <c r="E143" s="37"/>
      <c r="F143" s="101"/>
      <c r="G143" s="101"/>
      <c r="H143" s="101"/>
      <c r="I143" s="101"/>
      <c r="J143" s="103"/>
      <c r="K143" s="103"/>
      <c r="L143" s="101"/>
      <c r="M143" s="39"/>
      <c r="N143" s="37"/>
      <c r="O143" s="38"/>
    </row>
    <row r="144" spans="1:15" ht="15.75" customHeight="1" x14ac:dyDescent="0.2">
      <c r="A144" s="38"/>
      <c r="B144" s="38"/>
      <c r="C144" s="36"/>
      <c r="D144" s="37"/>
      <c r="E144" s="37"/>
      <c r="F144" s="101"/>
      <c r="G144" s="101"/>
      <c r="H144" s="101"/>
      <c r="I144" s="101"/>
      <c r="J144" s="103"/>
      <c r="K144" s="103"/>
      <c r="L144" s="101"/>
      <c r="M144" s="39"/>
      <c r="N144" s="37"/>
      <c r="O144" s="38"/>
    </row>
    <row r="145" spans="1:15" ht="15.75" customHeight="1" x14ac:dyDescent="0.2">
      <c r="A145" s="38"/>
      <c r="B145" s="38"/>
      <c r="C145" s="36"/>
      <c r="D145" s="37"/>
      <c r="E145" s="37"/>
      <c r="F145" s="101"/>
      <c r="G145" s="101"/>
      <c r="H145" s="101"/>
      <c r="I145" s="101"/>
      <c r="J145" s="103"/>
      <c r="K145" s="103"/>
      <c r="L145" s="101"/>
      <c r="M145" s="39"/>
      <c r="N145" s="37"/>
      <c r="O145" s="38"/>
    </row>
    <row r="146" spans="1:15" ht="15.75" customHeight="1" x14ac:dyDescent="0.2">
      <c r="A146" s="38"/>
      <c r="B146" s="38"/>
      <c r="C146" s="36"/>
      <c r="D146" s="37"/>
      <c r="E146" s="37"/>
      <c r="F146" s="101"/>
      <c r="G146" s="101"/>
      <c r="H146" s="101"/>
      <c r="I146" s="101"/>
      <c r="J146" s="103"/>
      <c r="K146" s="103"/>
      <c r="L146" s="101"/>
      <c r="M146" s="39"/>
      <c r="N146" s="37"/>
      <c r="O146" s="38"/>
    </row>
    <row r="147" spans="1:15" ht="15.75" customHeight="1" x14ac:dyDescent="0.2">
      <c r="A147" s="38"/>
      <c r="B147" s="38"/>
      <c r="C147" s="36"/>
      <c r="D147" s="37"/>
      <c r="E147" s="37"/>
      <c r="F147" s="101"/>
      <c r="G147" s="101"/>
      <c r="H147" s="101"/>
      <c r="I147" s="101"/>
      <c r="J147" s="103"/>
      <c r="K147" s="103"/>
      <c r="L147" s="101"/>
      <c r="M147" s="39"/>
      <c r="N147" s="37"/>
      <c r="O147" s="38"/>
    </row>
    <row r="148" spans="1:15" ht="15.75" customHeight="1" x14ac:dyDescent="0.2">
      <c r="A148" s="38"/>
      <c r="B148" s="38"/>
      <c r="C148" s="36"/>
      <c r="D148" s="37"/>
      <c r="E148" s="37"/>
      <c r="F148" s="101"/>
      <c r="G148" s="101"/>
      <c r="H148" s="101"/>
      <c r="I148" s="101"/>
      <c r="J148" s="103"/>
      <c r="K148" s="103"/>
      <c r="L148" s="101"/>
      <c r="M148" s="39"/>
      <c r="N148" s="37"/>
      <c r="O148" s="38"/>
    </row>
    <row r="149" spans="1:15" ht="15.75" customHeight="1" x14ac:dyDescent="0.2">
      <c r="A149" s="38"/>
      <c r="B149" s="38"/>
      <c r="C149" s="36"/>
      <c r="D149" s="37"/>
      <c r="E149" s="37"/>
      <c r="F149" s="101"/>
      <c r="G149" s="101"/>
      <c r="H149" s="101"/>
      <c r="I149" s="101"/>
      <c r="J149" s="103"/>
      <c r="K149" s="103"/>
      <c r="L149" s="101"/>
      <c r="M149" s="39"/>
      <c r="N149" s="37"/>
      <c r="O149" s="38"/>
    </row>
    <row r="150" spans="1:15" ht="15.75" customHeight="1" x14ac:dyDescent="0.2">
      <c r="A150" s="38"/>
      <c r="B150" s="38"/>
      <c r="C150" s="36"/>
      <c r="D150" s="37"/>
      <c r="E150" s="37"/>
      <c r="F150" s="101"/>
      <c r="G150" s="101"/>
      <c r="H150" s="101"/>
      <c r="I150" s="101"/>
      <c r="J150" s="103"/>
      <c r="K150" s="103"/>
      <c r="L150" s="101"/>
      <c r="M150" s="39"/>
      <c r="N150" s="37"/>
      <c r="O150" s="38"/>
    </row>
    <row r="151" spans="1:15" ht="15.75" customHeight="1" x14ac:dyDescent="0.2">
      <c r="A151" s="38"/>
      <c r="B151" s="38"/>
      <c r="C151" s="36"/>
      <c r="D151" s="37"/>
      <c r="E151" s="37"/>
      <c r="F151" s="101"/>
      <c r="G151" s="101"/>
      <c r="H151" s="139"/>
      <c r="I151" s="101"/>
      <c r="J151" s="103"/>
      <c r="K151" s="103"/>
      <c r="L151" s="101"/>
      <c r="M151" s="39"/>
      <c r="N151" s="37"/>
      <c r="O151" s="38"/>
    </row>
    <row r="152" spans="1:15" ht="15.75" customHeight="1" x14ac:dyDescent="0.2">
      <c r="A152" s="38"/>
      <c r="B152" s="90"/>
      <c r="C152" s="91"/>
      <c r="D152" s="136"/>
      <c r="E152" s="136"/>
      <c r="F152" s="137"/>
      <c r="G152" s="138"/>
      <c r="H152" s="139"/>
      <c r="I152" s="138"/>
      <c r="J152" s="140"/>
      <c r="K152" s="141"/>
      <c r="L152" s="137"/>
      <c r="M152" s="142"/>
      <c r="N152" s="143"/>
      <c r="O152" s="38"/>
    </row>
    <row r="153" spans="1:15" ht="15.75" customHeight="1" x14ac:dyDescent="0.2">
      <c r="A153" s="38"/>
      <c r="B153" s="90"/>
      <c r="C153" s="91"/>
      <c r="D153" s="136"/>
      <c r="E153" s="136"/>
      <c r="F153" s="138"/>
      <c r="G153" s="138"/>
      <c r="H153" s="139"/>
      <c r="I153" s="138"/>
      <c r="J153" s="141"/>
      <c r="K153" s="141"/>
      <c r="L153" s="138"/>
      <c r="M153" s="142"/>
      <c r="N153" s="136"/>
      <c r="O153" s="38"/>
    </row>
    <row r="154" spans="1:15" ht="15.75" customHeight="1" x14ac:dyDescent="0.2">
      <c r="A154" s="38"/>
      <c r="B154" s="90"/>
      <c r="C154" s="91"/>
      <c r="D154" s="136"/>
      <c r="E154" s="136"/>
      <c r="F154" s="138"/>
      <c r="G154" s="138"/>
      <c r="H154" s="138"/>
      <c r="I154" s="138"/>
      <c r="J154" s="141"/>
      <c r="K154" s="141"/>
      <c r="L154" s="138"/>
      <c r="M154" s="144"/>
      <c r="N154" s="136"/>
      <c r="O154" s="38"/>
    </row>
    <row r="155" spans="1:15" ht="15.75" customHeight="1" x14ac:dyDescent="0.2">
      <c r="A155" s="38"/>
      <c r="C155" s="3"/>
      <c r="D155" s="13"/>
      <c r="E155" s="13"/>
      <c r="F155" s="153"/>
      <c r="G155" s="153"/>
      <c r="H155" s="153"/>
      <c r="I155" s="153"/>
      <c r="J155" s="14"/>
      <c r="K155" s="14"/>
      <c r="L155" s="153"/>
      <c r="M155" s="33"/>
      <c r="N155" s="13"/>
    </row>
    <row r="156" spans="1:15" ht="15.75" customHeight="1" x14ac:dyDescent="0.2">
      <c r="A156" s="38"/>
      <c r="C156" s="3"/>
      <c r="D156" s="13"/>
      <c r="E156" s="13"/>
      <c r="F156" s="153"/>
      <c r="G156" s="153"/>
      <c r="H156" s="153"/>
      <c r="I156" s="153"/>
      <c r="J156" s="14"/>
      <c r="K156" s="14"/>
      <c r="L156" s="153"/>
      <c r="M156" s="33"/>
      <c r="N156" s="13"/>
    </row>
    <row r="157" spans="1:15" ht="15.75" customHeight="1" x14ac:dyDescent="0.2">
      <c r="A157" s="38"/>
      <c r="C157" s="3"/>
      <c r="D157" s="13"/>
      <c r="E157" s="13"/>
      <c r="F157" s="153"/>
      <c r="G157" s="153"/>
      <c r="H157" s="153"/>
      <c r="I157" s="153"/>
      <c r="J157" s="14"/>
      <c r="K157" s="14"/>
      <c r="L157" s="153"/>
      <c r="M157" s="33"/>
      <c r="N157" s="13"/>
    </row>
    <row r="158" spans="1:15" ht="15.75" customHeight="1" x14ac:dyDescent="0.2">
      <c r="A158" s="164"/>
      <c r="B158" s="87"/>
      <c r="C158" s="86"/>
      <c r="D158" s="131"/>
      <c r="E158" s="131"/>
      <c r="F158" s="132"/>
      <c r="G158" s="132"/>
      <c r="H158" s="133" t="s">
        <v>319</v>
      </c>
      <c r="I158" s="132"/>
      <c r="J158" s="134"/>
      <c r="K158" s="134"/>
      <c r="L158" s="132"/>
      <c r="M158" s="135"/>
      <c r="N158" s="131"/>
      <c r="O158" s="89"/>
    </row>
    <row r="159" spans="1:15" ht="15.75" customHeight="1" x14ac:dyDescent="0.25">
      <c r="A159" s="85"/>
      <c r="B159" s="90" t="s">
        <v>320</v>
      </c>
      <c r="C159" s="91"/>
      <c r="D159" s="136" t="s">
        <v>321</v>
      </c>
      <c r="E159" s="136" t="s">
        <v>322</v>
      </c>
      <c r="F159" s="137"/>
      <c r="G159" s="138" t="s">
        <v>323</v>
      </c>
      <c r="H159" s="139" t="s">
        <v>406</v>
      </c>
      <c r="I159" s="138" t="s">
        <v>323</v>
      </c>
      <c r="J159" s="140"/>
      <c r="K159" s="141" t="s">
        <v>323</v>
      </c>
      <c r="L159" s="137"/>
      <c r="M159" s="142"/>
      <c r="N159" s="143"/>
      <c r="O159" s="95"/>
    </row>
    <row r="160" spans="1:15" ht="15.75" customHeight="1" x14ac:dyDescent="0.25">
      <c r="A160" s="85"/>
      <c r="B160" s="90" t="s">
        <v>325</v>
      </c>
      <c r="C160" s="91"/>
      <c r="D160" s="136" t="s">
        <v>52</v>
      </c>
      <c r="E160" s="136" t="s">
        <v>52</v>
      </c>
      <c r="F160" s="138" t="s">
        <v>326</v>
      </c>
      <c r="G160" s="138" t="s">
        <v>407</v>
      </c>
      <c r="H160" s="139" t="s">
        <v>408</v>
      </c>
      <c r="I160" s="138" t="s">
        <v>329</v>
      </c>
      <c r="J160" s="141" t="s">
        <v>330</v>
      </c>
      <c r="K160" s="141" t="s">
        <v>331</v>
      </c>
      <c r="L160" s="138" t="s">
        <v>332</v>
      </c>
      <c r="M160" s="142"/>
      <c r="N160" s="136" t="s">
        <v>333</v>
      </c>
      <c r="O160" s="95"/>
    </row>
    <row r="161" spans="1:15" ht="15.75" customHeight="1" x14ac:dyDescent="0.2">
      <c r="A161" s="96"/>
      <c r="B161" s="97" t="s">
        <v>334</v>
      </c>
      <c r="C161" s="165" t="s">
        <v>335</v>
      </c>
      <c r="D161" s="166" t="s">
        <v>336</v>
      </c>
      <c r="E161" s="166" t="s">
        <v>336</v>
      </c>
      <c r="F161" s="167" t="s">
        <v>337</v>
      </c>
      <c r="G161" s="167" t="s">
        <v>337</v>
      </c>
      <c r="H161" s="167" t="s">
        <v>337</v>
      </c>
      <c r="I161" s="167" t="s">
        <v>337</v>
      </c>
      <c r="J161" s="168" t="s">
        <v>337</v>
      </c>
      <c r="K161" s="168" t="s">
        <v>337</v>
      </c>
      <c r="L161" s="167" t="s">
        <v>337</v>
      </c>
      <c r="M161" s="169" t="s">
        <v>338</v>
      </c>
      <c r="N161" s="166" t="s">
        <v>339</v>
      </c>
      <c r="O161" s="160"/>
    </row>
    <row r="162" spans="1:15" ht="15.75" customHeight="1" x14ac:dyDescent="0.2">
      <c r="A162" s="85"/>
      <c r="C162" s="3"/>
      <c r="D162" s="13"/>
      <c r="E162" s="13"/>
      <c r="F162" s="153"/>
      <c r="G162" s="153"/>
      <c r="H162" s="153"/>
      <c r="I162" s="153"/>
      <c r="J162" s="14"/>
      <c r="K162" s="14"/>
      <c r="L162" s="153"/>
      <c r="M162" s="33"/>
      <c r="N162" s="13"/>
      <c r="O162" s="98"/>
    </row>
    <row r="163" spans="1:15" ht="15.75" customHeight="1" x14ac:dyDescent="0.2">
      <c r="A163" s="85"/>
      <c r="B163" s="90" t="s">
        <v>409</v>
      </c>
      <c r="C163" s="38"/>
      <c r="D163" s="37"/>
      <c r="E163" s="37"/>
      <c r="F163" s="101"/>
      <c r="G163" s="101"/>
      <c r="H163" s="101"/>
      <c r="I163" s="101"/>
      <c r="J163" s="103"/>
      <c r="K163" s="103"/>
      <c r="L163" s="101"/>
      <c r="M163" s="39"/>
      <c r="N163" s="37"/>
      <c r="O163" s="98"/>
    </row>
    <row r="164" spans="1:15" ht="15.75" customHeight="1" x14ac:dyDescent="0.2">
      <c r="A164" s="85"/>
      <c r="B164" s="38"/>
      <c r="C164" s="170"/>
      <c r="D164" s="37"/>
      <c r="E164" s="37"/>
      <c r="F164" s="101"/>
      <c r="G164" s="101"/>
      <c r="H164" s="101"/>
      <c r="I164" s="101"/>
      <c r="J164" s="103"/>
      <c r="K164" s="103"/>
      <c r="L164" s="101"/>
      <c r="M164" s="39"/>
      <c r="N164" s="37"/>
      <c r="O164" s="98"/>
    </row>
    <row r="165" spans="1:15" ht="15.75" customHeight="1" x14ac:dyDescent="0.2">
      <c r="A165" s="85"/>
      <c r="B165" s="99" t="s">
        <v>347</v>
      </c>
      <c r="C165" s="100">
        <f>DATE(94,3,30)</f>
        <v>34423</v>
      </c>
      <c r="D165" s="37">
        <v>12</v>
      </c>
      <c r="E165" s="37">
        <v>7.9</v>
      </c>
      <c r="F165" s="101">
        <v>4.0000000000000001E-3</v>
      </c>
      <c r="G165" s="101">
        <f>0.016-0.008</f>
        <v>8.0000000000000002E-3</v>
      </c>
      <c r="H165" s="101">
        <v>3.6999999999999998E-2</v>
      </c>
      <c r="I165" s="101">
        <f>0.008+0.037</f>
        <v>4.4999999999999998E-2</v>
      </c>
      <c r="J165" s="102" t="s">
        <v>341</v>
      </c>
      <c r="K165" s="103">
        <f t="shared" ref="K165:K173" si="86">L165-I165</f>
        <v>1.1999999999999997E-2</v>
      </c>
      <c r="L165" s="101">
        <f>0.02+0.037</f>
        <v>5.6999999999999995E-2</v>
      </c>
      <c r="M165" s="39">
        <f t="shared" ref="M165:M173" si="87">L165/F165</f>
        <v>14.249999999999998</v>
      </c>
      <c r="N165" s="37">
        <v>3.2</v>
      </c>
      <c r="O165" s="98"/>
    </row>
    <row r="166" spans="1:15" ht="15.75" customHeight="1" x14ac:dyDescent="0.2">
      <c r="A166" s="85"/>
      <c r="B166" s="99" t="s">
        <v>92</v>
      </c>
      <c r="C166" s="100">
        <f>DATE(94,4,26)</f>
        <v>34450</v>
      </c>
      <c r="D166" s="37">
        <v>11.2</v>
      </c>
      <c r="E166" s="37">
        <v>4.4000000000000004</v>
      </c>
      <c r="F166" s="101">
        <v>7.0000000000000001E-3</v>
      </c>
      <c r="G166" s="101">
        <f>0.018-0.008</f>
        <v>9.9999999999999985E-3</v>
      </c>
      <c r="H166" s="101">
        <v>8.4000000000000005E-2</v>
      </c>
      <c r="I166" s="101">
        <f>0.01+0.084</f>
        <v>9.4E-2</v>
      </c>
      <c r="J166" s="103">
        <f>0.07-0.01</f>
        <v>6.0000000000000005E-2</v>
      </c>
      <c r="K166" s="103">
        <f t="shared" si="86"/>
        <v>5.0000000000000017E-2</v>
      </c>
      <c r="L166" s="101">
        <f t="shared" ref="L166:L170" si="88">J166+H166</f>
        <v>0.14400000000000002</v>
      </c>
      <c r="M166" s="39">
        <f t="shared" si="87"/>
        <v>20.571428571428573</v>
      </c>
      <c r="N166" s="37">
        <v>1</v>
      </c>
      <c r="O166" s="98"/>
    </row>
    <row r="167" spans="1:15" ht="15.75" customHeight="1" x14ac:dyDescent="0.2">
      <c r="A167" s="85"/>
      <c r="B167" s="99" t="s">
        <v>410</v>
      </c>
      <c r="C167" s="100">
        <f>DATE(94,5,18)</f>
        <v>34472</v>
      </c>
      <c r="D167" s="37">
        <v>12.2</v>
      </c>
      <c r="E167" s="37">
        <v>5.5</v>
      </c>
      <c r="F167" s="101">
        <v>4.0000000000000001E-3</v>
      </c>
      <c r="G167" s="104" t="s">
        <v>343</v>
      </c>
      <c r="H167" s="101">
        <v>6.2E-2</v>
      </c>
      <c r="I167" s="101">
        <f>0.003+0.062</f>
        <v>6.5000000000000002E-2</v>
      </c>
      <c r="J167" s="103">
        <f>0.19-0.01</f>
        <v>0.18</v>
      </c>
      <c r="K167" s="103">
        <f t="shared" si="86"/>
        <v>0.17699999999999999</v>
      </c>
      <c r="L167" s="101">
        <f t="shared" si="88"/>
        <v>0.24199999999999999</v>
      </c>
      <c r="M167" s="39">
        <f t="shared" si="87"/>
        <v>60.5</v>
      </c>
      <c r="N167" s="37">
        <v>0.7</v>
      </c>
      <c r="O167" s="98"/>
    </row>
    <row r="168" spans="1:15" ht="15.75" customHeight="1" x14ac:dyDescent="0.2">
      <c r="A168" s="85"/>
      <c r="B168" s="99" t="s">
        <v>347</v>
      </c>
      <c r="C168" s="100">
        <f>DATE(94,6,2)</f>
        <v>34487</v>
      </c>
      <c r="D168" s="37">
        <v>11.7</v>
      </c>
      <c r="E168" s="37">
        <v>7.3</v>
      </c>
      <c r="F168" s="101">
        <v>6.0000000000000001E-3</v>
      </c>
      <c r="G168" s="104" t="s">
        <v>343</v>
      </c>
      <c r="H168" s="101">
        <v>3.2000000000000001E-2</v>
      </c>
      <c r="I168" s="101">
        <f>0.002+0.032</f>
        <v>3.4000000000000002E-2</v>
      </c>
      <c r="J168" s="103">
        <f>0.06-0.01</f>
        <v>4.9999999999999996E-2</v>
      </c>
      <c r="K168" s="103">
        <f t="shared" si="86"/>
        <v>4.7999999999999987E-2</v>
      </c>
      <c r="L168" s="101">
        <f t="shared" si="88"/>
        <v>8.199999999999999E-2</v>
      </c>
      <c r="M168" s="39">
        <f t="shared" si="87"/>
        <v>13.666666666666664</v>
      </c>
      <c r="N168" s="37">
        <v>2.2999999999999998</v>
      </c>
      <c r="O168" s="98"/>
    </row>
    <row r="169" spans="1:15" ht="15.75" customHeight="1" x14ac:dyDescent="0.2">
      <c r="A169" s="85"/>
      <c r="B169" s="99" t="s">
        <v>347</v>
      </c>
      <c r="C169" s="100">
        <f>DATE(94,6,21)</f>
        <v>34506</v>
      </c>
      <c r="D169" s="37">
        <v>12</v>
      </c>
      <c r="E169" s="37">
        <v>8.1</v>
      </c>
      <c r="F169" s="101">
        <v>4.0000000000000001E-3</v>
      </c>
      <c r="G169" s="101">
        <f>0.015-0.008</f>
        <v>6.9999999999999993E-3</v>
      </c>
      <c r="H169" s="101">
        <v>2.1999999999999999E-2</v>
      </c>
      <c r="I169" s="101">
        <f>0.007+0.022</f>
        <v>2.8999999999999998E-2</v>
      </c>
      <c r="J169" s="103">
        <f>0.12-0.01</f>
        <v>0.11</v>
      </c>
      <c r="K169" s="103">
        <f t="shared" si="86"/>
        <v>0.10300000000000001</v>
      </c>
      <c r="L169" s="101">
        <f t="shared" si="88"/>
        <v>0.13200000000000001</v>
      </c>
      <c r="M169" s="39">
        <f t="shared" si="87"/>
        <v>33</v>
      </c>
      <c r="N169" s="37">
        <v>1.6</v>
      </c>
      <c r="O169" s="98"/>
    </row>
    <row r="170" spans="1:15" ht="15.75" customHeight="1" x14ac:dyDescent="0.2">
      <c r="A170" s="85"/>
      <c r="B170" s="99" t="s">
        <v>347</v>
      </c>
      <c r="C170" s="100">
        <f>DATE(94,7,12)</f>
        <v>34527</v>
      </c>
      <c r="D170" s="37">
        <v>11.7</v>
      </c>
      <c r="E170" s="37">
        <v>7</v>
      </c>
      <c r="F170" s="101">
        <v>2E-3</v>
      </c>
      <c r="G170" s="104" t="s">
        <v>84</v>
      </c>
      <c r="H170" s="101">
        <v>1.0999999999999999E-2</v>
      </c>
      <c r="I170" s="101">
        <v>1.0999999999999999E-2</v>
      </c>
      <c r="J170" s="103">
        <f>0.07-0.01</f>
        <v>6.0000000000000005E-2</v>
      </c>
      <c r="K170" s="103">
        <f t="shared" si="86"/>
        <v>6.0000000000000012E-2</v>
      </c>
      <c r="L170" s="101">
        <f t="shared" si="88"/>
        <v>7.1000000000000008E-2</v>
      </c>
      <c r="M170" s="39">
        <f t="shared" si="87"/>
        <v>35.5</v>
      </c>
      <c r="N170" s="37">
        <v>1.3</v>
      </c>
      <c r="O170" s="98"/>
    </row>
    <row r="171" spans="1:15" ht="15.75" customHeight="1" x14ac:dyDescent="0.2">
      <c r="A171" s="85"/>
      <c r="B171" s="99" t="s">
        <v>347</v>
      </c>
      <c r="C171" s="100">
        <f>DATE(94,8,8)</f>
        <v>34554</v>
      </c>
      <c r="D171" s="37">
        <v>11.7</v>
      </c>
      <c r="E171" s="37">
        <v>9.6999999999999993</v>
      </c>
      <c r="F171" s="101">
        <v>5.0000000000000001E-3</v>
      </c>
      <c r="G171" s="104" t="s">
        <v>84</v>
      </c>
      <c r="H171" s="104" t="s">
        <v>343</v>
      </c>
      <c r="I171" s="101">
        <v>2.5000000000000001E-3</v>
      </c>
      <c r="J171" s="103">
        <f>0.09-0.01</f>
        <v>0.08</v>
      </c>
      <c r="K171" s="103">
        <f t="shared" si="86"/>
        <v>0.08</v>
      </c>
      <c r="L171" s="101">
        <f>0.08+0.0025</f>
        <v>8.2500000000000004E-2</v>
      </c>
      <c r="M171" s="39">
        <f t="shared" si="87"/>
        <v>16.5</v>
      </c>
      <c r="N171" s="37">
        <v>0.85</v>
      </c>
      <c r="O171" s="98"/>
    </row>
    <row r="172" spans="1:15" ht="15.75" customHeight="1" x14ac:dyDescent="0.2">
      <c r="A172" s="85"/>
      <c r="B172" s="99" t="s">
        <v>347</v>
      </c>
      <c r="C172" s="100">
        <f>DATE(94,9,7)</f>
        <v>34584</v>
      </c>
      <c r="D172" s="37">
        <v>11.9</v>
      </c>
      <c r="E172" s="37">
        <v>11.3</v>
      </c>
      <c r="F172" s="101">
        <v>3.0000000000000001E-3</v>
      </c>
      <c r="G172" s="101">
        <f>0.042-0.008</f>
        <v>3.4000000000000002E-2</v>
      </c>
      <c r="H172" s="101">
        <v>8.0000000000000002E-3</v>
      </c>
      <c r="I172" s="101">
        <f>0.034+0.008</f>
        <v>4.2000000000000003E-2</v>
      </c>
      <c r="J172" s="103">
        <f>0.07-0.01</f>
        <v>6.0000000000000005E-2</v>
      </c>
      <c r="K172" s="103">
        <f t="shared" si="86"/>
        <v>2.6000000000000002E-2</v>
      </c>
      <c r="L172" s="101">
        <f>J172+H172</f>
        <v>6.8000000000000005E-2</v>
      </c>
      <c r="M172" s="39">
        <f t="shared" si="87"/>
        <v>22.666666666666668</v>
      </c>
      <c r="N172" s="37">
        <v>0.8</v>
      </c>
      <c r="O172" s="98"/>
    </row>
    <row r="173" spans="1:15" ht="15.75" customHeight="1" x14ac:dyDescent="0.2">
      <c r="A173" s="85"/>
      <c r="B173" s="99" t="s">
        <v>347</v>
      </c>
      <c r="C173" s="100">
        <f>DATE(94,10,4)</f>
        <v>34611</v>
      </c>
      <c r="D173" s="37">
        <v>11.8</v>
      </c>
      <c r="E173" s="37">
        <v>9.1999999999999993</v>
      </c>
      <c r="F173" s="101">
        <v>4.0000000000000001E-3</v>
      </c>
      <c r="G173" s="104" t="s">
        <v>84</v>
      </c>
      <c r="H173" s="104" t="s">
        <v>343</v>
      </c>
      <c r="I173" s="101">
        <v>2.5000000000000001E-3</v>
      </c>
      <c r="J173" s="103">
        <f>0.08-0.01</f>
        <v>7.0000000000000007E-2</v>
      </c>
      <c r="K173" s="103">
        <f t="shared" si="86"/>
        <v>7.0000000000000007E-2</v>
      </c>
      <c r="L173" s="101">
        <f>0.07+0.0025</f>
        <v>7.2500000000000009E-2</v>
      </c>
      <c r="M173" s="39">
        <f t="shared" si="87"/>
        <v>18.125000000000004</v>
      </c>
      <c r="N173" s="37">
        <v>1.1000000000000001</v>
      </c>
      <c r="O173" s="98"/>
    </row>
    <row r="174" spans="1:15" ht="15.75" customHeight="1" x14ac:dyDescent="0.2">
      <c r="A174" s="85"/>
      <c r="B174" s="38"/>
      <c r="C174" s="171"/>
      <c r="D174" s="37"/>
      <c r="E174" s="37"/>
      <c r="F174" s="101"/>
      <c r="G174" s="101"/>
      <c r="H174" s="101"/>
      <c r="I174" s="101"/>
      <c r="J174" s="103"/>
      <c r="K174" s="103"/>
      <c r="L174" s="101"/>
      <c r="M174" s="39"/>
      <c r="N174" s="37"/>
      <c r="O174" s="98"/>
    </row>
    <row r="175" spans="1:15" ht="15.75" customHeight="1" x14ac:dyDescent="0.2">
      <c r="A175" s="85"/>
      <c r="B175" s="90" t="s">
        <v>411</v>
      </c>
      <c r="C175" s="171"/>
      <c r="D175" s="37"/>
      <c r="E175" s="37"/>
      <c r="F175" s="101"/>
      <c r="G175" s="101"/>
      <c r="H175" s="101"/>
      <c r="I175" s="101"/>
      <c r="J175" s="103"/>
      <c r="K175" s="103"/>
      <c r="L175" s="101"/>
      <c r="M175" s="39"/>
      <c r="N175" s="37"/>
      <c r="O175" s="98"/>
    </row>
    <row r="176" spans="1:15" ht="15.75" customHeight="1" x14ac:dyDescent="0.2">
      <c r="A176" s="85"/>
      <c r="B176" s="38"/>
      <c r="C176" s="171"/>
      <c r="D176" s="37"/>
      <c r="E176" s="37"/>
      <c r="F176" s="101"/>
      <c r="G176" s="101"/>
      <c r="H176" s="101"/>
      <c r="I176" s="101"/>
      <c r="J176" s="103"/>
      <c r="K176" s="103"/>
      <c r="L176" s="101"/>
      <c r="M176" s="39"/>
      <c r="N176" s="37"/>
      <c r="O176" s="98"/>
    </row>
    <row r="177" spans="1:15" ht="15.75" customHeight="1" x14ac:dyDescent="0.2">
      <c r="A177" s="85"/>
      <c r="B177" s="99" t="s">
        <v>412</v>
      </c>
      <c r="C177" s="100">
        <f>DATE(94,4,27)</f>
        <v>34451</v>
      </c>
      <c r="D177" s="37">
        <v>15</v>
      </c>
      <c r="E177" s="37">
        <v>5.3</v>
      </c>
      <c r="F177" s="101">
        <v>6.0000000000000001E-3</v>
      </c>
      <c r="G177" s="101">
        <f>0.017-0.008</f>
        <v>9.0000000000000011E-3</v>
      </c>
      <c r="H177" s="101">
        <v>8.1000000000000003E-2</v>
      </c>
      <c r="I177" s="101">
        <f>0.009+0.081</f>
        <v>0.09</v>
      </c>
      <c r="J177" s="102" t="s">
        <v>341</v>
      </c>
      <c r="K177" s="102" t="s">
        <v>341</v>
      </c>
      <c r="L177" s="101">
        <f>0.02+0.081</f>
        <v>0.10100000000000001</v>
      </c>
      <c r="M177" s="39">
        <f t="shared" ref="M177:M183" si="89">L177/F177</f>
        <v>16.833333333333336</v>
      </c>
      <c r="N177" s="37">
        <v>1</v>
      </c>
      <c r="O177" s="98"/>
    </row>
    <row r="178" spans="1:15" ht="15.75" customHeight="1" x14ac:dyDescent="0.2">
      <c r="A178" s="85"/>
      <c r="B178" s="99" t="s">
        <v>393</v>
      </c>
      <c r="C178" s="100">
        <f>DATE(95,4,12)</f>
        <v>34801</v>
      </c>
      <c r="D178" s="37">
        <v>10.4</v>
      </c>
      <c r="E178" s="37">
        <v>6.5</v>
      </c>
      <c r="F178" s="101">
        <v>4.0000000000000001E-3</v>
      </c>
      <c r="G178" s="104" t="s">
        <v>343</v>
      </c>
      <c r="H178" s="101">
        <v>0.03</v>
      </c>
      <c r="I178" s="101">
        <f>0+0.03</f>
        <v>0.03</v>
      </c>
      <c r="J178" s="103">
        <f>0.08-0.02</f>
        <v>0.06</v>
      </c>
      <c r="K178" s="103">
        <f t="shared" ref="K178:K183" si="90">L178-I178</f>
        <v>0.06</v>
      </c>
      <c r="L178" s="101">
        <f t="shared" ref="L178:L181" si="91">J178+H178</f>
        <v>0.09</v>
      </c>
      <c r="M178" s="39">
        <f t="shared" si="89"/>
        <v>22.5</v>
      </c>
      <c r="N178" s="37">
        <v>0.64</v>
      </c>
      <c r="O178" s="98"/>
    </row>
    <row r="179" spans="1:15" ht="15.75" customHeight="1" x14ac:dyDescent="0.2">
      <c r="A179" s="85"/>
      <c r="B179" s="99" t="s">
        <v>413</v>
      </c>
      <c r="C179" s="100">
        <f>DATE(95,5,3)</f>
        <v>34822</v>
      </c>
      <c r="D179" s="37">
        <v>8.1</v>
      </c>
      <c r="E179" s="37">
        <v>7.5</v>
      </c>
      <c r="F179" s="101">
        <v>3.0000000000000001E-3</v>
      </c>
      <c r="G179" s="101">
        <f>0.036-0.02</f>
        <v>1.5999999999999997E-2</v>
      </c>
      <c r="H179" s="101">
        <v>3.2000000000000001E-2</v>
      </c>
      <c r="I179" s="101">
        <f>G179+H179</f>
        <v>4.8000000000000001E-2</v>
      </c>
      <c r="J179" s="103">
        <f>0.12-0.02</f>
        <v>9.9999999999999992E-2</v>
      </c>
      <c r="K179" s="103">
        <f t="shared" si="90"/>
        <v>8.4000000000000005E-2</v>
      </c>
      <c r="L179" s="101">
        <f t="shared" si="91"/>
        <v>0.13200000000000001</v>
      </c>
      <c r="M179" s="39">
        <f t="shared" si="89"/>
        <v>44</v>
      </c>
      <c r="N179" s="37">
        <v>2.8</v>
      </c>
      <c r="O179" s="98"/>
    </row>
    <row r="180" spans="1:15" ht="15.75" customHeight="1" x14ac:dyDescent="0.2">
      <c r="A180" s="85"/>
      <c r="B180" s="99" t="s">
        <v>384</v>
      </c>
      <c r="C180" s="100">
        <f>DATE(95,5,22)</f>
        <v>34841</v>
      </c>
      <c r="D180" s="37">
        <v>9.1</v>
      </c>
      <c r="E180" s="37">
        <v>5.5</v>
      </c>
      <c r="F180" s="101">
        <v>3.0000000000000001E-3</v>
      </c>
      <c r="G180" s="104" t="s">
        <v>343</v>
      </c>
      <c r="H180" s="101">
        <v>3.5999999999999997E-2</v>
      </c>
      <c r="I180" s="101">
        <v>3.5999999999999997E-2</v>
      </c>
      <c r="J180" s="103">
        <f>0.11-0.02</f>
        <v>0.09</v>
      </c>
      <c r="K180" s="103">
        <f t="shared" si="90"/>
        <v>0.09</v>
      </c>
      <c r="L180" s="101">
        <f t="shared" si="91"/>
        <v>0.126</v>
      </c>
      <c r="M180" s="39">
        <f t="shared" si="89"/>
        <v>42</v>
      </c>
      <c r="N180" s="37">
        <v>3.3</v>
      </c>
      <c r="O180" s="98"/>
    </row>
    <row r="181" spans="1:15" ht="15.75" customHeight="1" x14ac:dyDescent="0.2">
      <c r="A181" s="85"/>
      <c r="B181" s="99" t="s">
        <v>414</v>
      </c>
      <c r="C181" s="100">
        <f>DATE(95,6,12)</f>
        <v>34862</v>
      </c>
      <c r="D181" s="37">
        <v>9.8000000000000007</v>
      </c>
      <c r="E181" s="37">
        <v>5</v>
      </c>
      <c r="F181" s="101">
        <v>4.0000000000000001E-3</v>
      </c>
      <c r="G181" s="104" t="s">
        <v>343</v>
      </c>
      <c r="H181" s="101">
        <v>5.0000000000000001E-3</v>
      </c>
      <c r="I181" s="101">
        <f>0+0.005</f>
        <v>5.0000000000000001E-3</v>
      </c>
      <c r="J181" s="103">
        <f>0.09-0.02</f>
        <v>6.9999999999999993E-2</v>
      </c>
      <c r="K181" s="103">
        <f t="shared" si="90"/>
        <v>6.9999999999999993E-2</v>
      </c>
      <c r="L181" s="101">
        <f t="shared" si="91"/>
        <v>7.4999999999999997E-2</v>
      </c>
      <c r="M181" s="39">
        <f t="shared" si="89"/>
        <v>18.75</v>
      </c>
      <c r="N181" s="37">
        <v>2.9</v>
      </c>
      <c r="O181" s="98"/>
    </row>
    <row r="182" spans="1:15" ht="15.75" customHeight="1" x14ac:dyDescent="0.2">
      <c r="A182" s="85"/>
      <c r="B182" s="99" t="s">
        <v>413</v>
      </c>
      <c r="C182" s="100">
        <f>DATE(95,7,5)</f>
        <v>34885</v>
      </c>
      <c r="D182" s="37">
        <v>7.7</v>
      </c>
      <c r="E182" s="106" t="s">
        <v>84</v>
      </c>
      <c r="F182" s="101">
        <v>5.0000000000000001E-3</v>
      </c>
      <c r="G182" s="104" t="s">
        <v>343</v>
      </c>
      <c r="H182" s="104" t="s">
        <v>343</v>
      </c>
      <c r="I182" s="101">
        <f>0.001+0.0025</f>
        <v>3.5000000000000001E-3</v>
      </c>
      <c r="J182" s="103">
        <f>0.08-0.03</f>
        <v>0.05</v>
      </c>
      <c r="K182" s="103">
        <f t="shared" si="90"/>
        <v>4.9000000000000002E-2</v>
      </c>
      <c r="L182" s="101">
        <f>0.0025+0.05</f>
        <v>5.2500000000000005E-2</v>
      </c>
      <c r="M182" s="39">
        <f t="shared" si="89"/>
        <v>10.5</v>
      </c>
      <c r="N182" s="37">
        <v>1.3</v>
      </c>
      <c r="O182" s="98"/>
    </row>
    <row r="183" spans="1:15" ht="15.75" customHeight="1" x14ac:dyDescent="0.2">
      <c r="A183" s="85"/>
      <c r="B183" s="99" t="s">
        <v>414</v>
      </c>
      <c r="C183" s="100">
        <f>DATE(95,9,21)</f>
        <v>34963</v>
      </c>
      <c r="D183" s="37">
        <v>10.1</v>
      </c>
      <c r="E183" s="106" t="s">
        <v>84</v>
      </c>
      <c r="F183" s="101">
        <v>2E-3</v>
      </c>
      <c r="G183" s="101">
        <f>0.028-0.02</f>
        <v>8.0000000000000002E-3</v>
      </c>
      <c r="H183" s="104" t="s">
        <v>343</v>
      </c>
      <c r="I183" s="101">
        <f>0.008+0.0025</f>
        <v>1.0500000000000001E-2</v>
      </c>
      <c r="J183" s="102" t="s">
        <v>341</v>
      </c>
      <c r="K183" s="103">
        <f t="shared" si="90"/>
        <v>3.2000000000000001E-2</v>
      </c>
      <c r="L183" s="101">
        <f>0.04+0.0025</f>
        <v>4.2500000000000003E-2</v>
      </c>
      <c r="M183" s="39">
        <f t="shared" si="89"/>
        <v>21.25</v>
      </c>
      <c r="N183" s="106" t="s">
        <v>84</v>
      </c>
      <c r="O183" s="98"/>
    </row>
    <row r="184" spans="1:15" ht="15.75" customHeight="1" x14ac:dyDescent="0.2">
      <c r="A184" s="85"/>
      <c r="C184" s="3"/>
      <c r="D184" s="13"/>
      <c r="E184" s="13"/>
      <c r="F184" s="153"/>
      <c r="G184" s="153"/>
      <c r="H184" s="153"/>
      <c r="I184" s="153"/>
      <c r="J184" s="14"/>
      <c r="K184" s="14"/>
      <c r="L184" s="153"/>
      <c r="M184" s="33"/>
      <c r="N184" s="13"/>
      <c r="O184" s="98"/>
    </row>
    <row r="185" spans="1:15" ht="15.75" customHeight="1" x14ac:dyDescent="0.2">
      <c r="A185" s="85"/>
      <c r="B185" s="90" t="s">
        <v>415</v>
      </c>
      <c r="C185" s="38"/>
      <c r="D185" s="37"/>
      <c r="E185" s="37"/>
      <c r="F185" s="101"/>
      <c r="G185" s="101"/>
      <c r="H185" s="153"/>
      <c r="I185" s="153"/>
      <c r="J185" s="14"/>
      <c r="K185" s="14"/>
      <c r="L185" s="153"/>
      <c r="M185" s="33"/>
      <c r="N185" s="13"/>
      <c r="O185" s="98"/>
    </row>
    <row r="186" spans="1:15" ht="15.75" customHeight="1" x14ac:dyDescent="0.2">
      <c r="A186" s="85"/>
      <c r="D186" s="13"/>
      <c r="E186" s="13"/>
      <c r="F186" s="153"/>
      <c r="G186" s="153"/>
      <c r="H186" s="153"/>
      <c r="I186" s="153"/>
      <c r="J186" s="14"/>
      <c r="K186" s="14"/>
      <c r="L186" s="153"/>
      <c r="M186" s="33"/>
      <c r="N186" s="13"/>
      <c r="O186" s="98"/>
    </row>
    <row r="187" spans="1:15" ht="15.75" customHeight="1" x14ac:dyDescent="0.2">
      <c r="A187" s="85"/>
      <c r="B187" s="99" t="s">
        <v>416</v>
      </c>
      <c r="C187" s="100">
        <f>DATE(93,4,22)</f>
        <v>34081</v>
      </c>
      <c r="D187" s="37">
        <v>10</v>
      </c>
      <c r="E187" s="37">
        <v>8.5</v>
      </c>
      <c r="F187" s="101">
        <v>8.9999999999999993E-3</v>
      </c>
      <c r="G187" s="104" t="s">
        <v>84</v>
      </c>
      <c r="H187" s="104" t="s">
        <v>84</v>
      </c>
      <c r="I187" s="104" t="s">
        <v>84</v>
      </c>
      <c r="J187" s="102" t="s">
        <v>84</v>
      </c>
      <c r="K187" s="102" t="s">
        <v>84</v>
      </c>
      <c r="L187" s="104" t="s">
        <v>84</v>
      </c>
      <c r="M187" s="107" t="s">
        <v>84</v>
      </c>
      <c r="N187" s="37">
        <v>1</v>
      </c>
      <c r="O187" s="98"/>
    </row>
    <row r="188" spans="1:15" ht="15.75" customHeight="1" x14ac:dyDescent="0.2">
      <c r="A188" s="85"/>
      <c r="B188" s="99" t="s">
        <v>417</v>
      </c>
      <c r="C188" s="100">
        <f>DATE(93,5,18)</f>
        <v>34107</v>
      </c>
      <c r="D188" s="37">
        <f>40*0.3048</f>
        <v>12.192</v>
      </c>
      <c r="E188" s="37">
        <v>5.5</v>
      </c>
      <c r="F188" s="101">
        <v>7.0000000000000001E-3</v>
      </c>
      <c r="G188" s="104" t="s">
        <v>84</v>
      </c>
      <c r="H188" s="104" t="s">
        <v>84</v>
      </c>
      <c r="I188" s="104" t="s">
        <v>84</v>
      </c>
      <c r="J188" s="102" t="s">
        <v>84</v>
      </c>
      <c r="K188" s="102" t="s">
        <v>84</v>
      </c>
      <c r="L188" s="104" t="s">
        <v>84</v>
      </c>
      <c r="M188" s="107" t="s">
        <v>84</v>
      </c>
      <c r="N188" s="37">
        <v>1.3</v>
      </c>
      <c r="O188" s="98"/>
    </row>
    <row r="189" spans="1:15" ht="15.75" customHeight="1" x14ac:dyDescent="0.2">
      <c r="A189" s="85"/>
      <c r="B189" s="99" t="s">
        <v>418</v>
      </c>
      <c r="C189" s="100">
        <f>DATE(93,6,15)</f>
        <v>34135</v>
      </c>
      <c r="D189" s="37">
        <v>16</v>
      </c>
      <c r="E189" s="37">
        <v>5.5</v>
      </c>
      <c r="F189" s="101">
        <v>1.4E-2</v>
      </c>
      <c r="G189" s="104" t="s">
        <v>84</v>
      </c>
      <c r="H189" s="104" t="s">
        <v>84</v>
      </c>
      <c r="I189" s="104" t="s">
        <v>84</v>
      </c>
      <c r="J189" s="102" t="s">
        <v>84</v>
      </c>
      <c r="K189" s="102" t="s">
        <v>84</v>
      </c>
      <c r="L189" s="104" t="s">
        <v>84</v>
      </c>
      <c r="M189" s="107" t="s">
        <v>84</v>
      </c>
      <c r="N189" s="37">
        <v>2.1</v>
      </c>
      <c r="O189" s="98"/>
    </row>
    <row r="190" spans="1:15" ht="15.75" customHeight="1" x14ac:dyDescent="0.2">
      <c r="A190" s="85"/>
      <c r="B190" s="99" t="s">
        <v>419</v>
      </c>
      <c r="C190" s="100">
        <f>DATE(93,7,7)</f>
        <v>34157</v>
      </c>
      <c r="D190" s="37">
        <v>12.8</v>
      </c>
      <c r="E190" s="37">
        <v>7.7</v>
      </c>
      <c r="F190" s="101">
        <v>4.0000000000000001E-3</v>
      </c>
      <c r="G190" s="104" t="s">
        <v>84</v>
      </c>
      <c r="H190" s="104" t="s">
        <v>84</v>
      </c>
      <c r="I190" s="104" t="s">
        <v>84</v>
      </c>
      <c r="J190" s="102" t="s">
        <v>84</v>
      </c>
      <c r="K190" s="102" t="s">
        <v>84</v>
      </c>
      <c r="L190" s="104" t="s">
        <v>84</v>
      </c>
      <c r="M190" s="107" t="s">
        <v>84</v>
      </c>
      <c r="N190" s="37">
        <v>0.82</v>
      </c>
      <c r="O190" s="98"/>
    </row>
    <row r="191" spans="1:15" ht="15.75" customHeight="1" x14ac:dyDescent="0.2">
      <c r="A191" s="85"/>
      <c r="B191" s="99" t="s">
        <v>420</v>
      </c>
      <c r="C191" s="100">
        <f>DATE(93,8,17)</f>
        <v>34198</v>
      </c>
      <c r="D191" s="37">
        <v>9.3000000000000007</v>
      </c>
      <c r="E191" s="106" t="s">
        <v>84</v>
      </c>
      <c r="F191" s="101">
        <v>4.0000000000000001E-3</v>
      </c>
      <c r="G191" s="104" t="s">
        <v>84</v>
      </c>
      <c r="H191" s="104" t="s">
        <v>84</v>
      </c>
      <c r="I191" s="104" t="s">
        <v>84</v>
      </c>
      <c r="J191" s="102" t="s">
        <v>84</v>
      </c>
      <c r="K191" s="102" t="s">
        <v>84</v>
      </c>
      <c r="L191" s="104" t="s">
        <v>84</v>
      </c>
      <c r="M191" s="107" t="s">
        <v>84</v>
      </c>
      <c r="N191" s="106" t="s">
        <v>84</v>
      </c>
      <c r="O191" s="98"/>
    </row>
    <row r="192" spans="1:15" ht="15.75" customHeight="1" x14ac:dyDescent="0.2">
      <c r="A192" s="85"/>
      <c r="B192" s="99" t="s">
        <v>416</v>
      </c>
      <c r="C192" s="100">
        <f>DATE(93,9,14)</f>
        <v>34226</v>
      </c>
      <c r="D192" s="37">
        <v>10.5</v>
      </c>
      <c r="E192" s="37">
        <v>9.5</v>
      </c>
      <c r="F192" s="101">
        <v>4.0000000000000001E-3</v>
      </c>
      <c r="G192" s="104" t="s">
        <v>84</v>
      </c>
      <c r="H192" s="104" t="s">
        <v>84</v>
      </c>
      <c r="I192" s="104" t="s">
        <v>84</v>
      </c>
      <c r="J192" s="102" t="s">
        <v>84</v>
      </c>
      <c r="K192" s="102" t="s">
        <v>84</v>
      </c>
      <c r="L192" s="104" t="s">
        <v>84</v>
      </c>
      <c r="M192" s="107" t="s">
        <v>84</v>
      </c>
      <c r="N192" s="106" t="s">
        <v>84</v>
      </c>
      <c r="O192" s="98"/>
    </row>
    <row r="193" spans="1:15" ht="15.75" customHeight="1" x14ac:dyDescent="0.2">
      <c r="A193" s="96"/>
      <c r="B193" s="120" t="s">
        <v>421</v>
      </c>
      <c r="C193" s="121">
        <f>DATE(93,10,12)</f>
        <v>34254</v>
      </c>
      <c r="D193" s="127">
        <v>10.4</v>
      </c>
      <c r="E193" s="122" t="s">
        <v>84</v>
      </c>
      <c r="F193" s="123">
        <v>4.0000000000000001E-3</v>
      </c>
      <c r="G193" s="146" t="s">
        <v>84</v>
      </c>
      <c r="H193" s="146" t="s">
        <v>84</v>
      </c>
      <c r="I193" s="146" t="s">
        <v>84</v>
      </c>
      <c r="J193" s="124" t="s">
        <v>84</v>
      </c>
      <c r="K193" s="124" t="s">
        <v>84</v>
      </c>
      <c r="L193" s="146" t="s">
        <v>84</v>
      </c>
      <c r="M193" s="147" t="s">
        <v>84</v>
      </c>
      <c r="N193" s="127">
        <v>0.6</v>
      </c>
      <c r="O193" s="128"/>
    </row>
    <row r="194" spans="1:15" ht="15.75" customHeight="1" x14ac:dyDescent="0.2">
      <c r="A194" s="38"/>
      <c r="D194" s="13"/>
      <c r="E194" s="13"/>
      <c r="F194" s="153"/>
      <c r="G194" s="153"/>
      <c r="H194" s="153"/>
      <c r="I194" s="153"/>
      <c r="J194" s="14"/>
      <c r="K194" s="14"/>
      <c r="L194" s="153"/>
      <c r="M194" s="33"/>
      <c r="N194" s="13"/>
    </row>
    <row r="195" spans="1:15" ht="15.75" customHeight="1" x14ac:dyDescent="0.2">
      <c r="A195" s="38"/>
      <c r="D195" s="13"/>
      <c r="E195" s="13"/>
      <c r="F195" s="153"/>
      <c r="G195" s="153"/>
      <c r="H195" s="153"/>
      <c r="I195" s="153"/>
      <c r="J195" s="14"/>
      <c r="K195" s="14"/>
      <c r="L195" s="153"/>
      <c r="M195" s="33"/>
      <c r="N195" s="13"/>
    </row>
    <row r="196" spans="1:15" ht="15.75" customHeight="1" x14ac:dyDescent="0.2">
      <c r="A196" s="38"/>
      <c r="D196" s="13"/>
      <c r="E196" s="13"/>
      <c r="F196" s="153"/>
      <c r="G196" s="153"/>
      <c r="H196" s="153"/>
      <c r="I196" s="153"/>
      <c r="J196" s="14"/>
      <c r="K196" s="14"/>
      <c r="L196" s="153"/>
      <c r="M196" s="33"/>
      <c r="N196" s="13"/>
    </row>
    <row r="197" spans="1:15" ht="15.75" customHeight="1" x14ac:dyDescent="0.2">
      <c r="A197" s="164"/>
      <c r="B197" s="87"/>
      <c r="C197" s="86"/>
      <c r="D197" s="131"/>
      <c r="E197" s="131"/>
      <c r="F197" s="132"/>
      <c r="G197" s="132"/>
      <c r="H197" s="133" t="s">
        <v>319</v>
      </c>
      <c r="I197" s="132"/>
      <c r="J197" s="134"/>
      <c r="K197" s="134"/>
      <c r="L197" s="132"/>
      <c r="M197" s="135"/>
      <c r="N197" s="131"/>
      <c r="O197" s="89"/>
    </row>
    <row r="198" spans="1:15" ht="15.75" customHeight="1" x14ac:dyDescent="0.25">
      <c r="A198" s="85"/>
      <c r="B198" s="90" t="s">
        <v>320</v>
      </c>
      <c r="C198" s="91"/>
      <c r="D198" s="136" t="s">
        <v>321</v>
      </c>
      <c r="E198" s="136" t="s">
        <v>322</v>
      </c>
      <c r="F198" s="137"/>
      <c r="G198" s="138" t="s">
        <v>323</v>
      </c>
      <c r="H198" s="139" t="s">
        <v>422</v>
      </c>
      <c r="I198" s="138" t="s">
        <v>323</v>
      </c>
      <c r="J198" s="140"/>
      <c r="K198" s="141" t="s">
        <v>323</v>
      </c>
      <c r="L198" s="137"/>
      <c r="M198" s="142"/>
      <c r="N198" s="143"/>
      <c r="O198" s="95"/>
    </row>
    <row r="199" spans="1:15" ht="15.75" customHeight="1" x14ac:dyDescent="0.25">
      <c r="A199" s="85"/>
      <c r="B199" s="90" t="s">
        <v>325</v>
      </c>
      <c r="C199" s="91"/>
      <c r="D199" s="136" t="s">
        <v>52</v>
      </c>
      <c r="E199" s="136" t="s">
        <v>52</v>
      </c>
      <c r="F199" s="138" t="s">
        <v>326</v>
      </c>
      <c r="G199" s="138" t="s">
        <v>423</v>
      </c>
      <c r="H199" s="139" t="s">
        <v>424</v>
      </c>
      <c r="I199" s="138" t="s">
        <v>329</v>
      </c>
      <c r="J199" s="141" t="s">
        <v>330</v>
      </c>
      <c r="K199" s="141" t="s">
        <v>331</v>
      </c>
      <c r="L199" s="138" t="s">
        <v>332</v>
      </c>
      <c r="M199" s="142"/>
      <c r="N199" s="136" t="s">
        <v>333</v>
      </c>
      <c r="O199" s="95"/>
    </row>
    <row r="200" spans="1:15" ht="15.75" customHeight="1" x14ac:dyDescent="0.2">
      <c r="A200" s="96"/>
      <c r="B200" s="97" t="s">
        <v>334</v>
      </c>
      <c r="C200" s="165" t="s">
        <v>335</v>
      </c>
      <c r="D200" s="166" t="s">
        <v>336</v>
      </c>
      <c r="E200" s="166" t="s">
        <v>336</v>
      </c>
      <c r="F200" s="167" t="s">
        <v>337</v>
      </c>
      <c r="G200" s="167" t="s">
        <v>337</v>
      </c>
      <c r="H200" s="167" t="s">
        <v>337</v>
      </c>
      <c r="I200" s="167" t="s">
        <v>337</v>
      </c>
      <c r="J200" s="168" t="s">
        <v>337</v>
      </c>
      <c r="K200" s="168" t="s">
        <v>337</v>
      </c>
      <c r="L200" s="167" t="s">
        <v>337</v>
      </c>
      <c r="M200" s="169" t="s">
        <v>338</v>
      </c>
      <c r="N200" s="166" t="s">
        <v>339</v>
      </c>
      <c r="O200" s="160"/>
    </row>
    <row r="201" spans="1:15" ht="15.75" customHeight="1" x14ac:dyDescent="0.2">
      <c r="A201" s="85"/>
      <c r="C201" s="3"/>
      <c r="D201" s="13"/>
      <c r="E201" s="13"/>
      <c r="F201" s="153"/>
      <c r="G201" s="153"/>
      <c r="H201" s="153"/>
      <c r="I201" s="153"/>
      <c r="J201" s="14"/>
      <c r="K201" s="14"/>
      <c r="L201" s="153"/>
      <c r="M201" s="33"/>
      <c r="N201" s="13"/>
      <c r="O201" s="98"/>
    </row>
    <row r="202" spans="1:15" ht="15.75" customHeight="1" x14ac:dyDescent="0.2">
      <c r="A202" s="85"/>
      <c r="B202" s="90" t="s">
        <v>425</v>
      </c>
      <c r="C202" s="170"/>
      <c r="D202" s="37"/>
      <c r="E202" s="37"/>
      <c r="F202" s="101"/>
      <c r="G202" s="101"/>
      <c r="H202" s="101"/>
      <c r="I202" s="101"/>
      <c r="J202" s="103"/>
      <c r="K202" s="103"/>
      <c r="L202" s="101"/>
      <c r="M202" s="39"/>
      <c r="N202" s="37"/>
      <c r="O202" s="98"/>
    </row>
    <row r="203" spans="1:15" ht="15.75" customHeight="1" x14ac:dyDescent="0.2">
      <c r="A203" s="85"/>
      <c r="B203" s="38"/>
      <c r="C203" s="38"/>
      <c r="D203" s="37"/>
      <c r="E203" s="37"/>
      <c r="F203" s="101"/>
      <c r="G203" s="101"/>
      <c r="H203" s="101"/>
      <c r="I203" s="101"/>
      <c r="J203" s="103"/>
      <c r="K203" s="103"/>
      <c r="L203" s="101"/>
      <c r="M203" s="39"/>
      <c r="N203" s="37"/>
      <c r="O203" s="98"/>
    </row>
    <row r="204" spans="1:15" ht="15.75" customHeight="1" x14ac:dyDescent="0.2">
      <c r="A204" s="85"/>
      <c r="B204" s="99" t="s">
        <v>426</v>
      </c>
      <c r="C204" s="100">
        <f>DATE(93,4,22)</f>
        <v>34081</v>
      </c>
      <c r="D204" s="37">
        <v>70</v>
      </c>
      <c r="E204" s="37">
        <v>9</v>
      </c>
      <c r="F204" s="101">
        <v>1.0999999999999999E-2</v>
      </c>
      <c r="G204" s="104" t="s">
        <v>343</v>
      </c>
      <c r="H204" s="101">
        <v>2.5999999999999999E-2</v>
      </c>
      <c r="I204" s="101">
        <f>0+0.026</f>
        <v>2.5999999999999999E-2</v>
      </c>
      <c r="J204" s="103">
        <f>0.07-0.01</f>
        <v>6.0000000000000005E-2</v>
      </c>
      <c r="K204" s="103">
        <f t="shared" ref="K204:K208" si="92">L204-I204</f>
        <v>6.0000000000000012E-2</v>
      </c>
      <c r="L204" s="101">
        <f t="shared" ref="L204:L205" si="93">J204+H204</f>
        <v>8.6000000000000007E-2</v>
      </c>
      <c r="M204" s="39">
        <f t="shared" ref="M204:M208" si="94">L204/F204</f>
        <v>7.8181818181818192</v>
      </c>
      <c r="N204" s="37">
        <v>1.1000000000000001</v>
      </c>
      <c r="O204" s="98"/>
    </row>
    <row r="205" spans="1:15" ht="15.75" customHeight="1" x14ac:dyDescent="0.2">
      <c r="A205" s="85"/>
      <c r="B205" s="99" t="s">
        <v>344</v>
      </c>
      <c r="C205" s="100">
        <f>DATE(93,5,18)</f>
        <v>34107</v>
      </c>
      <c r="D205" s="37">
        <v>41.2</v>
      </c>
      <c r="E205" s="37">
        <v>5</v>
      </c>
      <c r="F205" s="101">
        <v>7.0000000000000001E-3</v>
      </c>
      <c r="G205" s="101">
        <f>0.023-0.01</f>
        <v>1.2999999999999999E-2</v>
      </c>
      <c r="H205" s="101">
        <v>2.5999999999999999E-2</v>
      </c>
      <c r="I205" s="101">
        <f>H205+G205</f>
        <v>3.9E-2</v>
      </c>
      <c r="J205" s="103">
        <f>0.21-0.01</f>
        <v>0.19999999999999998</v>
      </c>
      <c r="K205" s="103">
        <f t="shared" si="92"/>
        <v>0.18699999999999997</v>
      </c>
      <c r="L205" s="101">
        <f t="shared" si="93"/>
        <v>0.22599999999999998</v>
      </c>
      <c r="M205" s="39">
        <f t="shared" si="94"/>
        <v>32.285714285714285</v>
      </c>
      <c r="N205" s="37">
        <v>1.7</v>
      </c>
      <c r="O205" s="98"/>
    </row>
    <row r="206" spans="1:15" ht="15.75" customHeight="1" x14ac:dyDescent="0.2">
      <c r="A206" s="85"/>
      <c r="B206" s="99" t="s">
        <v>344</v>
      </c>
      <c r="C206" s="100">
        <f>DATE(93,6,15)</f>
        <v>34135</v>
      </c>
      <c r="D206" s="37">
        <f>180*0.3048</f>
        <v>54.864000000000004</v>
      </c>
      <c r="E206" s="37">
        <v>5</v>
      </c>
      <c r="F206" s="101">
        <v>5.0000000000000001E-3</v>
      </c>
      <c r="G206" s="101">
        <f>0.039-0.01</f>
        <v>2.8999999999999998E-2</v>
      </c>
      <c r="H206" s="104" t="s">
        <v>343</v>
      </c>
      <c r="I206" s="101">
        <f>0.029+0.0025</f>
        <v>3.15E-2</v>
      </c>
      <c r="J206" s="103">
        <f>0.1-0.01</f>
        <v>9.0000000000000011E-2</v>
      </c>
      <c r="K206" s="103">
        <f t="shared" si="92"/>
        <v>6.0999999999999999E-2</v>
      </c>
      <c r="L206" s="101">
        <f>0.09+0.0025</f>
        <v>9.2499999999999999E-2</v>
      </c>
      <c r="M206" s="39">
        <f t="shared" si="94"/>
        <v>18.5</v>
      </c>
      <c r="N206" s="37">
        <v>1.5</v>
      </c>
      <c r="O206" s="98"/>
    </row>
    <row r="207" spans="1:15" ht="15.75" customHeight="1" x14ac:dyDescent="0.2">
      <c r="A207" s="85"/>
      <c r="B207" s="99" t="s">
        <v>345</v>
      </c>
      <c r="C207" s="100">
        <f>DATE(93,7,7)</f>
        <v>34157</v>
      </c>
      <c r="D207" s="37">
        <f>162*0.3048</f>
        <v>49.377600000000001</v>
      </c>
      <c r="E207" s="37">
        <v>7.8</v>
      </c>
      <c r="F207" s="101">
        <v>4.0000000000000001E-3</v>
      </c>
      <c r="G207" s="104" t="s">
        <v>343</v>
      </c>
      <c r="H207" s="101">
        <v>6.0000000000000001E-3</v>
      </c>
      <c r="I207" s="101">
        <f>0+0.006</f>
        <v>6.0000000000000001E-3</v>
      </c>
      <c r="J207" s="102" t="s">
        <v>341</v>
      </c>
      <c r="K207" s="103">
        <f t="shared" si="92"/>
        <v>2.0000000000000004E-2</v>
      </c>
      <c r="L207" s="101">
        <f>0.02+0.006</f>
        <v>2.6000000000000002E-2</v>
      </c>
      <c r="M207" s="39">
        <f t="shared" si="94"/>
        <v>6.5</v>
      </c>
      <c r="N207" s="37">
        <v>0.68</v>
      </c>
      <c r="O207" s="98"/>
    </row>
    <row r="208" spans="1:15" ht="15.75" customHeight="1" x14ac:dyDescent="0.2">
      <c r="A208" s="85"/>
      <c r="B208" s="99" t="s">
        <v>419</v>
      </c>
      <c r="C208" s="100">
        <f t="shared" ref="C208:C209" si="95">DATE(93,7,27)</f>
        <v>34177</v>
      </c>
      <c r="D208" s="37">
        <v>51.2</v>
      </c>
      <c r="E208" s="37">
        <v>12.2</v>
      </c>
      <c r="F208" s="101">
        <v>5.0000000000000001E-3</v>
      </c>
      <c r="G208" s="104" t="s">
        <v>343</v>
      </c>
      <c r="H208" s="104" t="s">
        <v>343</v>
      </c>
      <c r="I208" s="101">
        <f>0+0.0025</f>
        <v>2.5000000000000001E-3</v>
      </c>
      <c r="J208" s="102" t="s">
        <v>341</v>
      </c>
      <c r="K208" s="103">
        <f t="shared" si="92"/>
        <v>0.02</v>
      </c>
      <c r="L208" s="101">
        <f>0.02+0.0025</f>
        <v>2.2499999999999999E-2</v>
      </c>
      <c r="M208" s="39">
        <f t="shared" si="94"/>
        <v>4.5</v>
      </c>
      <c r="N208" s="37">
        <v>0.64</v>
      </c>
      <c r="O208" s="98"/>
    </row>
    <row r="209" spans="1:15" ht="15.75" customHeight="1" x14ac:dyDescent="0.2">
      <c r="A209" s="85"/>
      <c r="B209" s="99" t="s">
        <v>427</v>
      </c>
      <c r="C209" s="100">
        <f t="shared" si="95"/>
        <v>34177</v>
      </c>
      <c r="D209" s="106" t="s">
        <v>84</v>
      </c>
      <c r="E209" s="106" t="s">
        <v>84</v>
      </c>
      <c r="F209" s="101">
        <v>4.0000000000000001E-3</v>
      </c>
      <c r="G209" s="104" t="s">
        <v>84</v>
      </c>
      <c r="H209" s="104" t="s">
        <v>84</v>
      </c>
      <c r="I209" s="104" t="s">
        <v>84</v>
      </c>
      <c r="J209" s="102" t="s">
        <v>84</v>
      </c>
      <c r="K209" s="102" t="s">
        <v>84</v>
      </c>
      <c r="L209" s="104" t="s">
        <v>84</v>
      </c>
      <c r="M209" s="107" t="s">
        <v>84</v>
      </c>
      <c r="N209" s="106" t="s">
        <v>84</v>
      </c>
      <c r="O209" s="98"/>
    </row>
    <row r="210" spans="1:15" ht="15.75" customHeight="1" x14ac:dyDescent="0.2">
      <c r="A210" s="85"/>
      <c r="B210" s="99" t="s">
        <v>98</v>
      </c>
      <c r="C210" s="100">
        <f>DATE(93,8,17)</f>
        <v>34198</v>
      </c>
      <c r="D210" s="37">
        <v>53</v>
      </c>
      <c r="E210" s="37">
        <v>10</v>
      </c>
      <c r="F210" s="101">
        <v>4.0000000000000001E-3</v>
      </c>
      <c r="G210" s="101">
        <f>0.033-0.027</f>
        <v>6.0000000000000019E-3</v>
      </c>
      <c r="H210" s="104" t="s">
        <v>343</v>
      </c>
      <c r="I210" s="101">
        <f>0.006+0.0025</f>
        <v>8.5000000000000006E-3</v>
      </c>
      <c r="J210" s="102" t="s">
        <v>341</v>
      </c>
      <c r="K210" s="103">
        <f t="shared" ref="K210:K212" si="96">L210-I210</f>
        <v>3.4000000000000002E-2</v>
      </c>
      <c r="L210" s="101">
        <f>0.04+0.0025</f>
        <v>4.2500000000000003E-2</v>
      </c>
      <c r="M210" s="39">
        <f>L210/F210</f>
        <v>10.625</v>
      </c>
      <c r="N210" s="37">
        <v>1</v>
      </c>
      <c r="O210" s="98"/>
    </row>
    <row r="211" spans="1:15" ht="15.75" customHeight="1" x14ac:dyDescent="0.2">
      <c r="A211" s="85"/>
      <c r="B211" s="99" t="s">
        <v>98</v>
      </c>
      <c r="C211" s="100">
        <f>DATE(93,9,14)</f>
        <v>34226</v>
      </c>
      <c r="D211" s="37">
        <f>164*0.3048</f>
        <v>49.987200000000001</v>
      </c>
      <c r="E211" s="106" t="s">
        <v>84</v>
      </c>
      <c r="F211" s="104" t="s">
        <v>390</v>
      </c>
      <c r="G211" s="104" t="s">
        <v>343</v>
      </c>
      <c r="H211" s="104" t="s">
        <v>343</v>
      </c>
      <c r="I211" s="101">
        <f>0+0.0025</f>
        <v>2.5000000000000001E-3</v>
      </c>
      <c r="J211" s="102" t="s">
        <v>341</v>
      </c>
      <c r="K211" s="103">
        <f t="shared" si="96"/>
        <v>0.02</v>
      </c>
      <c r="L211" s="101">
        <f>0.02+0.0025</f>
        <v>2.2499999999999999E-2</v>
      </c>
      <c r="M211" s="39">
        <f>0.023/0.001</f>
        <v>23</v>
      </c>
      <c r="N211" s="37">
        <v>0.8</v>
      </c>
      <c r="O211" s="98"/>
    </row>
    <row r="212" spans="1:15" ht="15.75" customHeight="1" x14ac:dyDescent="0.2">
      <c r="A212" s="85"/>
      <c r="B212" s="99" t="s">
        <v>97</v>
      </c>
      <c r="C212" s="100">
        <f>DATE(93,10,12)</f>
        <v>34254</v>
      </c>
      <c r="D212" s="37">
        <v>52</v>
      </c>
      <c r="E212" s="37">
        <v>12</v>
      </c>
      <c r="F212" s="101">
        <v>3.0000000000000001E-3</v>
      </c>
      <c r="G212" s="104" t="s">
        <v>343</v>
      </c>
      <c r="H212" s="101">
        <v>5.0000000000000001E-3</v>
      </c>
      <c r="I212" s="101">
        <f>0+0.005</f>
        <v>5.0000000000000001E-3</v>
      </c>
      <c r="J212" s="102" t="s">
        <v>341</v>
      </c>
      <c r="K212" s="103">
        <f t="shared" si="96"/>
        <v>0.02</v>
      </c>
      <c r="L212" s="101">
        <f>0.02+0.005</f>
        <v>2.5000000000000001E-2</v>
      </c>
      <c r="M212" s="39">
        <f>L212/F212</f>
        <v>8.3333333333333339</v>
      </c>
      <c r="N212" s="37">
        <v>0.6</v>
      </c>
      <c r="O212" s="98"/>
    </row>
    <row r="213" spans="1:15" ht="15.75" customHeight="1" x14ac:dyDescent="0.2">
      <c r="A213" s="85"/>
      <c r="C213" s="3"/>
      <c r="D213" s="13"/>
      <c r="E213" s="13"/>
      <c r="F213" s="153"/>
      <c r="G213" s="153"/>
      <c r="H213" s="153"/>
      <c r="I213" s="153"/>
      <c r="J213" s="14"/>
      <c r="K213" s="14"/>
      <c r="L213" s="153"/>
      <c r="M213" s="33"/>
      <c r="N213" s="13"/>
      <c r="O213" s="98"/>
    </row>
    <row r="214" spans="1:15" ht="15.75" customHeight="1" x14ac:dyDescent="0.2">
      <c r="A214" s="85"/>
      <c r="B214" s="99" t="s">
        <v>428</v>
      </c>
      <c r="C214" s="100">
        <f t="shared" ref="C214:C215" si="97">DATE(94,3,30)</f>
        <v>34423</v>
      </c>
      <c r="D214" s="37">
        <v>50</v>
      </c>
      <c r="E214" s="37">
        <v>11.4</v>
      </c>
      <c r="F214" s="101">
        <v>4.0000000000000001E-3</v>
      </c>
      <c r="G214" s="104" t="s">
        <v>343</v>
      </c>
      <c r="H214" s="101">
        <v>2.8000000000000001E-2</v>
      </c>
      <c r="I214" s="101">
        <f>0.004+0.028</f>
        <v>3.2000000000000001E-2</v>
      </c>
      <c r="J214" s="102" t="s">
        <v>341</v>
      </c>
      <c r="K214" s="103">
        <f t="shared" ref="K214:K227" si="98">L214-I214</f>
        <v>1.6E-2</v>
      </c>
      <c r="L214" s="101">
        <f>0.02+0.028</f>
        <v>4.8000000000000001E-2</v>
      </c>
      <c r="M214" s="39">
        <f>L214/F214</f>
        <v>12</v>
      </c>
      <c r="N214" s="37">
        <v>1.6</v>
      </c>
      <c r="O214" s="98"/>
    </row>
    <row r="215" spans="1:15" ht="15.75" customHeight="1" x14ac:dyDescent="0.2">
      <c r="A215" s="108"/>
      <c r="B215" s="109" t="s">
        <v>429</v>
      </c>
      <c r="C215" s="110">
        <f t="shared" si="97"/>
        <v>34423</v>
      </c>
      <c r="D215" s="111" t="s">
        <v>84</v>
      </c>
      <c r="E215" s="111" t="s">
        <v>84</v>
      </c>
      <c r="F215" s="112">
        <v>4.0000000000000001E-3</v>
      </c>
      <c r="G215" s="112">
        <f>0.014-0.008</f>
        <v>6.0000000000000001E-3</v>
      </c>
      <c r="H215" s="112">
        <v>2.9000000000000001E-2</v>
      </c>
      <c r="I215" s="112">
        <f>0.006+0.029</f>
        <v>3.5000000000000003E-2</v>
      </c>
      <c r="J215" s="118" t="s">
        <v>341</v>
      </c>
      <c r="K215" s="113">
        <f t="shared" si="98"/>
        <v>1.3999999999999999E-2</v>
      </c>
      <c r="L215" s="112">
        <f>0.02+0.029</f>
        <v>4.9000000000000002E-2</v>
      </c>
      <c r="M215" s="114" t="s">
        <v>84</v>
      </c>
      <c r="N215" s="111" t="s">
        <v>84</v>
      </c>
      <c r="O215" s="115"/>
    </row>
    <row r="216" spans="1:15" ht="15.75" customHeight="1" x14ac:dyDescent="0.2">
      <c r="A216" s="85"/>
      <c r="B216" s="99" t="s">
        <v>87</v>
      </c>
      <c r="C216" s="100">
        <f t="shared" ref="C216:C217" si="99">DATE(94,4,27)</f>
        <v>34451</v>
      </c>
      <c r="D216" s="37">
        <v>46</v>
      </c>
      <c r="E216" s="37">
        <v>8.1</v>
      </c>
      <c r="F216" s="101">
        <v>6.0000000000000001E-3</v>
      </c>
      <c r="G216" s="101">
        <f>0.019-0.008</f>
        <v>1.0999999999999999E-2</v>
      </c>
      <c r="H216" s="101">
        <v>3.2000000000000001E-2</v>
      </c>
      <c r="I216" s="101">
        <f>0.011+0.032</f>
        <v>4.2999999999999997E-2</v>
      </c>
      <c r="J216" s="102" t="s">
        <v>341</v>
      </c>
      <c r="K216" s="103">
        <f t="shared" si="98"/>
        <v>9.000000000000008E-3</v>
      </c>
      <c r="L216" s="101">
        <f>0.02+0.032</f>
        <v>5.2000000000000005E-2</v>
      </c>
      <c r="M216" s="39">
        <f>L216/F216</f>
        <v>8.6666666666666679</v>
      </c>
      <c r="N216" s="37">
        <v>1.8</v>
      </c>
      <c r="O216" s="98"/>
    </row>
    <row r="217" spans="1:15" ht="15.75" customHeight="1" x14ac:dyDescent="0.2">
      <c r="A217" s="108"/>
      <c r="B217" s="109" t="s">
        <v>429</v>
      </c>
      <c r="C217" s="110">
        <f t="shared" si="99"/>
        <v>34451</v>
      </c>
      <c r="D217" s="117">
        <v>46</v>
      </c>
      <c r="E217" s="111" t="s">
        <v>84</v>
      </c>
      <c r="F217" s="112">
        <v>4.0000000000000001E-3</v>
      </c>
      <c r="G217" s="112">
        <f>0.02-0.008</f>
        <v>1.2E-2</v>
      </c>
      <c r="H217" s="112">
        <v>2.7E-2</v>
      </c>
      <c r="I217" s="112">
        <f>0.012+0.027</f>
        <v>3.9E-2</v>
      </c>
      <c r="J217" s="118" t="s">
        <v>341</v>
      </c>
      <c r="K217" s="113">
        <f t="shared" si="98"/>
        <v>2.8000000000000004E-2</v>
      </c>
      <c r="L217" s="112">
        <f>0.04+0.027</f>
        <v>6.7000000000000004E-2</v>
      </c>
      <c r="M217" s="114" t="s">
        <v>84</v>
      </c>
      <c r="N217" s="111" t="s">
        <v>84</v>
      </c>
      <c r="O217" s="115"/>
    </row>
    <row r="218" spans="1:15" ht="15.75" customHeight="1" x14ac:dyDescent="0.2">
      <c r="A218" s="108"/>
      <c r="B218" s="109" t="s">
        <v>430</v>
      </c>
      <c r="C218" s="110">
        <f>DATE(94,5,19)</f>
        <v>34473</v>
      </c>
      <c r="D218" s="117">
        <v>47</v>
      </c>
      <c r="E218" s="117">
        <v>6</v>
      </c>
      <c r="F218" s="112">
        <v>3.0000000000000001E-3</v>
      </c>
      <c r="G218" s="116" t="s">
        <v>343</v>
      </c>
      <c r="H218" s="112">
        <v>4.1000000000000002E-2</v>
      </c>
      <c r="I218" s="112">
        <f>0.001+0.041</f>
        <v>4.2000000000000003E-2</v>
      </c>
      <c r="J218" s="118" t="s">
        <v>341</v>
      </c>
      <c r="K218" s="113">
        <f t="shared" si="98"/>
        <v>1.8999999999999996E-2</v>
      </c>
      <c r="L218" s="112">
        <f>0.02+0.041</f>
        <v>6.0999999999999999E-2</v>
      </c>
      <c r="M218" s="119">
        <f>L218/F218</f>
        <v>20.333333333333332</v>
      </c>
      <c r="N218" s="117">
        <v>1.4</v>
      </c>
      <c r="O218" s="115"/>
    </row>
    <row r="219" spans="1:15" ht="15.75" customHeight="1" x14ac:dyDescent="0.2">
      <c r="A219" s="85"/>
      <c r="B219" s="99" t="s">
        <v>352</v>
      </c>
      <c r="C219" s="100">
        <f t="shared" ref="C219:C221" si="100">DATE(94,6,3)</f>
        <v>34488</v>
      </c>
      <c r="D219" s="37">
        <v>47.2</v>
      </c>
      <c r="E219" s="37">
        <v>8</v>
      </c>
      <c r="F219" s="101">
        <v>5.0000000000000001E-3</v>
      </c>
      <c r="G219" s="104" t="s">
        <v>343</v>
      </c>
      <c r="H219" s="101">
        <v>1.6E-2</v>
      </c>
      <c r="I219" s="101">
        <f>0.001+0.016</f>
        <v>1.7000000000000001E-2</v>
      </c>
      <c r="J219" s="103">
        <f>0.06-0.01</f>
        <v>4.9999999999999996E-2</v>
      </c>
      <c r="K219" s="103">
        <f t="shared" si="98"/>
        <v>4.9000000000000002E-2</v>
      </c>
      <c r="L219" s="101">
        <f t="shared" ref="L219:L220" si="101">J219+H219</f>
        <v>6.6000000000000003E-2</v>
      </c>
      <c r="M219" s="107" t="s">
        <v>84</v>
      </c>
      <c r="N219" s="37">
        <v>2.1</v>
      </c>
      <c r="O219" s="98"/>
    </row>
    <row r="220" spans="1:15" ht="15.75" customHeight="1" x14ac:dyDescent="0.2">
      <c r="A220" s="85"/>
      <c r="B220" s="99" t="s">
        <v>87</v>
      </c>
      <c r="C220" s="100">
        <f t="shared" si="100"/>
        <v>34488</v>
      </c>
      <c r="D220" s="106" t="s">
        <v>84</v>
      </c>
      <c r="E220" s="106" t="s">
        <v>84</v>
      </c>
      <c r="F220" s="101">
        <v>5.0000000000000001E-3</v>
      </c>
      <c r="G220" s="101">
        <f>0.018-0.008</f>
        <v>9.9999999999999985E-3</v>
      </c>
      <c r="H220" s="101">
        <v>2.1000000000000001E-2</v>
      </c>
      <c r="I220" s="101">
        <f>0.01+0.021</f>
        <v>3.1E-2</v>
      </c>
      <c r="J220" s="103">
        <f>0.07-0.01</f>
        <v>6.0000000000000005E-2</v>
      </c>
      <c r="K220" s="103">
        <f t="shared" si="98"/>
        <v>0.05</v>
      </c>
      <c r="L220" s="101">
        <f t="shared" si="101"/>
        <v>8.1000000000000003E-2</v>
      </c>
      <c r="M220" s="39">
        <f>L220/F220</f>
        <v>16.2</v>
      </c>
      <c r="N220" s="37">
        <v>1.6</v>
      </c>
      <c r="O220" s="98"/>
    </row>
    <row r="221" spans="1:15" ht="15.75" customHeight="1" x14ac:dyDescent="0.2">
      <c r="A221" s="108"/>
      <c r="B221" s="109" t="s">
        <v>429</v>
      </c>
      <c r="C221" s="110">
        <f t="shared" si="100"/>
        <v>34488</v>
      </c>
      <c r="D221" s="111" t="s">
        <v>84</v>
      </c>
      <c r="E221" s="111" t="s">
        <v>84</v>
      </c>
      <c r="F221" s="112">
        <v>4.0000000000000001E-3</v>
      </c>
      <c r="G221" s="112">
        <f>0.019-0.008</f>
        <v>1.0999999999999999E-2</v>
      </c>
      <c r="H221" s="112">
        <v>3.4000000000000002E-2</v>
      </c>
      <c r="I221" s="112">
        <f>0.011+0.034</f>
        <v>4.4999999999999998E-2</v>
      </c>
      <c r="J221" s="118" t="s">
        <v>341</v>
      </c>
      <c r="K221" s="113">
        <f t="shared" si="98"/>
        <v>9.000000000000008E-3</v>
      </c>
      <c r="L221" s="112">
        <f>0.02+0.034</f>
        <v>5.4000000000000006E-2</v>
      </c>
      <c r="M221" s="114" t="s">
        <v>84</v>
      </c>
      <c r="N221" s="111" t="s">
        <v>84</v>
      </c>
      <c r="O221" s="115"/>
    </row>
    <row r="222" spans="1:15" ht="15.75" customHeight="1" x14ac:dyDescent="0.2">
      <c r="A222" s="85"/>
      <c r="B222" s="99" t="s">
        <v>431</v>
      </c>
      <c r="C222" s="100">
        <f t="shared" ref="C222:C223" si="102">DATE(94,6,22)</f>
        <v>34507</v>
      </c>
      <c r="D222" s="37">
        <v>46.7</v>
      </c>
      <c r="E222" s="37">
        <v>8.3000000000000007</v>
      </c>
      <c r="F222" s="101">
        <v>3.0000000000000001E-3</v>
      </c>
      <c r="G222" s="104" t="s">
        <v>343</v>
      </c>
      <c r="H222" s="101">
        <v>1.6E-2</v>
      </c>
      <c r="I222" s="101">
        <f>0.002+0.016</f>
        <v>1.8000000000000002E-2</v>
      </c>
      <c r="J222" s="103">
        <f>0.13-0.01</f>
        <v>0.12000000000000001</v>
      </c>
      <c r="K222" s="103">
        <f t="shared" si="98"/>
        <v>0.11800000000000001</v>
      </c>
      <c r="L222" s="101">
        <f t="shared" ref="L222:L223" si="103">J222+H222</f>
        <v>0.13600000000000001</v>
      </c>
      <c r="M222" s="39">
        <f>L222/F222</f>
        <v>45.333333333333336</v>
      </c>
      <c r="N222" s="37">
        <v>1.9</v>
      </c>
      <c r="O222" s="98"/>
    </row>
    <row r="223" spans="1:15" ht="15.75" customHeight="1" x14ac:dyDescent="0.2">
      <c r="A223" s="108"/>
      <c r="B223" s="109" t="s">
        <v>429</v>
      </c>
      <c r="C223" s="110">
        <f t="shared" si="102"/>
        <v>34507</v>
      </c>
      <c r="D223" s="111" t="s">
        <v>84</v>
      </c>
      <c r="E223" s="111" t="s">
        <v>84</v>
      </c>
      <c r="F223" s="112">
        <v>4.0000000000000001E-3</v>
      </c>
      <c r="G223" s="112">
        <f>0.021-0.008</f>
        <v>1.3000000000000001E-2</v>
      </c>
      <c r="H223" s="112">
        <v>3.7999999999999999E-2</v>
      </c>
      <c r="I223" s="112">
        <f>0.013+0.038</f>
        <v>5.0999999999999997E-2</v>
      </c>
      <c r="J223" s="113">
        <f t="shared" ref="J223:J225" si="104">0.07-0.01</f>
        <v>6.0000000000000005E-2</v>
      </c>
      <c r="K223" s="113">
        <f t="shared" si="98"/>
        <v>4.7000000000000007E-2</v>
      </c>
      <c r="L223" s="112">
        <f t="shared" si="103"/>
        <v>9.8000000000000004E-2</v>
      </c>
      <c r="M223" s="114" t="s">
        <v>84</v>
      </c>
      <c r="N223" s="111" t="s">
        <v>84</v>
      </c>
      <c r="O223" s="115"/>
    </row>
    <row r="224" spans="1:15" ht="15.75" customHeight="1" x14ac:dyDescent="0.2">
      <c r="A224" s="85" t="s">
        <v>354</v>
      </c>
      <c r="B224" s="99" t="s">
        <v>432</v>
      </c>
      <c r="C224" s="100">
        <f t="shared" ref="C224:C226" si="105">DATE(94,7,12)</f>
        <v>34527</v>
      </c>
      <c r="D224" s="37">
        <v>47</v>
      </c>
      <c r="E224" s="37">
        <v>9.8000000000000007</v>
      </c>
      <c r="F224" s="101">
        <v>3.0000000000000001E-3</v>
      </c>
      <c r="G224" s="101">
        <f>0.033-0.008</f>
        <v>2.5000000000000001E-2</v>
      </c>
      <c r="H224" s="104" t="s">
        <v>343</v>
      </c>
      <c r="I224" s="101">
        <f>0.025+0.0025</f>
        <v>2.75E-2</v>
      </c>
      <c r="J224" s="103">
        <f t="shared" si="104"/>
        <v>6.0000000000000005E-2</v>
      </c>
      <c r="K224" s="103">
        <f t="shared" si="98"/>
        <v>3.5000000000000003E-2</v>
      </c>
      <c r="L224" s="101">
        <f>0.06+0.0025</f>
        <v>6.25E-2</v>
      </c>
      <c r="M224" s="39">
        <f t="shared" ref="M224:M225" si="106">L224/F224</f>
        <v>20.833333333333332</v>
      </c>
      <c r="N224" s="37">
        <v>0.7</v>
      </c>
      <c r="O224" s="98"/>
    </row>
    <row r="225" spans="1:15" ht="15.75" customHeight="1" x14ac:dyDescent="0.2">
      <c r="A225" s="85" t="s">
        <v>354</v>
      </c>
      <c r="B225" s="99" t="s">
        <v>433</v>
      </c>
      <c r="C225" s="100">
        <f t="shared" si="105"/>
        <v>34527</v>
      </c>
      <c r="D225" s="106" t="s">
        <v>84</v>
      </c>
      <c r="E225" s="106" t="s">
        <v>84</v>
      </c>
      <c r="F225" s="101">
        <v>3.0000000000000001E-3</v>
      </c>
      <c r="G225" s="101">
        <f>0.05-0.008</f>
        <v>4.2000000000000003E-2</v>
      </c>
      <c r="H225" s="101">
        <v>4.8000000000000001E-2</v>
      </c>
      <c r="I225" s="101">
        <f>0.042+0.048</f>
        <v>0.09</v>
      </c>
      <c r="J225" s="103">
        <f t="shared" si="104"/>
        <v>6.0000000000000005E-2</v>
      </c>
      <c r="K225" s="103">
        <f t="shared" si="98"/>
        <v>1.8000000000000016E-2</v>
      </c>
      <c r="L225" s="101">
        <f t="shared" ref="L225:L227" si="107">J225+H225</f>
        <v>0.10800000000000001</v>
      </c>
      <c r="M225" s="39">
        <f t="shared" si="106"/>
        <v>36</v>
      </c>
      <c r="N225" s="37">
        <v>1.4</v>
      </c>
      <c r="O225" s="98"/>
    </row>
    <row r="226" spans="1:15" ht="15.75" customHeight="1" x14ac:dyDescent="0.2">
      <c r="A226" s="108"/>
      <c r="B226" s="109" t="s">
        <v>434</v>
      </c>
      <c r="C226" s="110">
        <f t="shared" si="105"/>
        <v>34527</v>
      </c>
      <c r="D226" s="111" t="s">
        <v>84</v>
      </c>
      <c r="E226" s="111" t="s">
        <v>84</v>
      </c>
      <c r="F226" s="112">
        <v>3.0000000000000001E-3</v>
      </c>
      <c r="G226" s="112">
        <f>0.02-0.008</f>
        <v>1.2E-2</v>
      </c>
      <c r="H226" s="112">
        <v>4.1000000000000002E-2</v>
      </c>
      <c r="I226" s="112">
        <f>0.012+0.041</f>
        <v>5.3000000000000005E-2</v>
      </c>
      <c r="J226" s="113">
        <f>0.09-0.01</f>
        <v>0.08</v>
      </c>
      <c r="K226" s="113">
        <f t="shared" si="98"/>
        <v>6.7999999999999991E-2</v>
      </c>
      <c r="L226" s="112">
        <f t="shared" si="107"/>
        <v>0.121</v>
      </c>
      <c r="M226" s="114" t="s">
        <v>84</v>
      </c>
      <c r="N226" s="111" t="s">
        <v>84</v>
      </c>
      <c r="O226" s="115"/>
    </row>
    <row r="227" spans="1:15" ht="15.75" customHeight="1" x14ac:dyDescent="0.2">
      <c r="A227" s="85"/>
      <c r="B227" s="99" t="s">
        <v>435</v>
      </c>
      <c r="C227" s="100">
        <f t="shared" ref="C227:C231" si="108">DATE(94,8,9)</f>
        <v>34555</v>
      </c>
      <c r="D227" s="37">
        <v>47.1</v>
      </c>
      <c r="E227" s="37">
        <v>10.1</v>
      </c>
      <c r="F227" s="101">
        <v>4.0000000000000001E-3</v>
      </c>
      <c r="G227" s="104" t="s">
        <v>84</v>
      </c>
      <c r="H227" s="101">
        <v>1.7000000000000001E-2</v>
      </c>
      <c r="I227" s="101">
        <v>1.7000000000000001E-2</v>
      </c>
      <c r="J227" s="103">
        <f>0.07-0.01</f>
        <v>6.0000000000000005E-2</v>
      </c>
      <c r="K227" s="103">
        <f t="shared" si="98"/>
        <v>6.0000000000000012E-2</v>
      </c>
      <c r="L227" s="101">
        <f t="shared" si="107"/>
        <v>7.7000000000000013E-2</v>
      </c>
      <c r="M227" s="39">
        <f>L227/F227</f>
        <v>19.250000000000004</v>
      </c>
      <c r="N227" s="106" t="s">
        <v>84</v>
      </c>
      <c r="O227" s="98"/>
    </row>
    <row r="228" spans="1:15" ht="15.75" customHeight="1" x14ac:dyDescent="0.2">
      <c r="A228" s="85" t="s">
        <v>354</v>
      </c>
      <c r="B228" s="99" t="s">
        <v>91</v>
      </c>
      <c r="C228" s="100">
        <f t="shared" si="108"/>
        <v>34555</v>
      </c>
      <c r="D228" s="106" t="s">
        <v>84</v>
      </c>
      <c r="E228" s="106" t="s">
        <v>84</v>
      </c>
      <c r="F228" s="104" t="s">
        <v>84</v>
      </c>
      <c r="G228" s="104" t="s">
        <v>84</v>
      </c>
      <c r="H228" s="104" t="s">
        <v>84</v>
      </c>
      <c r="I228" s="104" t="s">
        <v>84</v>
      </c>
      <c r="J228" s="102" t="s">
        <v>84</v>
      </c>
      <c r="K228" s="102" t="s">
        <v>84</v>
      </c>
      <c r="L228" s="104" t="s">
        <v>84</v>
      </c>
      <c r="M228" s="107" t="s">
        <v>84</v>
      </c>
      <c r="N228" s="37">
        <v>0.37</v>
      </c>
      <c r="O228" s="98"/>
    </row>
    <row r="229" spans="1:15" ht="15.75" customHeight="1" x14ac:dyDescent="0.2">
      <c r="A229" s="85" t="s">
        <v>354</v>
      </c>
      <c r="B229" s="99" t="s">
        <v>436</v>
      </c>
      <c r="C229" s="100">
        <f t="shared" si="108"/>
        <v>34555</v>
      </c>
      <c r="D229" s="106" t="s">
        <v>84</v>
      </c>
      <c r="E229" s="106" t="s">
        <v>84</v>
      </c>
      <c r="F229" s="104" t="s">
        <v>84</v>
      </c>
      <c r="G229" s="104" t="s">
        <v>84</v>
      </c>
      <c r="H229" s="104" t="s">
        <v>84</v>
      </c>
      <c r="I229" s="104" t="s">
        <v>84</v>
      </c>
      <c r="J229" s="102" t="s">
        <v>84</v>
      </c>
      <c r="K229" s="102" t="s">
        <v>84</v>
      </c>
      <c r="L229" s="104" t="s">
        <v>84</v>
      </c>
      <c r="M229" s="107" t="s">
        <v>84</v>
      </c>
      <c r="N229" s="37">
        <v>1</v>
      </c>
      <c r="O229" s="98"/>
    </row>
    <row r="230" spans="1:15" ht="15.75" customHeight="1" x14ac:dyDescent="0.2">
      <c r="A230" s="85" t="s">
        <v>354</v>
      </c>
      <c r="B230" s="99" t="s">
        <v>437</v>
      </c>
      <c r="C230" s="100">
        <f t="shared" si="108"/>
        <v>34555</v>
      </c>
      <c r="D230" s="106" t="s">
        <v>84</v>
      </c>
      <c r="E230" s="106" t="s">
        <v>84</v>
      </c>
      <c r="F230" s="104" t="s">
        <v>84</v>
      </c>
      <c r="G230" s="104" t="s">
        <v>84</v>
      </c>
      <c r="H230" s="104" t="s">
        <v>84</v>
      </c>
      <c r="I230" s="104" t="s">
        <v>84</v>
      </c>
      <c r="J230" s="102" t="s">
        <v>84</v>
      </c>
      <c r="K230" s="102" t="s">
        <v>84</v>
      </c>
      <c r="L230" s="104" t="s">
        <v>84</v>
      </c>
      <c r="M230" s="107" t="s">
        <v>84</v>
      </c>
      <c r="N230" s="37">
        <v>1.2</v>
      </c>
      <c r="O230" s="98"/>
    </row>
    <row r="231" spans="1:15" ht="15.75" customHeight="1" x14ac:dyDescent="0.2">
      <c r="A231" s="108"/>
      <c r="B231" s="109" t="s">
        <v>438</v>
      </c>
      <c r="C231" s="110">
        <f t="shared" si="108"/>
        <v>34555</v>
      </c>
      <c r="D231" s="111" t="s">
        <v>84</v>
      </c>
      <c r="E231" s="111" t="s">
        <v>84</v>
      </c>
      <c r="F231" s="112">
        <v>4.0000000000000001E-3</v>
      </c>
      <c r="G231" s="116" t="s">
        <v>84</v>
      </c>
      <c r="H231" s="112">
        <v>4.5999999999999999E-2</v>
      </c>
      <c r="I231" s="112">
        <v>4.5999999999999999E-2</v>
      </c>
      <c r="J231" s="113">
        <f>0.1-0.01</f>
        <v>9.0000000000000011E-2</v>
      </c>
      <c r="K231" s="113">
        <f t="shared" ref="K231:K234" si="109">L231-I231</f>
        <v>9.0000000000000011E-2</v>
      </c>
      <c r="L231" s="112">
        <f>J231+H231</f>
        <v>0.13600000000000001</v>
      </c>
      <c r="M231" s="114" t="s">
        <v>84</v>
      </c>
      <c r="N231" s="111" t="s">
        <v>84</v>
      </c>
      <c r="O231" s="115"/>
    </row>
    <row r="232" spans="1:15" ht="15.75" customHeight="1" x14ac:dyDescent="0.2">
      <c r="A232" s="85" t="s">
        <v>354</v>
      </c>
      <c r="B232" s="99" t="s">
        <v>92</v>
      </c>
      <c r="C232" s="100">
        <f t="shared" ref="C232:C234" si="110">DATE(94,9,7)</f>
        <v>34584</v>
      </c>
      <c r="D232" s="37">
        <v>34.5</v>
      </c>
      <c r="E232" s="37">
        <v>12.3</v>
      </c>
      <c r="F232" s="101">
        <v>8.0000000000000002E-3</v>
      </c>
      <c r="G232" s="104" t="s">
        <v>343</v>
      </c>
      <c r="H232" s="104" t="s">
        <v>343</v>
      </c>
      <c r="I232" s="101">
        <f>0+0.0025</f>
        <v>2.5000000000000001E-3</v>
      </c>
      <c r="J232" s="102" t="s">
        <v>341</v>
      </c>
      <c r="K232" s="103">
        <f t="shared" si="109"/>
        <v>0.04</v>
      </c>
      <c r="L232" s="101">
        <f>0.04+0.0025</f>
        <v>4.2500000000000003E-2</v>
      </c>
      <c r="M232" s="39">
        <f t="shared" ref="M232:M234" si="111">L232/F232</f>
        <v>5.3125</v>
      </c>
      <c r="N232" s="37">
        <v>1.4</v>
      </c>
      <c r="O232" s="98"/>
    </row>
    <row r="233" spans="1:15" ht="15.75" customHeight="1" x14ac:dyDescent="0.2">
      <c r="A233" s="85" t="s">
        <v>354</v>
      </c>
      <c r="B233" s="99" t="s">
        <v>439</v>
      </c>
      <c r="C233" s="100">
        <f t="shared" si="110"/>
        <v>34584</v>
      </c>
      <c r="D233" s="106" t="s">
        <v>84</v>
      </c>
      <c r="E233" s="106" t="s">
        <v>84</v>
      </c>
      <c r="F233" s="101">
        <v>7.0000000000000001E-3</v>
      </c>
      <c r="G233" s="101">
        <f>0.027-0.008</f>
        <v>1.9E-2</v>
      </c>
      <c r="H233" s="101">
        <v>8.0000000000000002E-3</v>
      </c>
      <c r="I233" s="101">
        <f>0.019+0.008</f>
        <v>2.7E-2</v>
      </c>
      <c r="J233" s="103">
        <f t="shared" ref="J233:J234" si="112">0.06-0.01</f>
        <v>4.9999999999999996E-2</v>
      </c>
      <c r="K233" s="103">
        <f t="shared" si="109"/>
        <v>3.0999999999999996E-2</v>
      </c>
      <c r="L233" s="101">
        <f t="shared" ref="L233:L234" si="113">J233+H233</f>
        <v>5.7999999999999996E-2</v>
      </c>
      <c r="M233" s="39">
        <f t="shared" si="111"/>
        <v>8.2857142857142847</v>
      </c>
      <c r="N233" s="37">
        <v>0.8</v>
      </c>
      <c r="O233" s="98"/>
    </row>
    <row r="234" spans="1:15" ht="15.75" customHeight="1" x14ac:dyDescent="0.2">
      <c r="A234" s="85" t="s">
        <v>354</v>
      </c>
      <c r="B234" s="120" t="s">
        <v>440</v>
      </c>
      <c r="C234" s="121">
        <f t="shared" si="110"/>
        <v>34584</v>
      </c>
      <c r="D234" s="122" t="s">
        <v>84</v>
      </c>
      <c r="E234" s="122" t="s">
        <v>84</v>
      </c>
      <c r="F234" s="123">
        <v>7.0000000000000001E-3</v>
      </c>
      <c r="G234" s="123">
        <f>0.013-0.008</f>
        <v>4.9999999999999992E-3</v>
      </c>
      <c r="H234" s="123">
        <v>4.2999999999999997E-2</v>
      </c>
      <c r="I234" s="123">
        <f>0.005+0.043</f>
        <v>4.7999999999999994E-2</v>
      </c>
      <c r="J234" s="125">
        <f t="shared" si="112"/>
        <v>4.9999999999999996E-2</v>
      </c>
      <c r="K234" s="125">
        <f t="shared" si="109"/>
        <v>4.5000000000000005E-2</v>
      </c>
      <c r="L234" s="123">
        <f t="shared" si="113"/>
        <v>9.2999999999999999E-2</v>
      </c>
      <c r="M234" s="126">
        <f t="shared" si="111"/>
        <v>13.285714285714285</v>
      </c>
      <c r="N234" s="127">
        <v>0.6</v>
      </c>
      <c r="O234" s="128"/>
    </row>
    <row r="235" spans="1:15" ht="15.75" customHeight="1" x14ac:dyDescent="0.2">
      <c r="A235" s="38"/>
      <c r="B235" s="99"/>
      <c r="C235" s="100"/>
      <c r="D235" s="106"/>
      <c r="E235" s="106"/>
      <c r="F235" s="101"/>
      <c r="G235" s="101"/>
      <c r="H235" s="101"/>
      <c r="I235" s="101"/>
      <c r="J235" s="103"/>
      <c r="K235" s="103"/>
      <c r="L235" s="101"/>
      <c r="M235" s="39"/>
      <c r="N235" s="37"/>
    </row>
    <row r="236" spans="1:15" ht="15.75" customHeight="1" x14ac:dyDescent="0.2">
      <c r="A236" s="164"/>
      <c r="B236" s="87"/>
      <c r="C236" s="86"/>
      <c r="D236" s="131"/>
      <c r="E236" s="131"/>
      <c r="F236" s="132"/>
      <c r="G236" s="132"/>
      <c r="H236" s="133" t="s">
        <v>319</v>
      </c>
      <c r="I236" s="132"/>
      <c r="J236" s="134"/>
      <c r="K236" s="134"/>
      <c r="L236" s="132"/>
      <c r="M236" s="135"/>
      <c r="N236" s="131"/>
      <c r="O236" s="89"/>
    </row>
    <row r="237" spans="1:15" ht="15.75" customHeight="1" x14ac:dyDescent="0.25">
      <c r="A237" s="85"/>
      <c r="B237" s="90" t="s">
        <v>320</v>
      </c>
      <c r="C237" s="91"/>
      <c r="D237" s="136" t="s">
        <v>321</v>
      </c>
      <c r="E237" s="136" t="s">
        <v>322</v>
      </c>
      <c r="F237" s="137"/>
      <c r="G237" s="138" t="s">
        <v>323</v>
      </c>
      <c r="H237" s="139" t="s">
        <v>441</v>
      </c>
      <c r="I237" s="138" t="s">
        <v>323</v>
      </c>
      <c r="J237" s="140"/>
      <c r="K237" s="141" t="s">
        <v>323</v>
      </c>
      <c r="L237" s="137"/>
      <c r="M237" s="142"/>
      <c r="N237" s="143"/>
      <c r="O237" s="95"/>
    </row>
    <row r="238" spans="1:15" ht="15.75" customHeight="1" x14ac:dyDescent="0.25">
      <c r="A238" s="85"/>
      <c r="B238" s="90" t="s">
        <v>325</v>
      </c>
      <c r="C238" s="91"/>
      <c r="D238" s="136" t="s">
        <v>52</v>
      </c>
      <c r="E238" s="136" t="s">
        <v>52</v>
      </c>
      <c r="F238" s="138" t="s">
        <v>326</v>
      </c>
      <c r="G238" s="138" t="s">
        <v>442</v>
      </c>
      <c r="H238" s="139" t="s">
        <v>443</v>
      </c>
      <c r="I238" s="138" t="s">
        <v>329</v>
      </c>
      <c r="J238" s="141" t="s">
        <v>330</v>
      </c>
      <c r="K238" s="141" t="s">
        <v>331</v>
      </c>
      <c r="L238" s="138" t="s">
        <v>332</v>
      </c>
      <c r="M238" s="142"/>
      <c r="N238" s="136" t="s">
        <v>333</v>
      </c>
      <c r="O238" s="95"/>
    </row>
    <row r="239" spans="1:15" ht="15.75" customHeight="1" x14ac:dyDescent="0.2">
      <c r="A239" s="96"/>
      <c r="B239" s="97" t="s">
        <v>334</v>
      </c>
      <c r="C239" s="165" t="s">
        <v>335</v>
      </c>
      <c r="D239" s="166" t="s">
        <v>336</v>
      </c>
      <c r="E239" s="166" t="s">
        <v>336</v>
      </c>
      <c r="F239" s="167" t="s">
        <v>337</v>
      </c>
      <c r="G239" s="167" t="s">
        <v>337</v>
      </c>
      <c r="H239" s="167" t="s">
        <v>337</v>
      </c>
      <c r="I239" s="167" t="s">
        <v>337</v>
      </c>
      <c r="J239" s="168" t="s">
        <v>337</v>
      </c>
      <c r="K239" s="168" t="s">
        <v>337</v>
      </c>
      <c r="L239" s="167" t="s">
        <v>337</v>
      </c>
      <c r="M239" s="169" t="s">
        <v>338</v>
      </c>
      <c r="N239" s="166" t="s">
        <v>339</v>
      </c>
      <c r="O239" s="160"/>
    </row>
    <row r="240" spans="1:15" ht="15.75" customHeight="1" x14ac:dyDescent="0.2">
      <c r="A240" s="85"/>
      <c r="B240" s="99"/>
      <c r="C240" s="100"/>
      <c r="D240" s="106"/>
      <c r="E240" s="106"/>
      <c r="F240" s="101"/>
      <c r="G240" s="101"/>
      <c r="H240" s="101"/>
      <c r="I240" s="101"/>
      <c r="J240" s="103"/>
      <c r="K240" s="103"/>
      <c r="L240" s="101"/>
      <c r="M240" s="39"/>
      <c r="N240" s="37"/>
      <c r="O240" s="98"/>
    </row>
    <row r="241" spans="1:15" ht="15.75" customHeight="1" x14ac:dyDescent="0.2">
      <c r="A241" s="85"/>
      <c r="B241" s="90" t="s">
        <v>444</v>
      </c>
      <c r="C241" s="100"/>
      <c r="D241" s="106"/>
      <c r="E241" s="106"/>
      <c r="F241" s="101"/>
      <c r="G241" s="101"/>
      <c r="H241" s="101"/>
      <c r="I241" s="101"/>
      <c r="J241" s="103"/>
      <c r="K241" s="103"/>
      <c r="L241" s="101"/>
      <c r="M241" s="39"/>
      <c r="N241" s="37"/>
      <c r="O241" s="98"/>
    </row>
    <row r="242" spans="1:15" ht="15.75" customHeight="1" x14ac:dyDescent="0.2">
      <c r="A242" s="85" t="s">
        <v>354</v>
      </c>
      <c r="B242" s="99" t="s">
        <v>93</v>
      </c>
      <c r="C242" s="100">
        <f t="shared" ref="C242:C245" si="114">DATE(94,10,5)</f>
        <v>34612</v>
      </c>
      <c r="D242" s="37">
        <v>45.5</v>
      </c>
      <c r="E242" s="37">
        <v>13</v>
      </c>
      <c r="F242" s="104" t="s">
        <v>84</v>
      </c>
      <c r="G242" s="104" t="s">
        <v>84</v>
      </c>
      <c r="H242" s="104" t="s">
        <v>84</v>
      </c>
      <c r="I242" s="104" t="s">
        <v>84</v>
      </c>
      <c r="J242" s="102" t="s">
        <v>84</v>
      </c>
      <c r="K242" s="102" t="s">
        <v>84</v>
      </c>
      <c r="L242" s="104" t="s">
        <v>84</v>
      </c>
      <c r="M242" s="107" t="s">
        <v>84</v>
      </c>
      <c r="N242" s="37">
        <v>0.6</v>
      </c>
      <c r="O242" s="98"/>
    </row>
    <row r="243" spans="1:15" ht="15.75" customHeight="1" x14ac:dyDescent="0.2">
      <c r="A243" s="85" t="s">
        <v>354</v>
      </c>
      <c r="B243" s="99" t="s">
        <v>445</v>
      </c>
      <c r="C243" s="100">
        <f t="shared" si="114"/>
        <v>34612</v>
      </c>
      <c r="D243" s="106" t="s">
        <v>84</v>
      </c>
      <c r="E243" s="106" t="s">
        <v>84</v>
      </c>
      <c r="F243" s="104" t="s">
        <v>84</v>
      </c>
      <c r="G243" s="104" t="s">
        <v>84</v>
      </c>
      <c r="H243" s="104" t="s">
        <v>84</v>
      </c>
      <c r="I243" s="104" t="s">
        <v>84</v>
      </c>
      <c r="J243" s="102" t="s">
        <v>84</v>
      </c>
      <c r="K243" s="102" t="s">
        <v>84</v>
      </c>
      <c r="L243" s="104" t="s">
        <v>84</v>
      </c>
      <c r="M243" s="107" t="s">
        <v>84</v>
      </c>
      <c r="N243" s="37">
        <v>1.1000000000000001</v>
      </c>
      <c r="O243" s="98"/>
    </row>
    <row r="244" spans="1:15" ht="15.75" customHeight="1" x14ac:dyDescent="0.2">
      <c r="A244" s="85"/>
      <c r="B244" s="99" t="s">
        <v>446</v>
      </c>
      <c r="C244" s="100">
        <f t="shared" si="114"/>
        <v>34612</v>
      </c>
      <c r="D244" s="106" t="s">
        <v>84</v>
      </c>
      <c r="E244" s="106" t="s">
        <v>84</v>
      </c>
      <c r="F244" s="101">
        <v>4.0000000000000001E-3</v>
      </c>
      <c r="G244" s="104" t="s">
        <v>343</v>
      </c>
      <c r="H244" s="101">
        <v>1.4E-2</v>
      </c>
      <c r="I244" s="101">
        <v>1.4E-2</v>
      </c>
      <c r="J244" s="103">
        <f>0.08-0.01</f>
        <v>7.0000000000000007E-2</v>
      </c>
      <c r="K244" s="103">
        <f t="shared" ref="K244:K246" si="115">L244-I244</f>
        <v>7.0000000000000007E-2</v>
      </c>
      <c r="L244" s="101">
        <f>J244+H244</f>
        <v>8.4000000000000005E-2</v>
      </c>
      <c r="M244" s="39">
        <f t="shared" ref="M244:M246" si="116">L244/F244</f>
        <v>21</v>
      </c>
      <c r="N244" s="106" t="s">
        <v>84</v>
      </c>
      <c r="O244" s="98"/>
    </row>
    <row r="245" spans="1:15" ht="15.75" customHeight="1" x14ac:dyDescent="0.2">
      <c r="A245" s="108"/>
      <c r="B245" s="109" t="s">
        <v>447</v>
      </c>
      <c r="C245" s="110">
        <f t="shared" si="114"/>
        <v>34612</v>
      </c>
      <c r="D245" s="111" t="s">
        <v>84</v>
      </c>
      <c r="E245" s="111" t="s">
        <v>84</v>
      </c>
      <c r="F245" s="112">
        <v>3.0000000000000001E-3</v>
      </c>
      <c r="G245" s="116" t="s">
        <v>343</v>
      </c>
      <c r="H245" s="112">
        <v>6.3E-2</v>
      </c>
      <c r="I245" s="112">
        <v>6.3E-2</v>
      </c>
      <c r="J245" s="118" t="s">
        <v>341</v>
      </c>
      <c r="K245" s="113">
        <f t="shared" si="115"/>
        <v>4.0000000000000008E-2</v>
      </c>
      <c r="L245" s="112">
        <f>0.04+0.063</f>
        <v>0.10300000000000001</v>
      </c>
      <c r="M245" s="119">
        <f t="shared" si="116"/>
        <v>34.333333333333336</v>
      </c>
      <c r="N245" s="111" t="s">
        <v>84</v>
      </c>
      <c r="O245" s="115"/>
    </row>
    <row r="246" spans="1:15" ht="15.75" customHeight="1" x14ac:dyDescent="0.2">
      <c r="A246" s="108"/>
      <c r="B246" s="109" t="s">
        <v>448</v>
      </c>
      <c r="C246" s="110">
        <f>DATE(94,10,31)</f>
        <v>34638</v>
      </c>
      <c r="D246" s="111" t="s">
        <v>84</v>
      </c>
      <c r="E246" s="117">
        <v>12.1</v>
      </c>
      <c r="F246" s="112">
        <v>4.0000000000000001E-3</v>
      </c>
      <c r="G246" s="116" t="s">
        <v>343</v>
      </c>
      <c r="H246" s="112">
        <v>2.1000000000000001E-2</v>
      </c>
      <c r="I246" s="112">
        <f>0.003+0.021</f>
        <v>2.4E-2</v>
      </c>
      <c r="J246" s="113">
        <f>0.09-0.01</f>
        <v>0.08</v>
      </c>
      <c r="K246" s="113">
        <f t="shared" si="115"/>
        <v>7.7000000000000013E-2</v>
      </c>
      <c r="L246" s="112">
        <f>J246+H246</f>
        <v>0.10100000000000001</v>
      </c>
      <c r="M246" s="119">
        <f t="shared" si="116"/>
        <v>25.25</v>
      </c>
      <c r="N246" s="117">
        <v>1</v>
      </c>
      <c r="O246" s="115"/>
    </row>
    <row r="247" spans="1:15" ht="15.75" customHeight="1" x14ac:dyDescent="0.2">
      <c r="A247" s="85"/>
      <c r="C247" s="3"/>
      <c r="D247" s="13"/>
      <c r="E247" s="13"/>
      <c r="F247" s="153"/>
      <c r="G247" s="153"/>
      <c r="H247" s="153"/>
      <c r="I247" s="153"/>
      <c r="J247" s="14"/>
      <c r="K247" s="14"/>
      <c r="L247" s="153"/>
      <c r="M247" s="33"/>
      <c r="N247" s="13"/>
      <c r="O247" s="98"/>
    </row>
    <row r="248" spans="1:15" ht="15.75" customHeight="1" x14ac:dyDescent="0.2">
      <c r="A248" s="85"/>
      <c r="B248" s="99" t="s">
        <v>449</v>
      </c>
      <c r="C248" s="100">
        <f t="shared" ref="C248:C251" si="117">DATE(95,2,27)</f>
        <v>34757</v>
      </c>
      <c r="D248" s="37">
        <v>34.4</v>
      </c>
      <c r="E248" s="37">
        <v>11.9</v>
      </c>
      <c r="F248" s="104" t="s">
        <v>390</v>
      </c>
      <c r="G248" s="101">
        <f>0.044-0.021</f>
        <v>2.2999999999999996E-2</v>
      </c>
      <c r="H248" s="101">
        <v>0.03</v>
      </c>
      <c r="I248" s="101">
        <f>G248+H248</f>
        <v>5.2999999999999992E-2</v>
      </c>
      <c r="J248" s="103">
        <f>0.09-0.02</f>
        <v>6.9999999999999993E-2</v>
      </c>
      <c r="K248" s="103">
        <f>L248-I248</f>
        <v>4.7E-2</v>
      </c>
      <c r="L248" s="101">
        <f>J248+H248</f>
        <v>9.9999999999999992E-2</v>
      </c>
      <c r="M248" s="39">
        <f>0.053/0.001</f>
        <v>53</v>
      </c>
      <c r="N248" s="106" t="s">
        <v>84</v>
      </c>
      <c r="O248" s="98"/>
    </row>
    <row r="249" spans="1:15" ht="15.75" customHeight="1" x14ac:dyDescent="0.2">
      <c r="A249" s="85" t="s">
        <v>354</v>
      </c>
      <c r="B249" s="99" t="s">
        <v>393</v>
      </c>
      <c r="C249" s="100">
        <f t="shared" si="117"/>
        <v>34757</v>
      </c>
      <c r="D249" s="106" t="s">
        <v>84</v>
      </c>
      <c r="E249" s="106" t="s">
        <v>84</v>
      </c>
      <c r="F249" s="104" t="s">
        <v>84</v>
      </c>
      <c r="G249" s="104" t="s">
        <v>84</v>
      </c>
      <c r="H249" s="104" t="s">
        <v>84</v>
      </c>
      <c r="I249" s="104" t="s">
        <v>84</v>
      </c>
      <c r="J249" s="102" t="s">
        <v>84</v>
      </c>
      <c r="K249" s="102" t="s">
        <v>84</v>
      </c>
      <c r="L249" s="104" t="s">
        <v>84</v>
      </c>
      <c r="M249" s="107" t="s">
        <v>84</v>
      </c>
      <c r="N249" s="37">
        <v>1.5</v>
      </c>
      <c r="O249" s="98"/>
    </row>
    <row r="250" spans="1:15" ht="15.75" customHeight="1" x14ac:dyDescent="0.2">
      <c r="A250" s="85" t="s">
        <v>354</v>
      </c>
      <c r="B250" s="99" t="s">
        <v>450</v>
      </c>
      <c r="C250" s="100">
        <f t="shared" si="117"/>
        <v>34757</v>
      </c>
      <c r="D250" s="106" t="s">
        <v>84</v>
      </c>
      <c r="E250" s="106" t="s">
        <v>84</v>
      </c>
      <c r="F250" s="104" t="s">
        <v>84</v>
      </c>
      <c r="G250" s="104" t="s">
        <v>84</v>
      </c>
      <c r="H250" s="104" t="s">
        <v>84</v>
      </c>
      <c r="I250" s="104" t="s">
        <v>84</v>
      </c>
      <c r="J250" s="102" t="s">
        <v>84</v>
      </c>
      <c r="K250" s="102" t="s">
        <v>84</v>
      </c>
      <c r="L250" s="104" t="s">
        <v>84</v>
      </c>
      <c r="M250" s="107" t="s">
        <v>84</v>
      </c>
      <c r="N250" s="37">
        <v>1.4</v>
      </c>
      <c r="O250" s="98"/>
    </row>
    <row r="251" spans="1:15" ht="15.75" customHeight="1" x14ac:dyDescent="0.2">
      <c r="A251" s="108"/>
      <c r="B251" s="109" t="s">
        <v>451</v>
      </c>
      <c r="C251" s="110">
        <f t="shared" si="117"/>
        <v>34757</v>
      </c>
      <c r="D251" s="111" t="s">
        <v>84</v>
      </c>
      <c r="E251" s="111" t="s">
        <v>84</v>
      </c>
      <c r="F251" s="116" t="s">
        <v>390</v>
      </c>
      <c r="G251" s="116" t="s">
        <v>343</v>
      </c>
      <c r="H251" s="112">
        <v>0.03</v>
      </c>
      <c r="I251" s="112">
        <f>0+0.03</f>
        <v>0.03</v>
      </c>
      <c r="J251" s="118" t="s">
        <v>341</v>
      </c>
      <c r="K251" s="113">
        <f t="shared" ref="K251:K252" si="118">L251-I251</f>
        <v>0.03</v>
      </c>
      <c r="L251" s="112">
        <f>0.03+0.03</f>
        <v>0.06</v>
      </c>
      <c r="M251" s="114" t="s">
        <v>84</v>
      </c>
      <c r="N251" s="111" t="s">
        <v>84</v>
      </c>
      <c r="O251" s="115"/>
    </row>
    <row r="252" spans="1:15" ht="15.75" customHeight="1" x14ac:dyDescent="0.2">
      <c r="A252" s="85"/>
      <c r="B252" s="99" t="s">
        <v>452</v>
      </c>
      <c r="C252" s="100">
        <f t="shared" ref="C252:C255" si="119">DATE(95,3,22)</f>
        <v>34780</v>
      </c>
      <c r="D252" s="37">
        <v>46.9</v>
      </c>
      <c r="E252" s="37">
        <v>10.5</v>
      </c>
      <c r="F252" s="101">
        <v>4.0000000000000001E-3</v>
      </c>
      <c r="G252" s="104" t="s">
        <v>343</v>
      </c>
      <c r="H252" s="101">
        <v>2.8000000000000001E-2</v>
      </c>
      <c r="I252" s="101">
        <f>0+0.028</f>
        <v>2.8000000000000001E-2</v>
      </c>
      <c r="J252" s="102" t="s">
        <v>341</v>
      </c>
      <c r="K252" s="103">
        <f t="shared" si="118"/>
        <v>0.02</v>
      </c>
      <c r="L252" s="101">
        <f>0.02+0.028</f>
        <v>4.8000000000000001E-2</v>
      </c>
      <c r="M252" s="39">
        <f>L252/F252</f>
        <v>12</v>
      </c>
      <c r="N252" s="106" t="s">
        <v>84</v>
      </c>
      <c r="O252" s="98"/>
    </row>
    <row r="253" spans="1:15" ht="15.75" customHeight="1" x14ac:dyDescent="0.2">
      <c r="A253" s="85" t="s">
        <v>354</v>
      </c>
      <c r="B253" s="99" t="s">
        <v>82</v>
      </c>
      <c r="C253" s="100">
        <f t="shared" si="119"/>
        <v>34780</v>
      </c>
      <c r="D253" s="106" t="s">
        <v>84</v>
      </c>
      <c r="E253" s="106" t="s">
        <v>84</v>
      </c>
      <c r="F253" s="104" t="s">
        <v>84</v>
      </c>
      <c r="G253" s="104" t="s">
        <v>84</v>
      </c>
      <c r="H253" s="104" t="s">
        <v>84</v>
      </c>
      <c r="I253" s="104" t="s">
        <v>84</v>
      </c>
      <c r="J253" s="102" t="s">
        <v>84</v>
      </c>
      <c r="K253" s="102" t="s">
        <v>84</v>
      </c>
      <c r="L253" s="104" t="s">
        <v>84</v>
      </c>
      <c r="M253" s="107" t="s">
        <v>84</v>
      </c>
      <c r="N253" s="37">
        <v>1.8</v>
      </c>
      <c r="O253" s="98"/>
    </row>
    <row r="254" spans="1:15" ht="15.75" customHeight="1" x14ac:dyDescent="0.2">
      <c r="A254" s="85" t="s">
        <v>354</v>
      </c>
      <c r="B254" s="99" t="s">
        <v>453</v>
      </c>
      <c r="C254" s="100">
        <f t="shared" si="119"/>
        <v>34780</v>
      </c>
      <c r="D254" s="106" t="s">
        <v>84</v>
      </c>
      <c r="E254" s="106" t="s">
        <v>84</v>
      </c>
      <c r="F254" s="104" t="s">
        <v>84</v>
      </c>
      <c r="G254" s="104" t="s">
        <v>84</v>
      </c>
      <c r="H254" s="104" t="s">
        <v>84</v>
      </c>
      <c r="I254" s="104" t="s">
        <v>84</v>
      </c>
      <c r="J254" s="102" t="s">
        <v>84</v>
      </c>
      <c r="K254" s="102" t="s">
        <v>84</v>
      </c>
      <c r="L254" s="104" t="s">
        <v>84</v>
      </c>
      <c r="M254" s="107" t="s">
        <v>84</v>
      </c>
      <c r="N254" s="37">
        <v>1.7</v>
      </c>
      <c r="O254" s="98"/>
    </row>
    <row r="255" spans="1:15" ht="15.75" customHeight="1" x14ac:dyDescent="0.2">
      <c r="A255" s="108"/>
      <c r="B255" s="109" t="s">
        <v>454</v>
      </c>
      <c r="C255" s="110">
        <f t="shared" si="119"/>
        <v>34780</v>
      </c>
      <c r="D255" s="111" t="s">
        <v>84</v>
      </c>
      <c r="E255" s="111" t="s">
        <v>84</v>
      </c>
      <c r="F255" s="112">
        <v>3.0000000000000001E-3</v>
      </c>
      <c r="G255" s="116" t="s">
        <v>343</v>
      </c>
      <c r="H255" s="112">
        <v>2.5999999999999999E-2</v>
      </c>
      <c r="I255" s="112">
        <f>0+0.026</f>
        <v>2.5999999999999999E-2</v>
      </c>
      <c r="J255" s="118" t="s">
        <v>341</v>
      </c>
      <c r="K255" s="113">
        <f t="shared" ref="K255:K258" si="120">L255-I255</f>
        <v>0.02</v>
      </c>
      <c r="L255" s="112">
        <f>0.02+0.026</f>
        <v>4.5999999999999999E-2</v>
      </c>
      <c r="M255" s="114" t="s">
        <v>84</v>
      </c>
      <c r="N255" s="111" t="s">
        <v>84</v>
      </c>
      <c r="O255" s="115"/>
    </row>
    <row r="256" spans="1:15" ht="15.75" customHeight="1" x14ac:dyDescent="0.2">
      <c r="A256" s="85"/>
      <c r="B256" s="99" t="s">
        <v>455</v>
      </c>
      <c r="C256" s="100">
        <f t="shared" ref="C256:C257" si="121">DATE(95,4,12)</f>
        <v>34801</v>
      </c>
      <c r="D256" s="37">
        <v>47</v>
      </c>
      <c r="E256" s="37">
        <v>7.7</v>
      </c>
      <c r="F256" s="101">
        <v>4.0000000000000001E-3</v>
      </c>
      <c r="G256" s="104" t="s">
        <v>343</v>
      </c>
      <c r="H256" s="101">
        <v>2.3E-2</v>
      </c>
      <c r="I256" s="101">
        <f>0+0.023</f>
        <v>2.3E-2</v>
      </c>
      <c r="J256" s="102" t="s">
        <v>341</v>
      </c>
      <c r="K256" s="103">
        <f t="shared" si="120"/>
        <v>1.9999999999999997E-2</v>
      </c>
      <c r="L256" s="101">
        <f>0.02+0.023</f>
        <v>4.2999999999999997E-2</v>
      </c>
      <c r="M256" s="39">
        <f>L256/F256</f>
        <v>10.749999999999998</v>
      </c>
      <c r="N256" s="37">
        <v>1.2</v>
      </c>
      <c r="O256" s="98"/>
    </row>
    <row r="257" spans="1:15" ht="15.75" customHeight="1" x14ac:dyDescent="0.2">
      <c r="A257" s="108"/>
      <c r="B257" s="109" t="s">
        <v>456</v>
      </c>
      <c r="C257" s="110">
        <f t="shared" si="121"/>
        <v>34801</v>
      </c>
      <c r="D257" s="111" t="s">
        <v>84</v>
      </c>
      <c r="E257" s="111" t="s">
        <v>84</v>
      </c>
      <c r="F257" s="112">
        <v>3.0000000000000001E-3</v>
      </c>
      <c r="G257" s="116" t="s">
        <v>343</v>
      </c>
      <c r="H257" s="112">
        <v>3.1E-2</v>
      </c>
      <c r="I257" s="112">
        <f>0+0.031</f>
        <v>3.1E-2</v>
      </c>
      <c r="J257" s="118" t="s">
        <v>341</v>
      </c>
      <c r="K257" s="113">
        <f t="shared" si="120"/>
        <v>0.03</v>
      </c>
      <c r="L257" s="112">
        <f>0.03+0.031</f>
        <v>6.0999999999999999E-2</v>
      </c>
      <c r="M257" s="114" t="s">
        <v>84</v>
      </c>
      <c r="N257" s="111" t="s">
        <v>84</v>
      </c>
      <c r="O257" s="115"/>
    </row>
    <row r="258" spans="1:15" ht="15.75" customHeight="1" x14ac:dyDescent="0.2">
      <c r="A258" s="85"/>
      <c r="B258" s="99" t="s">
        <v>457</v>
      </c>
      <c r="C258" s="100">
        <f t="shared" ref="C258:C261" si="122">DATE(95,5,4)</f>
        <v>34823</v>
      </c>
      <c r="D258" s="37">
        <v>43.9</v>
      </c>
      <c r="E258" s="37">
        <v>9.1999999999999993</v>
      </c>
      <c r="F258" s="101">
        <v>2E-3</v>
      </c>
      <c r="G258" s="101">
        <f>0.033-0.02</f>
        <v>1.3000000000000001E-2</v>
      </c>
      <c r="H258" s="101">
        <v>2.1000000000000001E-2</v>
      </c>
      <c r="I258" s="101">
        <f>G258+H258</f>
        <v>3.4000000000000002E-2</v>
      </c>
      <c r="J258" s="103">
        <f>0.1-0.02</f>
        <v>0.08</v>
      </c>
      <c r="K258" s="103">
        <f t="shared" si="120"/>
        <v>6.7000000000000004E-2</v>
      </c>
      <c r="L258" s="101">
        <f>J258+H258</f>
        <v>0.10100000000000001</v>
      </c>
      <c r="M258" s="39">
        <f>L258/F258</f>
        <v>50.5</v>
      </c>
      <c r="N258" s="106" t="s">
        <v>84</v>
      </c>
      <c r="O258" s="98"/>
    </row>
    <row r="259" spans="1:15" ht="15.75" customHeight="1" x14ac:dyDescent="0.2">
      <c r="A259" s="85" t="s">
        <v>354</v>
      </c>
      <c r="B259" s="99" t="s">
        <v>414</v>
      </c>
      <c r="C259" s="100">
        <f t="shared" si="122"/>
        <v>34823</v>
      </c>
      <c r="D259" s="106" t="s">
        <v>84</v>
      </c>
      <c r="E259" s="106" t="s">
        <v>84</v>
      </c>
      <c r="F259" s="104" t="s">
        <v>84</v>
      </c>
      <c r="G259" s="104" t="s">
        <v>84</v>
      </c>
      <c r="H259" s="104" t="s">
        <v>84</v>
      </c>
      <c r="I259" s="104" t="s">
        <v>84</v>
      </c>
      <c r="J259" s="102" t="s">
        <v>84</v>
      </c>
      <c r="K259" s="102" t="s">
        <v>84</v>
      </c>
      <c r="L259" s="104" t="s">
        <v>84</v>
      </c>
      <c r="M259" s="107" t="s">
        <v>84</v>
      </c>
      <c r="N259" s="37">
        <v>2.8</v>
      </c>
      <c r="O259" s="98"/>
    </row>
    <row r="260" spans="1:15" ht="15.75" customHeight="1" x14ac:dyDescent="0.2">
      <c r="A260" s="85" t="s">
        <v>354</v>
      </c>
      <c r="B260" s="99" t="s">
        <v>458</v>
      </c>
      <c r="C260" s="100">
        <f t="shared" si="122"/>
        <v>34823</v>
      </c>
      <c r="D260" s="106" t="s">
        <v>84</v>
      </c>
      <c r="E260" s="106" t="s">
        <v>84</v>
      </c>
      <c r="F260" s="104" t="s">
        <v>84</v>
      </c>
      <c r="G260" s="104" t="s">
        <v>84</v>
      </c>
      <c r="H260" s="104" t="s">
        <v>84</v>
      </c>
      <c r="I260" s="104" t="s">
        <v>84</v>
      </c>
      <c r="J260" s="102" t="s">
        <v>84</v>
      </c>
      <c r="K260" s="102" t="s">
        <v>84</v>
      </c>
      <c r="L260" s="104" t="s">
        <v>84</v>
      </c>
      <c r="M260" s="107" t="s">
        <v>84</v>
      </c>
      <c r="N260" s="37">
        <v>2.5</v>
      </c>
      <c r="O260" s="98"/>
    </row>
    <row r="261" spans="1:15" ht="15.75" customHeight="1" x14ac:dyDescent="0.2">
      <c r="A261" s="108"/>
      <c r="B261" s="109" t="s">
        <v>278</v>
      </c>
      <c r="C261" s="110">
        <f t="shared" si="122"/>
        <v>34823</v>
      </c>
      <c r="D261" s="111" t="s">
        <v>84</v>
      </c>
      <c r="E261" s="111" t="s">
        <v>84</v>
      </c>
      <c r="F261" s="112">
        <v>3.0000000000000001E-3</v>
      </c>
      <c r="G261" s="112">
        <f>0.031-0.02</f>
        <v>1.0999999999999999E-2</v>
      </c>
      <c r="H261" s="112">
        <v>2.1000000000000001E-2</v>
      </c>
      <c r="I261" s="112">
        <f t="shared" ref="I261:I262" si="123">G261+H261</f>
        <v>3.2000000000000001E-2</v>
      </c>
      <c r="J261" s="113">
        <f>0.09-0.02</f>
        <v>6.9999999999999993E-2</v>
      </c>
      <c r="K261" s="113">
        <f t="shared" ref="K261:K262" si="124">L261-I261</f>
        <v>5.8999999999999997E-2</v>
      </c>
      <c r="L261" s="112">
        <f t="shared" ref="L261:L262" si="125">J261+H261</f>
        <v>9.0999999999999998E-2</v>
      </c>
      <c r="M261" s="114" t="s">
        <v>84</v>
      </c>
      <c r="N261" s="111" t="s">
        <v>84</v>
      </c>
      <c r="O261" s="115"/>
    </row>
    <row r="262" spans="1:15" ht="15.75" customHeight="1" x14ac:dyDescent="0.2">
      <c r="A262" s="85"/>
      <c r="B262" s="99" t="s">
        <v>368</v>
      </c>
      <c r="C262" s="100">
        <f t="shared" ref="C262:C265" si="126">DATE(95,5,24)</f>
        <v>34843</v>
      </c>
      <c r="D262" s="37">
        <v>44.8</v>
      </c>
      <c r="E262" s="37">
        <v>6.3</v>
      </c>
      <c r="F262" s="104" t="s">
        <v>390</v>
      </c>
      <c r="G262" s="101">
        <f>0.06-0.023</f>
        <v>3.6999999999999998E-2</v>
      </c>
      <c r="H262" s="101">
        <v>2.1999999999999999E-2</v>
      </c>
      <c r="I262" s="101">
        <f t="shared" si="123"/>
        <v>5.8999999999999997E-2</v>
      </c>
      <c r="J262" s="103">
        <f>0.13-0.02</f>
        <v>0.11</v>
      </c>
      <c r="K262" s="103">
        <f t="shared" si="124"/>
        <v>7.3000000000000009E-2</v>
      </c>
      <c r="L262" s="101">
        <f t="shared" si="125"/>
        <v>0.13200000000000001</v>
      </c>
      <c r="M262" s="39">
        <f>0.132/0.001</f>
        <v>132</v>
      </c>
      <c r="N262" s="106" t="s">
        <v>84</v>
      </c>
      <c r="O262" s="98"/>
    </row>
    <row r="263" spans="1:15" ht="15.75" customHeight="1" x14ac:dyDescent="0.2">
      <c r="A263" s="85" t="s">
        <v>354</v>
      </c>
      <c r="B263" s="99" t="s">
        <v>396</v>
      </c>
      <c r="C263" s="100">
        <f t="shared" si="126"/>
        <v>34843</v>
      </c>
      <c r="D263" s="106" t="s">
        <v>84</v>
      </c>
      <c r="E263" s="106" t="s">
        <v>84</v>
      </c>
      <c r="F263" s="104" t="s">
        <v>84</v>
      </c>
      <c r="G263" s="104" t="s">
        <v>84</v>
      </c>
      <c r="H263" s="104" t="s">
        <v>84</v>
      </c>
      <c r="I263" s="104" t="s">
        <v>84</v>
      </c>
      <c r="J263" s="102" t="s">
        <v>84</v>
      </c>
      <c r="K263" s="102" t="s">
        <v>84</v>
      </c>
      <c r="L263" s="104" t="s">
        <v>84</v>
      </c>
      <c r="M263" s="107" t="s">
        <v>84</v>
      </c>
      <c r="N263" s="37">
        <v>1.4</v>
      </c>
      <c r="O263" s="98"/>
    </row>
    <row r="264" spans="1:15" ht="15.75" customHeight="1" x14ac:dyDescent="0.2">
      <c r="A264" s="85" t="s">
        <v>354</v>
      </c>
      <c r="B264" s="99" t="s">
        <v>459</v>
      </c>
      <c r="C264" s="100">
        <f t="shared" si="126"/>
        <v>34843</v>
      </c>
      <c r="D264" s="106" t="s">
        <v>84</v>
      </c>
      <c r="E264" s="106" t="s">
        <v>84</v>
      </c>
      <c r="F264" s="104" t="s">
        <v>84</v>
      </c>
      <c r="G264" s="104" t="s">
        <v>84</v>
      </c>
      <c r="H264" s="104" t="s">
        <v>84</v>
      </c>
      <c r="I264" s="104" t="s">
        <v>84</v>
      </c>
      <c r="J264" s="102" t="s">
        <v>84</v>
      </c>
      <c r="K264" s="102" t="s">
        <v>84</v>
      </c>
      <c r="L264" s="104" t="s">
        <v>84</v>
      </c>
      <c r="M264" s="107" t="s">
        <v>84</v>
      </c>
      <c r="N264" s="37">
        <v>0.6</v>
      </c>
      <c r="O264" s="98"/>
    </row>
    <row r="265" spans="1:15" ht="15.75" customHeight="1" x14ac:dyDescent="0.2">
      <c r="A265" s="108"/>
      <c r="B265" s="109" t="s">
        <v>460</v>
      </c>
      <c r="C265" s="110">
        <f t="shared" si="126"/>
        <v>34843</v>
      </c>
      <c r="D265" s="111" t="s">
        <v>84</v>
      </c>
      <c r="E265" s="111" t="s">
        <v>84</v>
      </c>
      <c r="F265" s="112">
        <v>2E-3</v>
      </c>
      <c r="G265" s="112">
        <f>0.054-0.023</f>
        <v>3.1E-2</v>
      </c>
      <c r="H265" s="112">
        <v>2.5999999999999999E-2</v>
      </c>
      <c r="I265" s="112">
        <f>G265+H265</f>
        <v>5.6999999999999995E-2</v>
      </c>
      <c r="J265" s="113">
        <f t="shared" ref="J265:J266" si="127">0.14-0.02</f>
        <v>0.12000000000000001</v>
      </c>
      <c r="K265" s="113">
        <f t="shared" ref="K265:K266" si="128">L265-I265</f>
        <v>8.9000000000000024E-2</v>
      </c>
      <c r="L265" s="112">
        <f>J265+H265</f>
        <v>0.14600000000000002</v>
      </c>
      <c r="M265" s="114" t="s">
        <v>84</v>
      </c>
      <c r="N265" s="111" t="s">
        <v>84</v>
      </c>
      <c r="O265" s="115"/>
    </row>
    <row r="266" spans="1:15" ht="15.75" customHeight="1" x14ac:dyDescent="0.2">
      <c r="A266" s="85"/>
      <c r="B266" s="99" t="s">
        <v>81</v>
      </c>
      <c r="C266" s="100">
        <f t="shared" ref="C266:C269" si="129">DATE(95,6,13)</f>
        <v>34863</v>
      </c>
      <c r="D266" s="37">
        <v>44.2</v>
      </c>
      <c r="E266" s="37">
        <v>5</v>
      </c>
      <c r="F266" s="101">
        <v>2E-3</v>
      </c>
      <c r="G266" s="101">
        <f>0.076-0.026</f>
        <v>0.05</v>
      </c>
      <c r="H266" s="104" t="s">
        <v>343</v>
      </c>
      <c r="I266" s="101">
        <f>0.05+0.0025</f>
        <v>5.2500000000000005E-2</v>
      </c>
      <c r="J266" s="103">
        <f t="shared" si="127"/>
        <v>0.12000000000000001</v>
      </c>
      <c r="K266" s="103">
        <f t="shared" si="128"/>
        <v>6.9999999999999993E-2</v>
      </c>
      <c r="L266" s="101">
        <f>0.12+0.0025</f>
        <v>0.1225</v>
      </c>
      <c r="M266" s="39">
        <f>L266/F266</f>
        <v>61.25</v>
      </c>
      <c r="N266" s="106" t="s">
        <v>84</v>
      </c>
      <c r="O266" s="98"/>
    </row>
    <row r="267" spans="1:15" ht="15.75" customHeight="1" x14ac:dyDescent="0.2">
      <c r="A267" s="85" t="s">
        <v>354</v>
      </c>
      <c r="B267" s="99" t="s">
        <v>461</v>
      </c>
      <c r="C267" s="100">
        <f t="shared" si="129"/>
        <v>34863</v>
      </c>
      <c r="D267" s="106" t="s">
        <v>84</v>
      </c>
      <c r="E267" s="106" t="s">
        <v>84</v>
      </c>
      <c r="F267" s="104" t="s">
        <v>84</v>
      </c>
      <c r="G267" s="104" t="s">
        <v>84</v>
      </c>
      <c r="H267" s="104" t="s">
        <v>84</v>
      </c>
      <c r="I267" s="104" t="s">
        <v>84</v>
      </c>
      <c r="J267" s="102" t="s">
        <v>84</v>
      </c>
      <c r="K267" s="102" t="s">
        <v>84</v>
      </c>
      <c r="L267" s="104" t="s">
        <v>84</v>
      </c>
      <c r="M267" s="107" t="s">
        <v>84</v>
      </c>
      <c r="N267" s="37">
        <v>2.4</v>
      </c>
      <c r="O267" s="98"/>
    </row>
    <row r="268" spans="1:15" ht="15.75" customHeight="1" x14ac:dyDescent="0.2">
      <c r="A268" s="85" t="s">
        <v>354</v>
      </c>
      <c r="B268" s="99" t="s">
        <v>462</v>
      </c>
      <c r="C268" s="100">
        <f t="shared" si="129"/>
        <v>34863</v>
      </c>
      <c r="D268" s="106" t="s">
        <v>84</v>
      </c>
      <c r="E268" s="106" t="s">
        <v>84</v>
      </c>
      <c r="F268" s="104" t="s">
        <v>84</v>
      </c>
      <c r="G268" s="104" t="s">
        <v>84</v>
      </c>
      <c r="H268" s="104" t="s">
        <v>84</v>
      </c>
      <c r="I268" s="104" t="s">
        <v>84</v>
      </c>
      <c r="J268" s="102" t="s">
        <v>84</v>
      </c>
      <c r="K268" s="102" t="s">
        <v>84</v>
      </c>
      <c r="L268" s="104" t="s">
        <v>84</v>
      </c>
      <c r="M268" s="107" t="s">
        <v>84</v>
      </c>
      <c r="N268" s="37">
        <v>3.2</v>
      </c>
      <c r="O268" s="98"/>
    </row>
    <row r="269" spans="1:15" ht="15.75" customHeight="1" x14ac:dyDescent="0.2">
      <c r="A269" s="108"/>
      <c r="B269" s="109" t="s">
        <v>454</v>
      </c>
      <c r="C269" s="110">
        <f t="shared" si="129"/>
        <v>34863</v>
      </c>
      <c r="D269" s="111" t="s">
        <v>84</v>
      </c>
      <c r="E269" s="111" t="s">
        <v>84</v>
      </c>
      <c r="F269" s="112">
        <v>4.0000000000000001E-3</v>
      </c>
      <c r="G269" s="112">
        <f>0.035-0.026</f>
        <v>9.0000000000000045E-3</v>
      </c>
      <c r="H269" s="112">
        <v>2.3E-2</v>
      </c>
      <c r="I269" s="112">
        <f>G269+H269</f>
        <v>3.2000000000000001E-2</v>
      </c>
      <c r="J269" s="113">
        <f>0.09-0.02</f>
        <v>6.9999999999999993E-2</v>
      </c>
      <c r="K269" s="113">
        <f t="shared" ref="K269:K272" si="130">L269-I269</f>
        <v>6.0999999999999999E-2</v>
      </c>
      <c r="L269" s="112">
        <f>J269+H269</f>
        <v>9.2999999999999999E-2</v>
      </c>
      <c r="M269" s="114" t="s">
        <v>84</v>
      </c>
      <c r="N269" s="111" t="s">
        <v>84</v>
      </c>
      <c r="O269" s="115"/>
    </row>
    <row r="270" spans="1:15" ht="15.75" customHeight="1" x14ac:dyDescent="0.2">
      <c r="A270" s="85" t="s">
        <v>354</v>
      </c>
      <c r="B270" s="99" t="s">
        <v>463</v>
      </c>
      <c r="C270" s="100">
        <f t="shared" ref="C270:C272" si="131">DATE(95,7,6)</f>
        <v>34886</v>
      </c>
      <c r="D270" s="37">
        <v>46</v>
      </c>
      <c r="E270" s="37">
        <v>8.6</v>
      </c>
      <c r="F270" s="101">
        <v>4.0000000000000001E-3</v>
      </c>
      <c r="G270" s="104" t="s">
        <v>343</v>
      </c>
      <c r="H270" s="104" t="s">
        <v>343</v>
      </c>
      <c r="I270" s="101">
        <f>0+0.0025</f>
        <v>2.5000000000000001E-3</v>
      </c>
      <c r="J270" s="103">
        <f t="shared" ref="J270:J271" si="132">0.08-0.03</f>
        <v>0.05</v>
      </c>
      <c r="K270" s="103">
        <f t="shared" si="130"/>
        <v>0.05</v>
      </c>
      <c r="L270" s="101">
        <f>0.05+0.0025</f>
        <v>5.2500000000000005E-2</v>
      </c>
      <c r="M270" s="39">
        <f t="shared" ref="M270:M271" si="133">L270/F270</f>
        <v>13.125000000000002</v>
      </c>
      <c r="N270" s="37">
        <v>1.4</v>
      </c>
      <c r="O270" s="98"/>
    </row>
    <row r="271" spans="1:15" ht="15.75" customHeight="1" x14ac:dyDescent="0.2">
      <c r="A271" s="85" t="s">
        <v>354</v>
      </c>
      <c r="B271" s="99" t="s">
        <v>464</v>
      </c>
      <c r="C271" s="100">
        <f t="shared" si="131"/>
        <v>34886</v>
      </c>
      <c r="D271" s="106" t="s">
        <v>84</v>
      </c>
      <c r="E271" s="106" t="s">
        <v>84</v>
      </c>
      <c r="F271" s="101">
        <v>4.0000000000000001E-3</v>
      </c>
      <c r="G271" s="101">
        <f>0.049-0.03</f>
        <v>1.9000000000000003E-2</v>
      </c>
      <c r="H271" s="101">
        <v>1.9E-2</v>
      </c>
      <c r="I271" s="101">
        <f t="shared" ref="I271:I272" si="134">G271+H271</f>
        <v>3.8000000000000006E-2</v>
      </c>
      <c r="J271" s="103">
        <f t="shared" si="132"/>
        <v>0.05</v>
      </c>
      <c r="K271" s="103">
        <f t="shared" si="130"/>
        <v>3.1E-2</v>
      </c>
      <c r="L271" s="101">
        <f>J271+H271</f>
        <v>6.9000000000000006E-2</v>
      </c>
      <c r="M271" s="39">
        <f t="shared" si="133"/>
        <v>17.25</v>
      </c>
      <c r="N271" s="37">
        <v>1.7</v>
      </c>
      <c r="O271" s="98"/>
    </row>
    <row r="272" spans="1:15" ht="15.75" customHeight="1" x14ac:dyDescent="0.2">
      <c r="A272" s="96"/>
      <c r="B272" s="120" t="s">
        <v>456</v>
      </c>
      <c r="C272" s="121">
        <f t="shared" si="131"/>
        <v>34886</v>
      </c>
      <c r="D272" s="122" t="s">
        <v>84</v>
      </c>
      <c r="E272" s="122" t="s">
        <v>84</v>
      </c>
      <c r="F272" s="123">
        <v>4.0000000000000001E-3</v>
      </c>
      <c r="G272" s="123">
        <f>0.047-0.03</f>
        <v>1.7000000000000001E-2</v>
      </c>
      <c r="H272" s="123">
        <v>3.7999999999999999E-2</v>
      </c>
      <c r="I272" s="123">
        <f t="shared" si="134"/>
        <v>5.5E-2</v>
      </c>
      <c r="J272" s="124" t="s">
        <v>341</v>
      </c>
      <c r="K272" s="125">
        <f t="shared" si="130"/>
        <v>2.3E-2</v>
      </c>
      <c r="L272" s="123">
        <f>0.04+0.038</f>
        <v>7.8E-2</v>
      </c>
      <c r="M272" s="147" t="s">
        <v>84</v>
      </c>
      <c r="N272" s="122" t="s">
        <v>84</v>
      </c>
      <c r="O272" s="128"/>
    </row>
    <row r="273" spans="1:15" ht="15.75" customHeight="1" x14ac:dyDescent="0.2">
      <c r="A273" s="38"/>
      <c r="B273" s="99"/>
      <c r="C273" s="100"/>
      <c r="D273" s="106"/>
      <c r="E273" s="106"/>
      <c r="F273" s="101"/>
      <c r="G273" s="101"/>
      <c r="H273" s="101"/>
      <c r="I273" s="101"/>
      <c r="J273" s="102"/>
      <c r="K273" s="103"/>
      <c r="L273" s="101"/>
      <c r="M273" s="107"/>
      <c r="N273" s="106"/>
    </row>
    <row r="274" spans="1:15" ht="15.75" customHeight="1" x14ac:dyDescent="0.2">
      <c r="A274" s="38"/>
      <c r="B274" s="99"/>
      <c r="C274" s="100"/>
      <c r="D274" s="106"/>
      <c r="E274" s="106"/>
      <c r="F274" s="101"/>
      <c r="G274" s="101"/>
      <c r="H274" s="101"/>
      <c r="I274" s="101"/>
      <c r="J274" s="102"/>
      <c r="K274" s="103"/>
      <c r="L274" s="101"/>
      <c r="M274" s="107"/>
      <c r="N274" s="106"/>
    </row>
    <row r="275" spans="1:15" ht="15.75" customHeight="1" x14ac:dyDescent="0.2">
      <c r="A275" s="164"/>
      <c r="B275" s="87"/>
      <c r="C275" s="86"/>
      <c r="D275" s="131"/>
      <c r="E275" s="131"/>
      <c r="F275" s="132"/>
      <c r="G275" s="132"/>
      <c r="H275" s="133" t="s">
        <v>319</v>
      </c>
      <c r="I275" s="132"/>
      <c r="J275" s="134"/>
      <c r="K275" s="134"/>
      <c r="L275" s="132"/>
      <c r="M275" s="135"/>
      <c r="N275" s="131"/>
      <c r="O275" s="89"/>
    </row>
    <row r="276" spans="1:15" ht="15.75" customHeight="1" x14ac:dyDescent="0.25">
      <c r="A276" s="85"/>
      <c r="B276" s="90" t="s">
        <v>320</v>
      </c>
      <c r="C276" s="91"/>
      <c r="D276" s="136" t="s">
        <v>321</v>
      </c>
      <c r="E276" s="136" t="s">
        <v>322</v>
      </c>
      <c r="F276" s="137"/>
      <c r="G276" s="138" t="s">
        <v>323</v>
      </c>
      <c r="H276" s="139" t="s">
        <v>465</v>
      </c>
      <c r="I276" s="138" t="s">
        <v>323</v>
      </c>
      <c r="J276" s="140"/>
      <c r="K276" s="141" t="s">
        <v>323</v>
      </c>
      <c r="L276" s="137"/>
      <c r="M276" s="142"/>
      <c r="N276" s="143"/>
      <c r="O276" s="95"/>
    </row>
    <row r="277" spans="1:15" ht="15.75" customHeight="1" x14ac:dyDescent="0.25">
      <c r="A277" s="85"/>
      <c r="B277" s="90" t="s">
        <v>325</v>
      </c>
      <c r="C277" s="91"/>
      <c r="D277" s="136" t="s">
        <v>52</v>
      </c>
      <c r="E277" s="136" t="s">
        <v>52</v>
      </c>
      <c r="F277" s="138" t="s">
        <v>326</v>
      </c>
      <c r="G277" s="138" t="s">
        <v>466</v>
      </c>
      <c r="H277" s="139" t="s">
        <v>467</v>
      </c>
      <c r="I277" s="138" t="s">
        <v>329</v>
      </c>
      <c r="J277" s="141" t="s">
        <v>330</v>
      </c>
      <c r="K277" s="141" t="s">
        <v>331</v>
      </c>
      <c r="L277" s="138" t="s">
        <v>332</v>
      </c>
      <c r="M277" s="142"/>
      <c r="N277" s="136" t="s">
        <v>333</v>
      </c>
      <c r="O277" s="95"/>
    </row>
    <row r="278" spans="1:15" ht="15.75" customHeight="1" x14ac:dyDescent="0.2">
      <c r="A278" s="96"/>
      <c r="B278" s="97" t="s">
        <v>334</v>
      </c>
      <c r="C278" s="165" t="s">
        <v>335</v>
      </c>
      <c r="D278" s="166" t="s">
        <v>336</v>
      </c>
      <c r="E278" s="166" t="s">
        <v>336</v>
      </c>
      <c r="F278" s="167" t="s">
        <v>337</v>
      </c>
      <c r="G278" s="167" t="s">
        <v>337</v>
      </c>
      <c r="H278" s="167" t="s">
        <v>337</v>
      </c>
      <c r="I278" s="167" t="s">
        <v>337</v>
      </c>
      <c r="J278" s="168" t="s">
        <v>337</v>
      </c>
      <c r="K278" s="168" t="s">
        <v>337</v>
      </c>
      <c r="L278" s="167" t="s">
        <v>337</v>
      </c>
      <c r="M278" s="169" t="s">
        <v>338</v>
      </c>
      <c r="N278" s="166" t="s">
        <v>339</v>
      </c>
      <c r="O278" s="160"/>
    </row>
    <row r="279" spans="1:15" ht="15.75" customHeight="1" x14ac:dyDescent="0.2">
      <c r="A279" s="85"/>
      <c r="B279" s="99"/>
      <c r="C279" s="100"/>
      <c r="D279" s="106"/>
      <c r="E279" s="106"/>
      <c r="F279" s="101"/>
      <c r="G279" s="101"/>
      <c r="H279" s="101"/>
      <c r="I279" s="101"/>
      <c r="J279" s="103"/>
      <c r="K279" s="103"/>
      <c r="L279" s="101"/>
      <c r="M279" s="39"/>
      <c r="N279" s="37"/>
      <c r="O279" s="98"/>
    </row>
    <row r="280" spans="1:15" ht="15.75" customHeight="1" x14ac:dyDescent="0.2">
      <c r="A280" s="85"/>
      <c r="B280" s="90" t="s">
        <v>444</v>
      </c>
      <c r="C280" s="100"/>
      <c r="D280" s="106"/>
      <c r="E280" s="106"/>
      <c r="F280" s="101"/>
      <c r="G280" s="101"/>
      <c r="H280" s="101"/>
      <c r="I280" s="101"/>
      <c r="J280" s="103"/>
      <c r="K280" s="103"/>
      <c r="L280" s="101"/>
      <c r="M280" s="39"/>
      <c r="N280" s="37"/>
      <c r="O280" s="98"/>
    </row>
    <row r="281" spans="1:15" ht="15.75" customHeight="1" x14ac:dyDescent="0.2">
      <c r="A281" s="85" t="s">
        <v>354</v>
      </c>
      <c r="B281" s="99" t="s">
        <v>83</v>
      </c>
      <c r="C281" s="100">
        <f t="shared" ref="C281:C284" si="135">DATE(95,7,27)</f>
        <v>34907</v>
      </c>
      <c r="D281" s="37">
        <v>46</v>
      </c>
      <c r="E281" s="37">
        <v>11.8</v>
      </c>
      <c r="F281" s="101">
        <v>4.0000000000000001E-3</v>
      </c>
      <c r="G281" s="104" t="s">
        <v>343</v>
      </c>
      <c r="H281" s="101">
        <v>0.01</v>
      </c>
      <c r="I281" s="101">
        <f>0.002+0.01</f>
        <v>1.2E-2</v>
      </c>
      <c r="J281" s="103">
        <f t="shared" ref="J281:J282" si="136">0.09-0.03</f>
        <v>0.06</v>
      </c>
      <c r="K281" s="103">
        <f t="shared" ref="K281:K295" si="137">L281-I281</f>
        <v>5.7999999999999996E-2</v>
      </c>
      <c r="L281" s="101">
        <f t="shared" ref="L281:L284" si="138">J281+H281</f>
        <v>6.9999999999999993E-2</v>
      </c>
      <c r="M281" s="39">
        <f t="shared" ref="M281:M283" si="139">L281/F281</f>
        <v>17.499999999999996</v>
      </c>
      <c r="N281" s="37">
        <v>0.86</v>
      </c>
      <c r="O281" s="98"/>
    </row>
    <row r="282" spans="1:15" ht="15.75" customHeight="1" x14ac:dyDescent="0.2">
      <c r="A282" s="85" t="s">
        <v>354</v>
      </c>
      <c r="B282" s="99" t="s">
        <v>468</v>
      </c>
      <c r="C282" s="100">
        <f t="shared" si="135"/>
        <v>34907</v>
      </c>
      <c r="D282" s="106" t="s">
        <v>84</v>
      </c>
      <c r="E282" s="106" t="s">
        <v>84</v>
      </c>
      <c r="F282" s="101">
        <v>4.0000000000000001E-3</v>
      </c>
      <c r="G282" s="101">
        <f>0.037-0.03</f>
        <v>6.9999999999999993E-3</v>
      </c>
      <c r="H282" s="101">
        <v>0.01</v>
      </c>
      <c r="I282" s="101">
        <f t="shared" ref="I282:I284" si="140">G282+H282</f>
        <v>1.7000000000000001E-2</v>
      </c>
      <c r="J282" s="103">
        <f t="shared" si="136"/>
        <v>0.06</v>
      </c>
      <c r="K282" s="103">
        <f t="shared" si="137"/>
        <v>5.2999999999999992E-2</v>
      </c>
      <c r="L282" s="101">
        <f t="shared" si="138"/>
        <v>6.9999999999999993E-2</v>
      </c>
      <c r="M282" s="39">
        <f t="shared" si="139"/>
        <v>17.499999999999996</v>
      </c>
      <c r="N282" s="37">
        <v>1.3</v>
      </c>
      <c r="O282" s="98"/>
    </row>
    <row r="283" spans="1:15" ht="15.75" customHeight="1" x14ac:dyDescent="0.2">
      <c r="A283" s="85" t="s">
        <v>354</v>
      </c>
      <c r="B283" s="99" t="s">
        <v>469</v>
      </c>
      <c r="C283" s="100">
        <f t="shared" si="135"/>
        <v>34907</v>
      </c>
      <c r="D283" s="106" t="s">
        <v>84</v>
      </c>
      <c r="E283" s="106" t="s">
        <v>84</v>
      </c>
      <c r="F283" s="101">
        <v>3.1E-2</v>
      </c>
      <c r="G283" s="101">
        <f>0.036-0.03</f>
        <v>5.9999999999999984E-3</v>
      </c>
      <c r="H283" s="101">
        <v>3.5000000000000003E-2</v>
      </c>
      <c r="I283" s="101">
        <f t="shared" si="140"/>
        <v>4.1000000000000002E-2</v>
      </c>
      <c r="J283" s="103">
        <f>0.1-0.03</f>
        <v>7.0000000000000007E-2</v>
      </c>
      <c r="K283" s="103">
        <f t="shared" si="137"/>
        <v>6.4000000000000001E-2</v>
      </c>
      <c r="L283" s="101">
        <f t="shared" si="138"/>
        <v>0.10500000000000001</v>
      </c>
      <c r="M283" s="39">
        <f t="shared" si="139"/>
        <v>3.3870967741935489</v>
      </c>
      <c r="N283" s="37">
        <v>1.1000000000000001</v>
      </c>
      <c r="O283" s="98"/>
    </row>
    <row r="284" spans="1:15" ht="15.75" customHeight="1" x14ac:dyDescent="0.2">
      <c r="A284" s="108"/>
      <c r="B284" s="109" t="s">
        <v>456</v>
      </c>
      <c r="C284" s="110">
        <f t="shared" si="135"/>
        <v>34907</v>
      </c>
      <c r="D284" s="111" t="s">
        <v>84</v>
      </c>
      <c r="E284" s="111" t="s">
        <v>84</v>
      </c>
      <c r="F284" s="112">
        <v>1.2999999999999999E-2</v>
      </c>
      <c r="G284" s="112">
        <f>0.043-0.03</f>
        <v>1.2999999999999998E-2</v>
      </c>
      <c r="H284" s="112">
        <v>4.3999999999999997E-2</v>
      </c>
      <c r="I284" s="112">
        <f t="shared" si="140"/>
        <v>5.6999999999999995E-2</v>
      </c>
      <c r="J284" s="113">
        <f>0.14-0.03</f>
        <v>0.11000000000000001</v>
      </c>
      <c r="K284" s="113">
        <f t="shared" si="137"/>
        <v>9.7000000000000031E-2</v>
      </c>
      <c r="L284" s="112">
        <f t="shared" si="138"/>
        <v>0.15400000000000003</v>
      </c>
      <c r="M284" s="114" t="s">
        <v>84</v>
      </c>
      <c r="N284" s="111" t="s">
        <v>84</v>
      </c>
      <c r="O284" s="115"/>
    </row>
    <row r="285" spans="1:15" ht="15.75" customHeight="1" x14ac:dyDescent="0.2">
      <c r="A285" s="85" t="s">
        <v>354</v>
      </c>
      <c r="B285" s="99" t="s">
        <v>82</v>
      </c>
      <c r="C285" s="100">
        <f t="shared" ref="C285:C288" si="141">DATE(95,8,23)</f>
        <v>34934</v>
      </c>
      <c r="D285" s="37">
        <v>47</v>
      </c>
      <c r="E285" s="37">
        <v>10.5</v>
      </c>
      <c r="F285" s="101">
        <v>5.0000000000000001E-3</v>
      </c>
      <c r="G285" s="101">
        <f>0.046-0.024</f>
        <v>2.1999999999999999E-2</v>
      </c>
      <c r="H285" s="104" t="s">
        <v>343</v>
      </c>
      <c r="I285" s="101">
        <f>0.022+0.0025</f>
        <v>2.4499999999999997E-2</v>
      </c>
      <c r="J285" s="103">
        <f>0.1-0.02</f>
        <v>0.08</v>
      </c>
      <c r="K285" s="103">
        <f t="shared" si="137"/>
        <v>5.800000000000001E-2</v>
      </c>
      <c r="L285" s="101">
        <f>0.08+0.0025</f>
        <v>8.2500000000000004E-2</v>
      </c>
      <c r="M285" s="39">
        <f>L285/F285</f>
        <v>16.5</v>
      </c>
      <c r="N285" s="37">
        <v>0.97</v>
      </c>
      <c r="O285" s="98"/>
    </row>
    <row r="286" spans="1:15" ht="15.75" customHeight="1" x14ac:dyDescent="0.2">
      <c r="A286" s="85" t="s">
        <v>354</v>
      </c>
      <c r="B286" s="99" t="s">
        <v>470</v>
      </c>
      <c r="C286" s="100">
        <f t="shared" si="141"/>
        <v>34934</v>
      </c>
      <c r="D286" s="106" t="s">
        <v>84</v>
      </c>
      <c r="E286" s="106" t="s">
        <v>84</v>
      </c>
      <c r="F286" s="104" t="s">
        <v>390</v>
      </c>
      <c r="G286" s="101">
        <f>0.029-0.024</f>
        <v>5.000000000000001E-3</v>
      </c>
      <c r="H286" s="101">
        <v>1.2999999999999999E-2</v>
      </c>
      <c r="I286" s="101">
        <f>G286+H286</f>
        <v>1.8000000000000002E-2</v>
      </c>
      <c r="J286" s="102" t="s">
        <v>341</v>
      </c>
      <c r="K286" s="103">
        <f t="shared" si="137"/>
        <v>1.4999999999999999E-2</v>
      </c>
      <c r="L286" s="101">
        <f>0.02+0.013</f>
        <v>3.3000000000000002E-2</v>
      </c>
      <c r="M286" s="39">
        <v>33</v>
      </c>
      <c r="N286" s="37">
        <v>1.4</v>
      </c>
      <c r="O286" s="98"/>
    </row>
    <row r="287" spans="1:15" ht="15.75" customHeight="1" x14ac:dyDescent="0.2">
      <c r="A287" s="85" t="s">
        <v>354</v>
      </c>
      <c r="B287" s="99" t="s">
        <v>471</v>
      </c>
      <c r="C287" s="100">
        <f t="shared" si="141"/>
        <v>34934</v>
      </c>
      <c r="D287" s="106" t="s">
        <v>84</v>
      </c>
      <c r="E287" s="106" t="s">
        <v>84</v>
      </c>
      <c r="F287" s="104" t="s">
        <v>390</v>
      </c>
      <c r="G287" s="104" t="s">
        <v>343</v>
      </c>
      <c r="H287" s="101">
        <v>0.03</v>
      </c>
      <c r="I287" s="101">
        <f>0+0.03</f>
        <v>0.03</v>
      </c>
      <c r="J287" s="102" t="s">
        <v>341</v>
      </c>
      <c r="K287" s="103">
        <f t="shared" si="137"/>
        <v>0.03</v>
      </c>
      <c r="L287" s="101">
        <f>0.03+0.03</f>
        <v>0.06</v>
      </c>
      <c r="M287" s="39">
        <v>60</v>
      </c>
      <c r="N287" s="37">
        <v>0.85</v>
      </c>
      <c r="O287" s="98"/>
    </row>
    <row r="288" spans="1:15" ht="15.75" customHeight="1" x14ac:dyDescent="0.2">
      <c r="A288" s="108"/>
      <c r="B288" s="109" t="s">
        <v>472</v>
      </c>
      <c r="C288" s="110">
        <f t="shared" si="141"/>
        <v>34934</v>
      </c>
      <c r="D288" s="111" t="s">
        <v>84</v>
      </c>
      <c r="E288" s="111" t="s">
        <v>84</v>
      </c>
      <c r="F288" s="112">
        <v>3.0000000000000001E-3</v>
      </c>
      <c r="G288" s="112">
        <f>0.036-0.024</f>
        <v>1.1999999999999997E-2</v>
      </c>
      <c r="H288" s="112">
        <v>4.9000000000000002E-2</v>
      </c>
      <c r="I288" s="112">
        <f>G288+H288</f>
        <v>6.0999999999999999E-2</v>
      </c>
      <c r="J288" s="118" t="s">
        <v>341</v>
      </c>
      <c r="K288" s="113">
        <f t="shared" si="137"/>
        <v>1.8000000000000002E-2</v>
      </c>
      <c r="L288" s="112">
        <f>0.03+0.049</f>
        <v>7.9000000000000001E-2</v>
      </c>
      <c r="M288" s="114" t="s">
        <v>84</v>
      </c>
      <c r="N288" s="111" t="s">
        <v>84</v>
      </c>
      <c r="O288" s="115"/>
    </row>
    <row r="289" spans="1:15" ht="15.75" customHeight="1" x14ac:dyDescent="0.2">
      <c r="A289" s="85" t="s">
        <v>354</v>
      </c>
      <c r="B289" s="99" t="s">
        <v>80</v>
      </c>
      <c r="C289" s="100">
        <f t="shared" ref="C289:C292" si="142">DATE(95,9,21)</f>
        <v>34963</v>
      </c>
      <c r="D289" s="37">
        <v>45.7</v>
      </c>
      <c r="E289" s="37">
        <v>13.3</v>
      </c>
      <c r="F289" s="104" t="s">
        <v>390</v>
      </c>
      <c r="G289" s="104" t="s">
        <v>343</v>
      </c>
      <c r="H289" s="104" t="s">
        <v>343</v>
      </c>
      <c r="I289" s="101">
        <f>0+0.0025</f>
        <v>2.5000000000000001E-3</v>
      </c>
      <c r="J289" s="103">
        <f>0.11-0.02</f>
        <v>0.09</v>
      </c>
      <c r="K289" s="103">
        <f t="shared" si="137"/>
        <v>0.09</v>
      </c>
      <c r="L289" s="101">
        <f>0.09+0.0025</f>
        <v>9.2499999999999999E-2</v>
      </c>
      <c r="M289" s="39">
        <v>93</v>
      </c>
      <c r="N289" s="37">
        <v>0.84</v>
      </c>
      <c r="O289" s="98"/>
    </row>
    <row r="290" spans="1:15" ht="15.75" customHeight="1" x14ac:dyDescent="0.2">
      <c r="A290" s="85" t="s">
        <v>354</v>
      </c>
      <c r="B290" s="99" t="s">
        <v>473</v>
      </c>
      <c r="C290" s="100">
        <f t="shared" si="142"/>
        <v>34963</v>
      </c>
      <c r="D290" s="106" t="s">
        <v>84</v>
      </c>
      <c r="E290" s="106" t="s">
        <v>84</v>
      </c>
      <c r="F290" s="101">
        <v>2E-3</v>
      </c>
      <c r="G290" s="104" t="s">
        <v>343</v>
      </c>
      <c r="H290" s="101">
        <v>8.0000000000000002E-3</v>
      </c>
      <c r="I290" s="101">
        <f>0.001+0.008</f>
        <v>9.0000000000000011E-3</v>
      </c>
      <c r="J290" s="102" t="s">
        <v>341</v>
      </c>
      <c r="K290" s="103">
        <f t="shared" si="137"/>
        <v>3.9E-2</v>
      </c>
      <c r="L290" s="101">
        <f>0.04+0.008</f>
        <v>4.8000000000000001E-2</v>
      </c>
      <c r="M290" s="39">
        <f>L290/F290</f>
        <v>24</v>
      </c>
      <c r="N290" s="37">
        <v>1.9</v>
      </c>
      <c r="O290" s="98"/>
    </row>
    <row r="291" spans="1:15" ht="15.75" customHeight="1" x14ac:dyDescent="0.2">
      <c r="A291" s="85" t="s">
        <v>354</v>
      </c>
      <c r="B291" s="99" t="s">
        <v>474</v>
      </c>
      <c r="C291" s="100">
        <f t="shared" si="142"/>
        <v>34963</v>
      </c>
      <c r="D291" s="106" t="s">
        <v>84</v>
      </c>
      <c r="E291" s="106" t="s">
        <v>84</v>
      </c>
      <c r="F291" s="104" t="s">
        <v>390</v>
      </c>
      <c r="G291" s="104" t="s">
        <v>343</v>
      </c>
      <c r="H291" s="101">
        <v>2.7E-2</v>
      </c>
      <c r="I291" s="101">
        <f>0+0.027</f>
        <v>2.7E-2</v>
      </c>
      <c r="J291" s="102" t="s">
        <v>341</v>
      </c>
      <c r="K291" s="103">
        <f t="shared" si="137"/>
        <v>4.0000000000000008E-2</v>
      </c>
      <c r="L291" s="101">
        <f>0.04+0.027</f>
        <v>6.7000000000000004E-2</v>
      </c>
      <c r="M291" s="39">
        <v>67</v>
      </c>
      <c r="N291" s="37">
        <v>1</v>
      </c>
      <c r="O291" s="98"/>
    </row>
    <row r="292" spans="1:15" ht="15.75" customHeight="1" x14ac:dyDescent="0.2">
      <c r="A292" s="108"/>
      <c r="B292" s="109" t="s">
        <v>456</v>
      </c>
      <c r="C292" s="110">
        <f t="shared" si="142"/>
        <v>34963</v>
      </c>
      <c r="D292" s="111" t="s">
        <v>84</v>
      </c>
      <c r="E292" s="111" t="s">
        <v>84</v>
      </c>
      <c r="F292" s="112">
        <v>3.0000000000000001E-3</v>
      </c>
      <c r="G292" s="116" t="s">
        <v>343</v>
      </c>
      <c r="H292" s="112">
        <v>4.2000000000000003E-2</v>
      </c>
      <c r="I292" s="112">
        <f>0+0.042</f>
        <v>4.2000000000000003E-2</v>
      </c>
      <c r="J292" s="118" t="s">
        <v>341</v>
      </c>
      <c r="K292" s="113">
        <f t="shared" si="137"/>
        <v>1.9999999999999997E-2</v>
      </c>
      <c r="L292" s="112">
        <f>0.02+0.042</f>
        <v>6.2E-2</v>
      </c>
      <c r="M292" s="114" t="s">
        <v>84</v>
      </c>
      <c r="N292" s="111" t="s">
        <v>84</v>
      </c>
      <c r="O292" s="115"/>
    </row>
    <row r="293" spans="1:15" ht="15.75" customHeight="1" x14ac:dyDescent="0.2">
      <c r="A293" s="85" t="s">
        <v>354</v>
      </c>
      <c r="B293" s="99" t="s">
        <v>79</v>
      </c>
      <c r="C293" s="100">
        <f t="shared" ref="C293:C295" si="143">DATE(95,10,23)</f>
        <v>34995</v>
      </c>
      <c r="D293" s="37">
        <v>44.1</v>
      </c>
      <c r="E293" s="37">
        <v>11.6</v>
      </c>
      <c r="F293" s="101">
        <v>4.0000000000000001E-3</v>
      </c>
      <c r="G293" s="104" t="s">
        <v>343</v>
      </c>
      <c r="H293" s="101">
        <v>6.0000000000000001E-3</v>
      </c>
      <c r="I293" s="101">
        <f>0+0.006</f>
        <v>6.0000000000000001E-3</v>
      </c>
      <c r="J293" s="103">
        <f>0.24-0.02</f>
        <v>0.22</v>
      </c>
      <c r="K293" s="103">
        <f t="shared" si="137"/>
        <v>0.22</v>
      </c>
      <c r="L293" s="101">
        <f t="shared" ref="L293:L295" si="144">J293+H293</f>
        <v>0.22600000000000001</v>
      </c>
      <c r="M293" s="39">
        <f t="shared" ref="M293:M294" si="145">L293/F293</f>
        <v>56.5</v>
      </c>
      <c r="N293" s="37">
        <v>1.6</v>
      </c>
      <c r="O293" s="98"/>
    </row>
    <row r="294" spans="1:15" ht="15.75" customHeight="1" x14ac:dyDescent="0.2">
      <c r="A294" s="85" t="s">
        <v>354</v>
      </c>
      <c r="B294" s="99" t="s">
        <v>475</v>
      </c>
      <c r="C294" s="100">
        <f t="shared" si="143"/>
        <v>34995</v>
      </c>
      <c r="D294" s="106" t="s">
        <v>84</v>
      </c>
      <c r="E294" s="106" t="s">
        <v>84</v>
      </c>
      <c r="F294" s="101">
        <v>4.0000000000000001E-3</v>
      </c>
      <c r="G294" s="101">
        <f t="shared" ref="G294:G295" si="146">0.027-0.02</f>
        <v>6.9999999999999993E-3</v>
      </c>
      <c r="H294" s="101">
        <v>1.4E-2</v>
      </c>
      <c r="I294" s="101">
        <f t="shared" ref="I294:I295" si="147">G294+H294</f>
        <v>2.0999999999999998E-2</v>
      </c>
      <c r="J294" s="103">
        <f>0.1-0.02</f>
        <v>0.08</v>
      </c>
      <c r="K294" s="103">
        <f t="shared" si="137"/>
        <v>7.3000000000000009E-2</v>
      </c>
      <c r="L294" s="101">
        <f t="shared" si="144"/>
        <v>9.4E-2</v>
      </c>
      <c r="M294" s="39">
        <f t="shared" si="145"/>
        <v>23.5</v>
      </c>
      <c r="N294" s="37">
        <v>0.54</v>
      </c>
      <c r="O294" s="98"/>
    </row>
    <row r="295" spans="1:15" ht="15.75" customHeight="1" x14ac:dyDescent="0.2">
      <c r="A295" s="108"/>
      <c r="B295" s="109" t="s">
        <v>454</v>
      </c>
      <c r="C295" s="110">
        <f t="shared" si="143"/>
        <v>34995</v>
      </c>
      <c r="D295" s="111" t="s">
        <v>84</v>
      </c>
      <c r="E295" s="111" t="s">
        <v>84</v>
      </c>
      <c r="F295" s="112">
        <v>3.0000000000000001E-3</v>
      </c>
      <c r="G295" s="112">
        <f t="shared" si="146"/>
        <v>6.9999999999999993E-3</v>
      </c>
      <c r="H295" s="112">
        <v>5.8999999999999997E-2</v>
      </c>
      <c r="I295" s="112">
        <f t="shared" si="147"/>
        <v>6.6000000000000003E-2</v>
      </c>
      <c r="J295" s="113">
        <f>0.09-0.02</f>
        <v>6.9999999999999993E-2</v>
      </c>
      <c r="K295" s="113">
        <f t="shared" si="137"/>
        <v>6.3E-2</v>
      </c>
      <c r="L295" s="112">
        <f t="shared" si="144"/>
        <v>0.129</v>
      </c>
      <c r="M295" s="114" t="s">
        <v>84</v>
      </c>
      <c r="N295" s="111" t="s">
        <v>84</v>
      </c>
      <c r="O295" s="115"/>
    </row>
    <row r="296" spans="1:15" ht="15.75" customHeight="1" x14ac:dyDescent="0.2">
      <c r="A296" s="85"/>
      <c r="C296" s="3"/>
      <c r="D296" s="13"/>
      <c r="E296" s="13"/>
      <c r="F296" s="153"/>
      <c r="G296" s="153"/>
      <c r="H296" s="153"/>
      <c r="I296" s="153"/>
      <c r="J296" s="14"/>
      <c r="K296" s="14"/>
      <c r="L296" s="153"/>
      <c r="M296" s="33"/>
      <c r="N296" s="13"/>
      <c r="O296" s="98"/>
    </row>
    <row r="297" spans="1:15" ht="15.75" customHeight="1" x14ac:dyDescent="0.2">
      <c r="A297" s="85"/>
      <c r="B297" s="99" t="s">
        <v>368</v>
      </c>
      <c r="C297" s="100">
        <f t="shared" ref="C297:C298" si="148">DATE(97,4,24)</f>
        <v>35544</v>
      </c>
      <c r="D297" s="106">
        <v>43.4</v>
      </c>
      <c r="E297" s="106">
        <v>8.5</v>
      </c>
      <c r="F297" s="101">
        <v>3.0000000000000001E-3</v>
      </c>
      <c r="G297" s="104" t="s">
        <v>343</v>
      </c>
      <c r="H297" s="101">
        <v>4.5999999999999999E-2</v>
      </c>
      <c r="I297" s="101">
        <f t="shared" ref="I297:I299" si="149">H297+0</f>
        <v>4.5999999999999999E-2</v>
      </c>
      <c r="J297" s="103">
        <f>0.1</f>
        <v>0.1</v>
      </c>
      <c r="K297" s="103">
        <f t="shared" ref="K297:K308" si="150">L297-I297</f>
        <v>0.10000000000000002</v>
      </c>
      <c r="L297" s="101">
        <f t="shared" ref="L297:L304" si="151">J297+H297</f>
        <v>0.14600000000000002</v>
      </c>
      <c r="M297" s="39">
        <f>L297/F297</f>
        <v>48.666666666666671</v>
      </c>
      <c r="N297" s="106">
        <v>1.5</v>
      </c>
      <c r="O297" s="98"/>
    </row>
    <row r="298" spans="1:15" ht="15.75" customHeight="1" x14ac:dyDescent="0.2">
      <c r="A298" s="108"/>
      <c r="B298" s="149" t="s">
        <v>476</v>
      </c>
      <c r="C298" s="110">
        <f t="shared" si="148"/>
        <v>35544</v>
      </c>
      <c r="D298" s="111" t="s">
        <v>84</v>
      </c>
      <c r="E298" s="111" t="s">
        <v>84</v>
      </c>
      <c r="F298" s="112">
        <v>1.6E-2</v>
      </c>
      <c r="G298" s="116" t="s">
        <v>343</v>
      </c>
      <c r="H298" s="112">
        <v>4.2999999999999997E-2</v>
      </c>
      <c r="I298" s="112">
        <f t="shared" si="149"/>
        <v>4.2999999999999997E-2</v>
      </c>
      <c r="J298" s="113">
        <f>0.14-0.006</f>
        <v>0.13400000000000001</v>
      </c>
      <c r="K298" s="113">
        <f t="shared" si="150"/>
        <v>0.13400000000000001</v>
      </c>
      <c r="L298" s="112">
        <f t="shared" si="151"/>
        <v>0.17699999999999999</v>
      </c>
      <c r="M298" s="172" t="s">
        <v>84</v>
      </c>
      <c r="N298" s="150" t="s">
        <v>84</v>
      </c>
      <c r="O298" s="115"/>
    </row>
    <row r="299" spans="1:15" ht="15.75" customHeight="1" x14ac:dyDescent="0.2">
      <c r="A299" s="85"/>
      <c r="B299" s="99" t="s">
        <v>399</v>
      </c>
      <c r="C299" s="100">
        <f t="shared" ref="C299:C300" si="152">DATE(97,5,12)</f>
        <v>35562</v>
      </c>
      <c r="D299" s="106">
        <v>49.5</v>
      </c>
      <c r="E299" s="106">
        <v>6</v>
      </c>
      <c r="F299" s="101">
        <v>5.0000000000000001E-3</v>
      </c>
      <c r="G299" s="104" t="s">
        <v>343</v>
      </c>
      <c r="H299" s="101">
        <v>4.8000000000000001E-2</v>
      </c>
      <c r="I299" s="101">
        <f t="shared" si="149"/>
        <v>4.8000000000000001E-2</v>
      </c>
      <c r="J299" s="103">
        <f>0.1-0.006</f>
        <v>9.4E-2</v>
      </c>
      <c r="K299" s="103">
        <f t="shared" si="150"/>
        <v>9.4000000000000014E-2</v>
      </c>
      <c r="L299" s="101">
        <f t="shared" si="151"/>
        <v>0.14200000000000002</v>
      </c>
      <c r="M299" s="39">
        <f>L299/F299</f>
        <v>28.400000000000002</v>
      </c>
      <c r="N299" s="106">
        <v>2.5</v>
      </c>
      <c r="O299" s="98"/>
    </row>
    <row r="300" spans="1:15" ht="15.75" customHeight="1" x14ac:dyDescent="0.2">
      <c r="A300" s="108"/>
      <c r="B300" s="149" t="s">
        <v>477</v>
      </c>
      <c r="C300" s="110">
        <f t="shared" si="152"/>
        <v>35562</v>
      </c>
      <c r="D300" s="111" t="s">
        <v>84</v>
      </c>
      <c r="E300" s="111" t="s">
        <v>84</v>
      </c>
      <c r="F300" s="112">
        <v>4.0000000000000001E-3</v>
      </c>
      <c r="G300" s="116" t="s">
        <v>343</v>
      </c>
      <c r="H300" s="112">
        <v>4.3999999999999997E-2</v>
      </c>
      <c r="I300" s="112">
        <f>H300+0.002</f>
        <v>4.5999999999999999E-2</v>
      </c>
      <c r="J300" s="113">
        <f>0.09-0.006</f>
        <v>8.3999999999999991E-2</v>
      </c>
      <c r="K300" s="113">
        <f t="shared" si="150"/>
        <v>8.2000000000000003E-2</v>
      </c>
      <c r="L300" s="112">
        <f t="shared" si="151"/>
        <v>0.128</v>
      </c>
      <c r="M300" s="172" t="s">
        <v>84</v>
      </c>
      <c r="N300" s="150" t="s">
        <v>84</v>
      </c>
      <c r="O300" s="115"/>
    </row>
    <row r="301" spans="1:15" ht="15.75" customHeight="1" x14ac:dyDescent="0.2">
      <c r="A301" s="85"/>
      <c r="B301" s="99" t="s">
        <v>463</v>
      </c>
      <c r="C301" s="100">
        <f t="shared" ref="C301:C302" si="153">DATE(97,6,3)</f>
        <v>35584</v>
      </c>
      <c r="D301" s="106">
        <v>41.5</v>
      </c>
      <c r="E301" s="106">
        <v>2.9</v>
      </c>
      <c r="F301" s="101">
        <v>5.0000000000000001E-3</v>
      </c>
      <c r="G301" s="101">
        <v>5.0000000000000001E-3</v>
      </c>
      <c r="H301" s="101">
        <v>3.2000000000000001E-2</v>
      </c>
      <c r="I301" s="101">
        <f>H301+G301</f>
        <v>3.6999999999999998E-2</v>
      </c>
      <c r="J301" s="103">
        <f>0.14-0.006</f>
        <v>0.13400000000000001</v>
      </c>
      <c r="K301" s="103">
        <f t="shared" si="150"/>
        <v>0.129</v>
      </c>
      <c r="L301" s="101">
        <f t="shared" si="151"/>
        <v>0.16600000000000001</v>
      </c>
      <c r="M301" s="39">
        <f>L301/F301</f>
        <v>33.200000000000003</v>
      </c>
      <c r="N301" s="106">
        <v>3</v>
      </c>
      <c r="O301" s="98"/>
    </row>
    <row r="302" spans="1:15" ht="15.75" customHeight="1" x14ac:dyDescent="0.2">
      <c r="A302" s="108"/>
      <c r="B302" s="149" t="s">
        <v>478</v>
      </c>
      <c r="C302" s="110">
        <f t="shared" si="153"/>
        <v>35584</v>
      </c>
      <c r="D302" s="111" t="s">
        <v>84</v>
      </c>
      <c r="E302" s="111" t="s">
        <v>84</v>
      </c>
      <c r="F302" s="112">
        <v>2E-3</v>
      </c>
      <c r="G302" s="116" t="s">
        <v>343</v>
      </c>
      <c r="H302" s="112">
        <v>4.3999999999999997E-2</v>
      </c>
      <c r="I302" s="112">
        <f>H302+0.004</f>
        <v>4.8000000000000001E-2</v>
      </c>
      <c r="J302" s="113">
        <f>0.06-0.006</f>
        <v>5.3999999999999999E-2</v>
      </c>
      <c r="K302" s="113">
        <f t="shared" si="150"/>
        <v>0.05</v>
      </c>
      <c r="L302" s="112">
        <f t="shared" si="151"/>
        <v>9.8000000000000004E-2</v>
      </c>
      <c r="M302" s="172" t="s">
        <v>84</v>
      </c>
      <c r="N302" s="150" t="s">
        <v>84</v>
      </c>
      <c r="O302" s="115"/>
    </row>
    <row r="303" spans="1:15" ht="15.75" customHeight="1" x14ac:dyDescent="0.2">
      <c r="A303" s="85"/>
      <c r="B303" s="99" t="s">
        <v>83</v>
      </c>
      <c r="C303" s="100">
        <f t="shared" ref="C303:C304" si="154">DATE(97,6,24)</f>
        <v>35605</v>
      </c>
      <c r="D303" s="106">
        <v>41.1</v>
      </c>
      <c r="E303" s="106">
        <v>4.5999999999999996</v>
      </c>
      <c r="F303" s="101">
        <v>6.0000000000000001E-3</v>
      </c>
      <c r="G303" s="101">
        <v>1.0999999999999999E-2</v>
      </c>
      <c r="H303" s="101">
        <v>2.3E-2</v>
      </c>
      <c r="I303" s="101">
        <f t="shared" ref="I303:I304" si="155">H303+G303</f>
        <v>3.4000000000000002E-2</v>
      </c>
      <c r="J303" s="103">
        <f>0.08-0.006</f>
        <v>7.3999999999999996E-2</v>
      </c>
      <c r="K303" s="103">
        <f t="shared" si="150"/>
        <v>6.3E-2</v>
      </c>
      <c r="L303" s="101">
        <f t="shared" si="151"/>
        <v>9.7000000000000003E-2</v>
      </c>
      <c r="M303" s="39">
        <f>L303/F303</f>
        <v>16.166666666666668</v>
      </c>
      <c r="N303" s="106">
        <v>2.4</v>
      </c>
      <c r="O303" s="98"/>
    </row>
    <row r="304" spans="1:15" ht="15.75" customHeight="1" x14ac:dyDescent="0.2">
      <c r="A304" s="108"/>
      <c r="B304" s="149" t="s">
        <v>478</v>
      </c>
      <c r="C304" s="110">
        <f t="shared" si="154"/>
        <v>35605</v>
      </c>
      <c r="D304" s="111" t="s">
        <v>84</v>
      </c>
      <c r="E304" s="111" t="s">
        <v>84</v>
      </c>
      <c r="F304" s="112">
        <v>5.0000000000000001E-3</v>
      </c>
      <c r="G304" s="112">
        <v>0.01</v>
      </c>
      <c r="H304" s="112">
        <v>4.8000000000000001E-2</v>
      </c>
      <c r="I304" s="112">
        <f t="shared" si="155"/>
        <v>5.8000000000000003E-2</v>
      </c>
      <c r="J304" s="113">
        <f>0.06-0.006</f>
        <v>5.3999999999999999E-2</v>
      </c>
      <c r="K304" s="113">
        <f t="shared" si="150"/>
        <v>4.4000000000000004E-2</v>
      </c>
      <c r="L304" s="112">
        <f t="shared" si="151"/>
        <v>0.10200000000000001</v>
      </c>
      <c r="M304" s="172" t="s">
        <v>84</v>
      </c>
      <c r="N304" s="150" t="s">
        <v>84</v>
      </c>
      <c r="O304" s="115"/>
    </row>
    <row r="305" spans="1:15" ht="15.75" customHeight="1" x14ac:dyDescent="0.2">
      <c r="A305" s="85"/>
      <c r="B305" s="99" t="s">
        <v>80</v>
      </c>
      <c r="C305" s="100">
        <f t="shared" ref="C305:C306" si="156">DATE(97,7,16)</f>
        <v>35627</v>
      </c>
      <c r="D305" s="106">
        <v>45.1</v>
      </c>
      <c r="E305" s="106">
        <v>6.2</v>
      </c>
      <c r="F305" s="101">
        <v>6.0000000000000001E-3</v>
      </c>
      <c r="G305" s="104" t="s">
        <v>343</v>
      </c>
      <c r="H305" s="148" t="s">
        <v>398</v>
      </c>
      <c r="I305" s="101">
        <f>0.005+0.004</f>
        <v>9.0000000000000011E-3</v>
      </c>
      <c r="J305" s="103">
        <f>0.1-0.006</f>
        <v>9.4E-2</v>
      </c>
      <c r="K305" s="103">
        <f t="shared" si="150"/>
        <v>0.09</v>
      </c>
      <c r="L305" s="101">
        <f>J305+0.005</f>
        <v>9.9000000000000005E-2</v>
      </c>
      <c r="M305" s="39">
        <f>L305/F305</f>
        <v>16.5</v>
      </c>
      <c r="N305" s="106">
        <v>1.2</v>
      </c>
      <c r="O305" s="98"/>
    </row>
    <row r="306" spans="1:15" ht="15.75" customHeight="1" x14ac:dyDescent="0.2">
      <c r="A306" s="108"/>
      <c r="B306" s="149" t="s">
        <v>454</v>
      </c>
      <c r="C306" s="110">
        <f t="shared" si="156"/>
        <v>35627</v>
      </c>
      <c r="D306" s="111" t="s">
        <v>84</v>
      </c>
      <c r="E306" s="111" t="s">
        <v>84</v>
      </c>
      <c r="F306" s="112">
        <v>3.0000000000000001E-3</v>
      </c>
      <c r="G306" s="116" t="s">
        <v>343</v>
      </c>
      <c r="H306" s="112">
        <v>3.2000000000000001E-2</v>
      </c>
      <c r="I306" s="112">
        <f>H306+0.004</f>
        <v>3.6000000000000004E-2</v>
      </c>
      <c r="J306" s="113">
        <f t="shared" ref="J306:J307" si="157">0.07-0.006</f>
        <v>6.4000000000000001E-2</v>
      </c>
      <c r="K306" s="113">
        <f t="shared" si="150"/>
        <v>0.06</v>
      </c>
      <c r="L306" s="112">
        <f t="shared" ref="L306:L307" si="158">J306+H306</f>
        <v>9.6000000000000002E-2</v>
      </c>
      <c r="M306" s="172" t="s">
        <v>84</v>
      </c>
      <c r="N306" s="150" t="s">
        <v>84</v>
      </c>
      <c r="O306" s="115"/>
    </row>
    <row r="307" spans="1:15" ht="15.75" customHeight="1" x14ac:dyDescent="0.2">
      <c r="A307" s="85"/>
      <c r="B307" s="99" t="s">
        <v>86</v>
      </c>
      <c r="C307" s="100">
        <f t="shared" ref="C307:C308" si="159">DATE(97,9,10)</f>
        <v>35683</v>
      </c>
      <c r="D307" s="106">
        <v>36.6</v>
      </c>
      <c r="E307" s="106">
        <v>7</v>
      </c>
      <c r="F307" s="101">
        <v>8.0000000000000002E-3</v>
      </c>
      <c r="G307" s="101">
        <v>5.0000000000000001E-3</v>
      </c>
      <c r="H307" s="101">
        <v>1.4E-2</v>
      </c>
      <c r="I307" s="101">
        <f t="shared" ref="I307:I308" si="160">H307+G307</f>
        <v>1.9E-2</v>
      </c>
      <c r="J307" s="103">
        <f t="shared" si="157"/>
        <v>6.4000000000000001E-2</v>
      </c>
      <c r="K307" s="103">
        <f t="shared" si="150"/>
        <v>5.8999999999999997E-2</v>
      </c>
      <c r="L307" s="101">
        <f t="shared" si="158"/>
        <v>7.8E-2</v>
      </c>
      <c r="M307" s="39">
        <f>L307/F307</f>
        <v>9.75</v>
      </c>
      <c r="N307" s="106">
        <v>1</v>
      </c>
      <c r="O307" s="98"/>
    </row>
    <row r="308" spans="1:15" ht="15.75" customHeight="1" x14ac:dyDescent="0.2">
      <c r="A308" s="108"/>
      <c r="B308" s="149" t="s">
        <v>479</v>
      </c>
      <c r="C308" s="110">
        <f t="shared" si="159"/>
        <v>35683</v>
      </c>
      <c r="D308" s="111" t="s">
        <v>84</v>
      </c>
      <c r="E308" s="111" t="s">
        <v>84</v>
      </c>
      <c r="F308" s="112">
        <v>7.0000000000000001E-3</v>
      </c>
      <c r="G308" s="112">
        <v>5.0000000000000001E-3</v>
      </c>
      <c r="H308" s="112">
        <v>6.9000000000000006E-2</v>
      </c>
      <c r="I308" s="112">
        <f t="shared" si="160"/>
        <v>7.400000000000001E-2</v>
      </c>
      <c r="J308" s="118" t="s">
        <v>341</v>
      </c>
      <c r="K308" s="113">
        <f t="shared" si="150"/>
        <v>3.8999999999999993E-2</v>
      </c>
      <c r="L308" s="112">
        <f>0.044+H308</f>
        <v>0.113</v>
      </c>
      <c r="M308" s="172" t="s">
        <v>84</v>
      </c>
      <c r="N308" s="150" t="s">
        <v>84</v>
      </c>
      <c r="O308" s="115"/>
    </row>
    <row r="309" spans="1:15" ht="15.75" customHeight="1" x14ac:dyDescent="0.2">
      <c r="A309" s="85"/>
      <c r="B309" s="38"/>
      <c r="C309" s="36"/>
      <c r="D309" s="37"/>
      <c r="E309" s="37"/>
      <c r="F309" s="101"/>
      <c r="G309" s="101"/>
      <c r="H309" s="101"/>
      <c r="I309" s="101"/>
      <c r="J309" s="103"/>
      <c r="K309" s="103"/>
      <c r="L309" s="101"/>
      <c r="M309" s="39"/>
      <c r="N309" s="37"/>
      <c r="O309" s="98"/>
    </row>
    <row r="310" spans="1:15" ht="15.75" customHeight="1" x14ac:dyDescent="0.2">
      <c r="A310" s="85"/>
      <c r="B310" s="99" t="s">
        <v>480</v>
      </c>
      <c r="C310" s="100">
        <f t="shared" ref="C310:C311" si="161">DATE(98,4,8)</f>
        <v>35893</v>
      </c>
      <c r="D310" s="37">
        <v>33.200000000000003</v>
      </c>
      <c r="E310" s="37">
        <v>7.5</v>
      </c>
      <c r="F310" s="101">
        <v>5.0000000000000001E-3</v>
      </c>
      <c r="G310" s="101">
        <v>6.0000000000000001E-3</v>
      </c>
      <c r="H310" s="101">
        <v>2.9000000000000001E-2</v>
      </c>
      <c r="I310" s="101">
        <f t="shared" ref="I310:I311" si="162">H310+G310</f>
        <v>3.5000000000000003E-2</v>
      </c>
      <c r="J310" s="103">
        <v>7.0000000000000007E-2</v>
      </c>
      <c r="K310" s="103">
        <f t="shared" ref="K310:K311" si="163">L310-I310</f>
        <v>6.4000000000000001E-2</v>
      </c>
      <c r="L310" s="101">
        <f t="shared" ref="L310:L311" si="164">J310+H310</f>
        <v>9.9000000000000005E-2</v>
      </c>
      <c r="M310" s="39">
        <f>L310/F310</f>
        <v>19.8</v>
      </c>
      <c r="N310" s="106">
        <v>3.1</v>
      </c>
      <c r="O310" s="98"/>
    </row>
    <row r="311" spans="1:15" ht="15.75" customHeight="1" x14ac:dyDescent="0.2">
      <c r="A311" s="85"/>
      <c r="B311" s="155" t="s">
        <v>481</v>
      </c>
      <c r="C311" s="100">
        <f t="shared" si="161"/>
        <v>35893</v>
      </c>
      <c r="D311" s="156" t="s">
        <v>84</v>
      </c>
      <c r="E311" s="156" t="s">
        <v>84</v>
      </c>
      <c r="F311" s="101">
        <v>5.0000000000000001E-3</v>
      </c>
      <c r="G311" s="101">
        <v>7.0000000000000001E-3</v>
      </c>
      <c r="H311" s="101">
        <v>3.7999999999999999E-2</v>
      </c>
      <c r="I311" s="101">
        <f t="shared" si="162"/>
        <v>4.4999999999999998E-2</v>
      </c>
      <c r="J311" s="103">
        <v>0.05</v>
      </c>
      <c r="K311" s="103">
        <f t="shared" si="163"/>
        <v>4.2999999999999997E-2</v>
      </c>
      <c r="L311" s="101">
        <f t="shared" si="164"/>
        <v>8.7999999999999995E-2</v>
      </c>
      <c r="M311" s="156" t="s">
        <v>84</v>
      </c>
      <c r="N311" s="156" t="s">
        <v>84</v>
      </c>
      <c r="O311" s="98"/>
    </row>
    <row r="312" spans="1:15" ht="15.75" customHeight="1" x14ac:dyDescent="0.2">
      <c r="A312" s="96"/>
      <c r="B312" s="129"/>
      <c r="C312" s="173"/>
      <c r="D312" s="127"/>
      <c r="E312" s="127"/>
      <c r="F312" s="123"/>
      <c r="G312" s="123"/>
      <c r="H312" s="123"/>
      <c r="I312" s="123"/>
      <c r="J312" s="125"/>
      <c r="K312" s="125"/>
      <c r="L312" s="123"/>
      <c r="M312" s="126"/>
      <c r="N312" s="127"/>
      <c r="O312" s="128"/>
    </row>
    <row r="313" spans="1:15" ht="15.75" customHeight="1" x14ac:dyDescent="0.2">
      <c r="A313" s="38"/>
      <c r="B313" s="38"/>
      <c r="C313" s="36"/>
      <c r="D313" s="37"/>
      <c r="E313" s="37"/>
      <c r="F313" s="101"/>
      <c r="G313" s="101"/>
      <c r="H313" s="101"/>
      <c r="I313" s="101"/>
      <c r="J313" s="103"/>
      <c r="K313" s="103"/>
      <c r="L313" s="101"/>
      <c r="M313" s="39"/>
      <c r="N313" s="37"/>
    </row>
    <row r="314" spans="1:15" ht="15.75" customHeight="1" x14ac:dyDescent="0.2">
      <c r="A314" s="164"/>
      <c r="B314" s="87"/>
      <c r="C314" s="86"/>
      <c r="D314" s="131"/>
      <c r="E314" s="131"/>
      <c r="F314" s="132"/>
      <c r="G314" s="132"/>
      <c r="H314" s="133" t="s">
        <v>319</v>
      </c>
      <c r="I314" s="132"/>
      <c r="J314" s="134"/>
      <c r="K314" s="134"/>
      <c r="L314" s="132"/>
      <c r="M314" s="135"/>
      <c r="N314" s="131"/>
      <c r="O314" s="89"/>
    </row>
    <row r="315" spans="1:15" ht="15.75" customHeight="1" x14ac:dyDescent="0.25">
      <c r="A315" s="85"/>
      <c r="B315" s="90" t="s">
        <v>320</v>
      </c>
      <c r="C315" s="91"/>
      <c r="D315" s="136" t="s">
        <v>321</v>
      </c>
      <c r="E315" s="136" t="s">
        <v>322</v>
      </c>
      <c r="F315" s="137"/>
      <c r="G315" s="138" t="s">
        <v>323</v>
      </c>
      <c r="H315" s="139" t="s">
        <v>482</v>
      </c>
      <c r="I315" s="138" t="s">
        <v>323</v>
      </c>
      <c r="J315" s="140"/>
      <c r="K315" s="141" t="s">
        <v>323</v>
      </c>
      <c r="L315" s="137"/>
      <c r="M315" s="142"/>
      <c r="N315" s="143"/>
      <c r="O315" s="95"/>
    </row>
    <row r="316" spans="1:15" ht="15.75" customHeight="1" x14ac:dyDescent="0.25">
      <c r="A316" s="85"/>
      <c r="B316" s="90" t="s">
        <v>325</v>
      </c>
      <c r="C316" s="91"/>
      <c r="D316" s="136" t="s">
        <v>52</v>
      </c>
      <c r="E316" s="136" t="s">
        <v>52</v>
      </c>
      <c r="F316" s="138" t="s">
        <v>326</v>
      </c>
      <c r="G316" s="138" t="s">
        <v>483</v>
      </c>
      <c r="H316" s="139" t="s">
        <v>484</v>
      </c>
      <c r="I316" s="138" t="s">
        <v>329</v>
      </c>
      <c r="J316" s="141" t="s">
        <v>330</v>
      </c>
      <c r="K316" s="141" t="s">
        <v>331</v>
      </c>
      <c r="L316" s="138" t="s">
        <v>332</v>
      </c>
      <c r="M316" s="142"/>
      <c r="N316" s="136" t="s">
        <v>333</v>
      </c>
      <c r="O316" s="95"/>
    </row>
    <row r="317" spans="1:15" ht="15.75" customHeight="1" x14ac:dyDescent="0.2">
      <c r="A317" s="96"/>
      <c r="B317" s="97" t="s">
        <v>334</v>
      </c>
      <c r="C317" s="165" t="s">
        <v>335</v>
      </c>
      <c r="D317" s="166" t="s">
        <v>336</v>
      </c>
      <c r="E317" s="166" t="s">
        <v>336</v>
      </c>
      <c r="F317" s="167" t="s">
        <v>337</v>
      </c>
      <c r="G317" s="167" t="s">
        <v>337</v>
      </c>
      <c r="H317" s="167" t="s">
        <v>337</v>
      </c>
      <c r="I317" s="167" t="s">
        <v>337</v>
      </c>
      <c r="J317" s="168" t="s">
        <v>337</v>
      </c>
      <c r="K317" s="168" t="s">
        <v>337</v>
      </c>
      <c r="L317" s="167" t="s">
        <v>337</v>
      </c>
      <c r="M317" s="169" t="s">
        <v>338</v>
      </c>
      <c r="N317" s="166" t="s">
        <v>339</v>
      </c>
      <c r="O317" s="160"/>
    </row>
    <row r="318" spans="1:15" ht="15.75" customHeight="1" x14ac:dyDescent="0.2">
      <c r="A318" s="85"/>
      <c r="B318" s="38"/>
      <c r="C318" s="36"/>
      <c r="D318" s="37"/>
      <c r="E318" s="37"/>
      <c r="F318" s="101"/>
      <c r="G318" s="101"/>
      <c r="H318" s="101"/>
      <c r="I318" s="101"/>
      <c r="J318" s="103"/>
      <c r="K318" s="103"/>
      <c r="L318" s="101"/>
      <c r="M318" s="39"/>
      <c r="N318" s="37"/>
      <c r="O318" s="98"/>
    </row>
    <row r="319" spans="1:15" ht="15.75" customHeight="1" x14ac:dyDescent="0.2">
      <c r="A319" s="85"/>
      <c r="B319" s="90" t="s">
        <v>444</v>
      </c>
      <c r="C319" s="36"/>
      <c r="D319" s="37"/>
      <c r="E319" s="37"/>
      <c r="F319" s="101"/>
      <c r="G319" s="101"/>
      <c r="H319" s="101"/>
      <c r="I319" s="101"/>
      <c r="J319" s="103"/>
      <c r="K319" s="103"/>
      <c r="L319" s="101"/>
      <c r="M319" s="39"/>
      <c r="N319" s="37"/>
      <c r="O319" s="98"/>
    </row>
    <row r="320" spans="1:15" ht="15.75" customHeight="1" x14ac:dyDescent="0.2">
      <c r="A320" s="85"/>
      <c r="B320" s="99" t="s">
        <v>372</v>
      </c>
      <c r="C320" s="100">
        <f t="shared" ref="C320:C321" si="165">DATE(98,4,28)</f>
        <v>35913</v>
      </c>
      <c r="D320" s="106">
        <v>41.8</v>
      </c>
      <c r="E320" s="106">
        <v>7.5</v>
      </c>
      <c r="F320" s="101">
        <v>4.0000000000000001E-3</v>
      </c>
      <c r="G320" s="101">
        <v>0.01</v>
      </c>
      <c r="H320" s="101">
        <v>2.7E-2</v>
      </c>
      <c r="I320" s="101">
        <f t="shared" ref="I320:I321" si="166">H320+G320</f>
        <v>3.6999999999999998E-2</v>
      </c>
      <c r="J320" s="103">
        <v>0.11</v>
      </c>
      <c r="K320" s="103">
        <f t="shared" ref="K320:K329" si="167">L320-I320</f>
        <v>0.1</v>
      </c>
      <c r="L320" s="101">
        <f t="shared" ref="L320:L323" si="168">J320+H320</f>
        <v>0.13700000000000001</v>
      </c>
      <c r="M320" s="39">
        <f>L320/F320</f>
        <v>34.25</v>
      </c>
      <c r="N320" s="106">
        <v>1.8</v>
      </c>
      <c r="O320" s="98"/>
    </row>
    <row r="321" spans="1:15" ht="15.75" customHeight="1" x14ac:dyDescent="0.2">
      <c r="A321" s="108"/>
      <c r="B321" s="149" t="s">
        <v>478</v>
      </c>
      <c r="C321" s="110">
        <f t="shared" si="165"/>
        <v>35913</v>
      </c>
      <c r="D321" s="150" t="s">
        <v>84</v>
      </c>
      <c r="E321" s="150" t="s">
        <v>84</v>
      </c>
      <c r="F321" s="112">
        <v>5.0000000000000001E-3</v>
      </c>
      <c r="G321" s="112">
        <v>1.2E-2</v>
      </c>
      <c r="H321" s="112">
        <v>3.2000000000000001E-2</v>
      </c>
      <c r="I321" s="112">
        <f t="shared" si="166"/>
        <v>4.3999999999999997E-2</v>
      </c>
      <c r="J321" s="113">
        <v>0.22</v>
      </c>
      <c r="K321" s="113">
        <f t="shared" si="167"/>
        <v>0.20800000000000002</v>
      </c>
      <c r="L321" s="112">
        <f t="shared" si="168"/>
        <v>0.252</v>
      </c>
      <c r="M321" s="150" t="s">
        <v>84</v>
      </c>
      <c r="N321" s="150" t="s">
        <v>84</v>
      </c>
      <c r="O321" s="115"/>
    </row>
    <row r="322" spans="1:15" ht="15.75" customHeight="1" x14ac:dyDescent="0.2">
      <c r="A322" s="85"/>
      <c r="B322" s="99" t="s">
        <v>81</v>
      </c>
      <c r="C322" s="100">
        <f t="shared" ref="C322:C323" si="169">DATE(98,5,19)</f>
        <v>35934</v>
      </c>
      <c r="D322" s="106">
        <v>42</v>
      </c>
      <c r="E322" s="106">
        <v>6</v>
      </c>
      <c r="F322" s="101">
        <v>5.0000000000000001E-3</v>
      </c>
      <c r="G322" s="102" t="s">
        <v>343</v>
      </c>
      <c r="H322" s="101">
        <v>2.5000000000000001E-2</v>
      </c>
      <c r="I322" s="101">
        <f t="shared" ref="I322:I323" si="170">H322+0.0025</f>
        <v>2.75E-2</v>
      </c>
      <c r="J322" s="103">
        <v>0.15</v>
      </c>
      <c r="K322" s="103">
        <f t="shared" si="167"/>
        <v>0.14749999999999999</v>
      </c>
      <c r="L322" s="101">
        <f t="shared" si="168"/>
        <v>0.17499999999999999</v>
      </c>
      <c r="M322" s="39">
        <f>L322/F322</f>
        <v>35</v>
      </c>
      <c r="N322" s="106">
        <v>1.9</v>
      </c>
      <c r="O322" s="98"/>
    </row>
    <row r="323" spans="1:15" ht="15.75" customHeight="1" x14ac:dyDescent="0.2">
      <c r="A323" s="108"/>
      <c r="B323" s="149" t="s">
        <v>485</v>
      </c>
      <c r="C323" s="110">
        <f t="shared" si="169"/>
        <v>35934</v>
      </c>
      <c r="D323" s="150" t="s">
        <v>84</v>
      </c>
      <c r="E323" s="150" t="s">
        <v>84</v>
      </c>
      <c r="F323" s="112">
        <v>0.01</v>
      </c>
      <c r="G323" s="118" t="s">
        <v>343</v>
      </c>
      <c r="H323" s="112">
        <v>3.4000000000000002E-2</v>
      </c>
      <c r="I323" s="112">
        <f t="shared" si="170"/>
        <v>3.6500000000000005E-2</v>
      </c>
      <c r="J323" s="113">
        <v>0.13</v>
      </c>
      <c r="K323" s="113">
        <f t="shared" si="167"/>
        <v>0.1275</v>
      </c>
      <c r="L323" s="112">
        <f t="shared" si="168"/>
        <v>0.16400000000000001</v>
      </c>
      <c r="M323" s="150" t="s">
        <v>84</v>
      </c>
      <c r="N323" s="150" t="s">
        <v>84</v>
      </c>
      <c r="O323" s="115"/>
    </row>
    <row r="324" spans="1:15" ht="15.75" customHeight="1" x14ac:dyDescent="0.2">
      <c r="A324" s="85"/>
      <c r="B324" s="99" t="s">
        <v>400</v>
      </c>
      <c r="C324" s="100">
        <f t="shared" ref="C324:C325" si="171">DATE(98,7,7)</f>
        <v>35983</v>
      </c>
      <c r="D324" s="106">
        <v>39.6</v>
      </c>
      <c r="E324" s="106">
        <v>7</v>
      </c>
      <c r="F324" s="101">
        <v>3.0000000000000001E-3</v>
      </c>
      <c r="G324" s="101">
        <v>6.0000000000000001E-3</v>
      </c>
      <c r="H324" s="148" t="s">
        <v>398</v>
      </c>
      <c r="I324" s="101">
        <f>0.005+G324</f>
        <v>1.0999999999999999E-2</v>
      </c>
      <c r="J324" s="103">
        <v>0.13</v>
      </c>
      <c r="K324" s="103">
        <f t="shared" si="167"/>
        <v>0.12400000000000001</v>
      </c>
      <c r="L324" s="101">
        <f>J324+0.005</f>
        <v>0.13500000000000001</v>
      </c>
      <c r="M324" s="39">
        <f>L324/F324</f>
        <v>45</v>
      </c>
      <c r="N324" s="106">
        <v>1.5</v>
      </c>
      <c r="O324" s="98"/>
    </row>
    <row r="325" spans="1:15" ht="15.75" customHeight="1" x14ac:dyDescent="0.2">
      <c r="A325" s="108"/>
      <c r="B325" s="149" t="s">
        <v>486</v>
      </c>
      <c r="C325" s="110">
        <f t="shared" si="171"/>
        <v>35983</v>
      </c>
      <c r="D325" s="150" t="s">
        <v>84</v>
      </c>
      <c r="E325" s="150" t="s">
        <v>84</v>
      </c>
      <c r="F325" s="112">
        <v>3.0000000000000001E-3</v>
      </c>
      <c r="G325" s="112">
        <v>8.9999999999999993E-3</v>
      </c>
      <c r="H325" s="112">
        <v>4.5999999999999999E-2</v>
      </c>
      <c r="I325" s="112">
        <f t="shared" ref="I325:I326" si="172">H325+G325</f>
        <v>5.5E-2</v>
      </c>
      <c r="J325" s="113">
        <v>0.14000000000000001</v>
      </c>
      <c r="K325" s="113">
        <f t="shared" si="167"/>
        <v>0.13100000000000001</v>
      </c>
      <c r="L325" s="112">
        <f t="shared" ref="L325:L327" si="173">J325+H325</f>
        <v>0.186</v>
      </c>
      <c r="M325" s="150" t="s">
        <v>84</v>
      </c>
      <c r="N325" s="150" t="s">
        <v>84</v>
      </c>
      <c r="O325" s="115"/>
    </row>
    <row r="326" spans="1:15" ht="15.75" customHeight="1" x14ac:dyDescent="0.2">
      <c r="A326" s="85"/>
      <c r="B326" s="99" t="s">
        <v>487</v>
      </c>
      <c r="C326" s="100">
        <f t="shared" ref="C326:C327" si="174">DATE(98,8,25)</f>
        <v>36032</v>
      </c>
      <c r="D326" s="106">
        <v>43.5</v>
      </c>
      <c r="E326" s="106">
        <v>10</v>
      </c>
      <c r="F326" s="101">
        <v>4.0000000000000001E-3</v>
      </c>
      <c r="G326" s="101">
        <v>0.01</v>
      </c>
      <c r="H326" s="101">
        <v>0.01</v>
      </c>
      <c r="I326" s="101">
        <f t="shared" si="172"/>
        <v>0.02</v>
      </c>
      <c r="J326" s="103">
        <v>0.1</v>
      </c>
      <c r="K326" s="103">
        <f t="shared" si="167"/>
        <v>0.09</v>
      </c>
      <c r="L326" s="101">
        <f t="shared" si="173"/>
        <v>0.11</v>
      </c>
      <c r="M326" s="39">
        <f>L326/F326</f>
        <v>27.5</v>
      </c>
      <c r="N326" s="106">
        <v>1.2</v>
      </c>
      <c r="O326" s="98"/>
    </row>
    <row r="327" spans="1:15" ht="15.75" customHeight="1" x14ac:dyDescent="0.2">
      <c r="A327" s="108"/>
      <c r="B327" s="149" t="s">
        <v>476</v>
      </c>
      <c r="C327" s="110">
        <f t="shared" si="174"/>
        <v>36032</v>
      </c>
      <c r="D327" s="150" t="s">
        <v>84</v>
      </c>
      <c r="E327" s="150" t="s">
        <v>84</v>
      </c>
      <c r="F327" s="112">
        <v>4.0000000000000001E-3</v>
      </c>
      <c r="G327" s="118" t="s">
        <v>343</v>
      </c>
      <c r="H327" s="112">
        <v>6.8000000000000005E-2</v>
      </c>
      <c r="I327" s="112">
        <f>H327+0.0025</f>
        <v>7.0500000000000007E-2</v>
      </c>
      <c r="J327" s="113">
        <v>0.06</v>
      </c>
      <c r="K327" s="113">
        <f t="shared" si="167"/>
        <v>5.7499999999999996E-2</v>
      </c>
      <c r="L327" s="112">
        <f t="shared" si="173"/>
        <v>0.128</v>
      </c>
      <c r="M327" s="150" t="s">
        <v>84</v>
      </c>
      <c r="N327" s="150" t="s">
        <v>84</v>
      </c>
      <c r="O327" s="115"/>
    </row>
    <row r="328" spans="1:15" ht="15.75" customHeight="1" x14ac:dyDescent="0.2">
      <c r="A328" s="85"/>
      <c r="B328" s="99" t="s">
        <v>86</v>
      </c>
      <c r="C328" s="100">
        <f t="shared" ref="C328:C329" si="175">DATE(98,9,22)</f>
        <v>36060</v>
      </c>
      <c r="D328" s="106">
        <v>45.9</v>
      </c>
      <c r="E328" s="106">
        <v>9.5</v>
      </c>
      <c r="F328" s="101">
        <v>4.0000000000000001E-3</v>
      </c>
      <c r="G328" s="102" t="s">
        <v>343</v>
      </c>
      <c r="H328" s="148" t="s">
        <v>398</v>
      </c>
      <c r="I328" s="101">
        <f>0.005+0.0025</f>
        <v>7.4999999999999997E-3</v>
      </c>
      <c r="J328" s="103">
        <v>0.08</v>
      </c>
      <c r="K328" s="103">
        <f t="shared" si="167"/>
        <v>7.7500000000000013E-2</v>
      </c>
      <c r="L328" s="101">
        <f>J328+0.005</f>
        <v>8.5000000000000006E-2</v>
      </c>
      <c r="M328" s="39">
        <f>L328/F328</f>
        <v>21.25</v>
      </c>
      <c r="N328" s="106">
        <v>1.3</v>
      </c>
      <c r="O328" s="98"/>
    </row>
    <row r="329" spans="1:15" ht="15.75" customHeight="1" x14ac:dyDescent="0.2">
      <c r="A329" s="108"/>
      <c r="B329" s="149" t="s">
        <v>456</v>
      </c>
      <c r="C329" s="110">
        <f t="shared" si="175"/>
        <v>36060</v>
      </c>
      <c r="D329" s="150" t="s">
        <v>84</v>
      </c>
      <c r="E329" s="150" t="s">
        <v>84</v>
      </c>
      <c r="F329" s="112">
        <v>6.0000000000000001E-3</v>
      </c>
      <c r="G329" s="112">
        <v>5.0000000000000001E-3</v>
      </c>
      <c r="H329" s="112">
        <v>7.6999999999999999E-2</v>
      </c>
      <c r="I329" s="112">
        <f>H329+G329</f>
        <v>8.2000000000000003E-2</v>
      </c>
      <c r="J329" s="151" t="s">
        <v>341</v>
      </c>
      <c r="K329" s="113">
        <f t="shared" si="167"/>
        <v>2.0000000000000004E-2</v>
      </c>
      <c r="L329" s="112">
        <f>0.025+H329</f>
        <v>0.10200000000000001</v>
      </c>
      <c r="M329" s="150" t="s">
        <v>84</v>
      </c>
      <c r="N329" s="150" t="s">
        <v>84</v>
      </c>
      <c r="O329" s="115"/>
    </row>
    <row r="330" spans="1:15" ht="15.75" customHeight="1" x14ac:dyDescent="0.2">
      <c r="A330" s="38"/>
      <c r="F330" s="101"/>
      <c r="G330" s="101"/>
      <c r="H330" s="101"/>
      <c r="I330" s="101"/>
      <c r="J330" s="103"/>
      <c r="K330" s="103"/>
      <c r="L330" s="101"/>
      <c r="M330" s="39"/>
      <c r="N330" s="37"/>
    </row>
    <row r="331" spans="1:15" ht="15.75" customHeight="1" x14ac:dyDescent="0.2">
      <c r="A331" s="161"/>
      <c r="B331" s="161" t="s">
        <v>399</v>
      </c>
      <c r="C331" s="110">
        <f>DATE(2,4,30)</f>
        <v>851</v>
      </c>
      <c r="D331" s="117">
        <v>46.5</v>
      </c>
      <c r="E331" s="161">
        <v>6.5</v>
      </c>
      <c r="F331" s="161">
        <v>4.0000000000000001E-3</v>
      </c>
      <c r="G331" s="161">
        <v>1.2E-2</v>
      </c>
      <c r="H331" s="112">
        <v>2.5000000000000001E-2</v>
      </c>
      <c r="I331" s="112">
        <f t="shared" ref="I331:I333" si="176">G331+H331</f>
        <v>3.7000000000000005E-2</v>
      </c>
      <c r="J331" s="161">
        <v>0.15</v>
      </c>
      <c r="K331" s="113">
        <f t="shared" ref="K331:K337" si="177">L331-I331</f>
        <v>0.13799999999999998</v>
      </c>
      <c r="L331" s="112">
        <f t="shared" ref="L331:L333" si="178">J331+H331</f>
        <v>0.17499999999999999</v>
      </c>
      <c r="M331" s="119">
        <f t="shared" ref="M331:M332" si="179">L331/F331</f>
        <v>43.749999999999993</v>
      </c>
      <c r="N331" s="117">
        <v>3.8</v>
      </c>
      <c r="O331" s="174"/>
    </row>
    <row r="332" spans="1:15" ht="15.75" customHeight="1" x14ac:dyDescent="0.2">
      <c r="A332" s="38"/>
      <c r="B332" s="38" t="s">
        <v>81</v>
      </c>
      <c r="C332" s="100">
        <f t="shared" ref="C332:C333" si="180">DATE(2,6,5)</f>
        <v>887</v>
      </c>
      <c r="D332" s="37">
        <f>130*0.3048</f>
        <v>39.624000000000002</v>
      </c>
      <c r="E332" s="38">
        <v>5.2</v>
      </c>
      <c r="F332" s="38">
        <v>1.6E-2</v>
      </c>
      <c r="G332" s="101">
        <v>0.01</v>
      </c>
      <c r="H332" s="101">
        <v>5.0000000000000001E-3</v>
      </c>
      <c r="I332" s="101">
        <f t="shared" si="176"/>
        <v>1.4999999999999999E-2</v>
      </c>
      <c r="J332" s="103">
        <v>0.1</v>
      </c>
      <c r="K332" s="103">
        <f t="shared" si="177"/>
        <v>9.0000000000000011E-2</v>
      </c>
      <c r="L332" s="101">
        <f t="shared" si="178"/>
        <v>0.10500000000000001</v>
      </c>
      <c r="M332" s="39">
        <f t="shared" si="179"/>
        <v>6.5625000000000009</v>
      </c>
      <c r="N332" s="37">
        <v>2.4</v>
      </c>
    </row>
    <row r="333" spans="1:15" ht="15.75" customHeight="1" x14ac:dyDescent="0.2">
      <c r="A333" s="38"/>
      <c r="B333" s="162">
        <v>32</v>
      </c>
      <c r="C333" s="110">
        <f t="shared" si="180"/>
        <v>887</v>
      </c>
      <c r="D333" s="150" t="s">
        <v>84</v>
      </c>
      <c r="E333" s="150" t="s">
        <v>84</v>
      </c>
      <c r="F333" s="116">
        <v>5.0000000000000001E-3</v>
      </c>
      <c r="G333" s="112">
        <v>2.9000000000000001E-2</v>
      </c>
      <c r="H333" s="112">
        <v>0.04</v>
      </c>
      <c r="I333" s="112">
        <f t="shared" si="176"/>
        <v>6.9000000000000006E-2</v>
      </c>
      <c r="J333" s="113">
        <v>0.16</v>
      </c>
      <c r="K333" s="113">
        <f t="shared" si="177"/>
        <v>0.13100000000000001</v>
      </c>
      <c r="L333" s="112">
        <f t="shared" si="178"/>
        <v>0.2</v>
      </c>
      <c r="M333" s="114" t="s">
        <v>84</v>
      </c>
      <c r="N333" s="111" t="s">
        <v>84</v>
      </c>
    </row>
    <row r="334" spans="1:15" ht="15.75" customHeight="1" x14ac:dyDescent="0.2">
      <c r="A334" s="38"/>
      <c r="B334" s="38" t="s">
        <v>81</v>
      </c>
      <c r="C334" s="100">
        <f t="shared" ref="C334:C335" si="181">DATE(2,7,30)</f>
        <v>942</v>
      </c>
      <c r="D334" s="37">
        <v>40.4</v>
      </c>
      <c r="E334" s="38">
        <v>8.6999999999999993</v>
      </c>
      <c r="F334" s="38">
        <v>4.0000000000000001E-3</v>
      </c>
      <c r="G334" s="38">
        <v>8.9999999999999993E-3</v>
      </c>
      <c r="H334" s="148" t="s">
        <v>343</v>
      </c>
      <c r="I334" s="101">
        <f>0.009+0.003</f>
        <v>1.2E-2</v>
      </c>
      <c r="J334" s="38">
        <v>0.11</v>
      </c>
      <c r="K334" s="103">
        <f t="shared" si="177"/>
        <v>0.10100000000000001</v>
      </c>
      <c r="L334" s="101">
        <f>0.11+0.003</f>
        <v>0.113</v>
      </c>
      <c r="M334" s="39">
        <f>L334/F334</f>
        <v>28.25</v>
      </c>
      <c r="N334" s="37">
        <v>1.9</v>
      </c>
    </row>
    <row r="335" spans="1:15" ht="15.75" customHeight="1" x14ac:dyDescent="0.2">
      <c r="A335" s="38"/>
      <c r="B335" s="162">
        <v>39</v>
      </c>
      <c r="C335" s="110">
        <f t="shared" si="181"/>
        <v>942</v>
      </c>
      <c r="D335" s="150" t="s">
        <v>84</v>
      </c>
      <c r="E335" s="150" t="s">
        <v>84</v>
      </c>
      <c r="F335" s="116">
        <v>4.0000000000000001E-3</v>
      </c>
      <c r="G335" s="112">
        <v>7.0000000000000001E-3</v>
      </c>
      <c r="H335" s="112">
        <v>5.1999999999999998E-2</v>
      </c>
      <c r="I335" s="112">
        <f>G335+H335</f>
        <v>5.8999999999999997E-2</v>
      </c>
      <c r="J335" s="113">
        <v>0.13</v>
      </c>
      <c r="K335" s="113">
        <f t="shared" si="177"/>
        <v>0.123</v>
      </c>
      <c r="L335" s="112">
        <f>J335+H335</f>
        <v>0.182</v>
      </c>
      <c r="M335" s="114" t="s">
        <v>84</v>
      </c>
      <c r="N335" s="111" t="s">
        <v>84</v>
      </c>
    </row>
    <row r="336" spans="1:15" ht="15.75" customHeight="1" x14ac:dyDescent="0.2">
      <c r="A336" s="38"/>
      <c r="B336" s="38" t="s">
        <v>487</v>
      </c>
      <c r="C336" s="100">
        <f t="shared" ref="C336:C337" si="182">DATE(2,9,26)</f>
        <v>1000</v>
      </c>
      <c r="D336" s="37">
        <v>47.6</v>
      </c>
      <c r="E336" s="38">
        <v>12.6</v>
      </c>
      <c r="F336" s="38">
        <v>4.0000000000000001E-3</v>
      </c>
      <c r="G336" s="163" t="s">
        <v>343</v>
      </c>
      <c r="H336" s="163" t="s">
        <v>343</v>
      </c>
      <c r="I336" s="101">
        <v>5.0000000000000001E-3</v>
      </c>
      <c r="J336" s="38">
        <v>0.19</v>
      </c>
      <c r="K336" s="103">
        <f t="shared" si="177"/>
        <v>0.188</v>
      </c>
      <c r="L336" s="101">
        <f>0.19+0.003</f>
        <v>0.193</v>
      </c>
      <c r="M336" s="39">
        <f>L336/F336</f>
        <v>48.25</v>
      </c>
      <c r="N336" s="37">
        <v>1.4</v>
      </c>
    </row>
    <row r="337" spans="1:15" ht="15.75" customHeight="1" x14ac:dyDescent="0.2">
      <c r="A337" s="38"/>
      <c r="B337" s="162">
        <v>46</v>
      </c>
      <c r="C337" s="110">
        <f t="shared" si="182"/>
        <v>1000</v>
      </c>
      <c r="D337" s="150" t="s">
        <v>84</v>
      </c>
      <c r="E337" s="150" t="s">
        <v>84</v>
      </c>
      <c r="F337" s="116">
        <v>4.0000000000000001E-3</v>
      </c>
      <c r="G337" s="163" t="s">
        <v>343</v>
      </c>
      <c r="H337" s="112">
        <v>6.0999999999999999E-2</v>
      </c>
      <c r="I337" s="112">
        <f>0.061+0.003</f>
        <v>6.4000000000000001E-2</v>
      </c>
      <c r="J337" s="113">
        <v>0.06</v>
      </c>
      <c r="K337" s="113">
        <f t="shared" si="177"/>
        <v>5.6999999999999995E-2</v>
      </c>
      <c r="L337" s="112">
        <f>J337+H337</f>
        <v>0.121</v>
      </c>
      <c r="M337" s="114" t="s">
        <v>84</v>
      </c>
      <c r="N337" s="111" t="s">
        <v>84</v>
      </c>
    </row>
    <row r="338" spans="1:15" ht="15.75" customHeight="1" x14ac:dyDescent="0.2">
      <c r="A338" s="38"/>
      <c r="B338" s="38"/>
      <c r="C338" s="36"/>
      <c r="D338" s="37"/>
      <c r="E338" s="37"/>
      <c r="F338" s="101"/>
      <c r="G338" s="101"/>
      <c r="H338" s="101"/>
      <c r="I338" s="101"/>
      <c r="J338" s="103"/>
      <c r="K338" s="103"/>
      <c r="L338" s="101"/>
      <c r="M338" s="39"/>
      <c r="N338" s="37"/>
    </row>
    <row r="339" spans="1:15" ht="15.75" customHeight="1" x14ac:dyDescent="0.2">
      <c r="A339" s="38"/>
      <c r="B339" s="38"/>
      <c r="C339" s="36"/>
      <c r="D339" s="37"/>
      <c r="E339" s="37"/>
      <c r="F339" s="101"/>
      <c r="G339" s="101"/>
      <c r="H339" s="101"/>
      <c r="I339" s="101"/>
      <c r="J339" s="103"/>
      <c r="K339" s="103"/>
      <c r="L339" s="101"/>
      <c r="M339" s="39"/>
      <c r="N339" s="37"/>
    </row>
    <row r="340" spans="1:15" ht="15.75" customHeight="1" x14ac:dyDescent="0.2">
      <c r="A340" s="38"/>
      <c r="B340" s="38"/>
      <c r="C340" s="36"/>
      <c r="D340" s="37"/>
      <c r="E340" s="37"/>
      <c r="F340" s="101"/>
      <c r="G340" s="101"/>
      <c r="H340" s="101"/>
      <c r="I340" s="101"/>
      <c r="J340" s="103"/>
      <c r="K340" s="103"/>
      <c r="L340" s="101"/>
      <c r="M340" s="39"/>
      <c r="N340" s="37"/>
    </row>
    <row r="341" spans="1:15" ht="15.75" customHeight="1" x14ac:dyDescent="0.2">
      <c r="A341" s="38"/>
      <c r="B341" s="38"/>
      <c r="C341" s="36"/>
      <c r="D341" s="37"/>
      <c r="E341" s="37"/>
      <c r="F341" s="101"/>
      <c r="G341" s="101"/>
      <c r="H341" s="101"/>
      <c r="I341" s="101"/>
      <c r="J341" s="103"/>
      <c r="K341" s="103"/>
      <c r="L341" s="101"/>
      <c r="M341" s="39"/>
      <c r="N341" s="37"/>
    </row>
    <row r="342" spans="1:15" ht="15.75" customHeight="1" x14ac:dyDescent="0.2">
      <c r="A342" s="38"/>
      <c r="B342" s="38"/>
      <c r="C342" s="36"/>
      <c r="D342" s="37"/>
      <c r="E342" s="37"/>
      <c r="F342" s="101"/>
      <c r="G342" s="101"/>
      <c r="H342" s="101"/>
      <c r="I342" s="101"/>
      <c r="J342" s="103"/>
      <c r="K342" s="103"/>
      <c r="L342" s="101"/>
      <c r="M342" s="39"/>
      <c r="N342" s="37"/>
    </row>
    <row r="343" spans="1:15" ht="15.75" customHeight="1" x14ac:dyDescent="0.2">
      <c r="A343" s="38"/>
      <c r="B343" s="38"/>
      <c r="C343" s="36"/>
      <c r="D343" s="37"/>
      <c r="E343" s="37"/>
      <c r="F343" s="101"/>
      <c r="G343" s="101"/>
      <c r="H343" s="101"/>
      <c r="I343" s="101"/>
      <c r="J343" s="103"/>
      <c r="K343" s="103"/>
      <c r="L343" s="101"/>
      <c r="M343" s="39"/>
      <c r="N343" s="37"/>
    </row>
    <row r="344" spans="1:15" ht="15.75" customHeight="1" x14ac:dyDescent="0.2">
      <c r="A344" s="38"/>
      <c r="B344" s="38"/>
      <c r="C344" s="36"/>
      <c r="D344" s="37"/>
      <c r="E344" s="37"/>
      <c r="F344" s="101"/>
      <c r="G344" s="101"/>
      <c r="H344" s="101"/>
      <c r="I344" s="101"/>
      <c r="J344" s="103"/>
      <c r="K344" s="103"/>
      <c r="L344" s="101"/>
      <c r="M344" s="39"/>
      <c r="N344" s="37"/>
    </row>
    <row r="345" spans="1:15" ht="15.75" customHeight="1" x14ac:dyDescent="0.2">
      <c r="A345" s="38"/>
      <c r="B345" s="38"/>
      <c r="C345" s="36"/>
      <c r="D345" s="37"/>
      <c r="E345" s="37"/>
      <c r="F345" s="101"/>
      <c r="G345" s="101"/>
      <c r="H345" s="101"/>
      <c r="I345" s="101"/>
      <c r="J345" s="103"/>
      <c r="K345" s="103"/>
      <c r="L345" s="101"/>
      <c r="M345" s="39"/>
      <c r="N345" s="37"/>
    </row>
    <row r="346" spans="1:15" ht="15.75" customHeight="1" x14ac:dyDescent="0.2">
      <c r="A346" s="38"/>
      <c r="B346" s="38"/>
      <c r="C346" s="36"/>
      <c r="D346" s="37"/>
      <c r="E346" s="37"/>
      <c r="F346" s="101"/>
      <c r="G346" s="101"/>
      <c r="H346" s="101"/>
      <c r="I346" s="101"/>
      <c r="J346" s="103"/>
      <c r="K346" s="103"/>
      <c r="L346" s="101"/>
      <c r="M346" s="39"/>
      <c r="N346" s="37"/>
    </row>
    <row r="347" spans="1:15" ht="15.75" customHeight="1" x14ac:dyDescent="0.2">
      <c r="A347" s="38"/>
      <c r="B347" s="38"/>
      <c r="C347" s="36"/>
      <c r="D347" s="37"/>
      <c r="E347" s="37"/>
      <c r="F347" s="101"/>
      <c r="G347" s="101"/>
      <c r="H347" s="101"/>
      <c r="I347" s="101"/>
      <c r="J347" s="103"/>
      <c r="K347" s="103"/>
      <c r="L347" s="101"/>
      <c r="M347" s="39"/>
      <c r="N347" s="37"/>
    </row>
    <row r="348" spans="1:15" ht="15.75" customHeight="1" x14ac:dyDescent="0.2">
      <c r="A348" s="38"/>
      <c r="B348" s="38"/>
      <c r="C348" s="36"/>
      <c r="D348" s="37"/>
      <c r="E348" s="37"/>
      <c r="F348" s="101"/>
      <c r="G348" s="101"/>
      <c r="H348" s="101"/>
      <c r="I348" s="101"/>
      <c r="J348" s="103"/>
      <c r="K348" s="103"/>
      <c r="L348" s="101"/>
      <c r="M348" s="39"/>
      <c r="N348" s="37"/>
    </row>
    <row r="349" spans="1:15" ht="15.75" customHeight="1" x14ac:dyDescent="0.2">
      <c r="A349" s="38"/>
      <c r="B349" s="38"/>
      <c r="C349" s="36"/>
      <c r="D349" s="37"/>
      <c r="E349" s="37"/>
      <c r="F349" s="101"/>
      <c r="G349" s="101"/>
      <c r="H349" s="101"/>
      <c r="I349" s="101"/>
      <c r="J349" s="103"/>
      <c r="K349" s="103"/>
      <c r="L349" s="101"/>
      <c r="M349" s="39"/>
      <c r="N349" s="37"/>
    </row>
    <row r="350" spans="1:15" ht="15.75" customHeight="1" x14ac:dyDescent="0.2">
      <c r="A350" s="38"/>
      <c r="B350" s="38"/>
      <c r="C350" s="36"/>
      <c r="D350" s="37"/>
      <c r="E350" s="37"/>
      <c r="F350" s="101"/>
      <c r="G350" s="101"/>
      <c r="H350" s="101"/>
      <c r="I350" s="101"/>
      <c r="J350" s="103"/>
      <c r="K350" s="103"/>
      <c r="L350" s="101"/>
      <c r="M350" s="39"/>
      <c r="N350" s="37"/>
    </row>
    <row r="351" spans="1:15" ht="15.75" customHeight="1" x14ac:dyDescent="0.2">
      <c r="A351" s="38"/>
      <c r="B351" s="38"/>
      <c r="C351" s="36"/>
      <c r="D351" s="37"/>
      <c r="E351" s="37"/>
      <c r="F351" s="101"/>
      <c r="G351" s="101"/>
      <c r="H351" s="101"/>
      <c r="I351" s="101"/>
      <c r="J351" s="103"/>
      <c r="K351" s="103"/>
      <c r="L351" s="101"/>
      <c r="M351" s="39"/>
      <c r="N351" s="37"/>
    </row>
    <row r="352" spans="1:15" ht="15.75" customHeight="1" x14ac:dyDescent="0.2">
      <c r="A352" s="164"/>
      <c r="B352" s="87"/>
      <c r="C352" s="86"/>
      <c r="D352" s="131"/>
      <c r="E352" s="131"/>
      <c r="F352" s="132"/>
      <c r="G352" s="132"/>
      <c r="H352" s="133" t="s">
        <v>319</v>
      </c>
      <c r="I352" s="132"/>
      <c r="J352" s="134"/>
      <c r="K352" s="134"/>
      <c r="L352" s="132"/>
      <c r="M352" s="135"/>
      <c r="N352" s="131"/>
      <c r="O352" s="89"/>
    </row>
    <row r="353" spans="1:15" ht="15.75" customHeight="1" x14ac:dyDescent="0.25">
      <c r="A353" s="85"/>
      <c r="B353" s="90" t="s">
        <v>320</v>
      </c>
      <c r="C353" s="91"/>
      <c r="D353" s="136" t="s">
        <v>321</v>
      </c>
      <c r="E353" s="136" t="s">
        <v>322</v>
      </c>
      <c r="F353" s="137"/>
      <c r="G353" s="138" t="s">
        <v>323</v>
      </c>
      <c r="H353" s="139" t="s">
        <v>488</v>
      </c>
      <c r="I353" s="138" t="s">
        <v>323</v>
      </c>
      <c r="J353" s="140"/>
      <c r="K353" s="141" t="s">
        <v>323</v>
      </c>
      <c r="L353" s="137"/>
      <c r="M353" s="142"/>
      <c r="N353" s="143"/>
      <c r="O353" s="95"/>
    </row>
    <row r="354" spans="1:15" ht="15.75" customHeight="1" x14ac:dyDescent="0.25">
      <c r="A354" s="85"/>
      <c r="B354" s="90" t="s">
        <v>325</v>
      </c>
      <c r="C354" s="91"/>
      <c r="D354" s="136" t="s">
        <v>52</v>
      </c>
      <c r="E354" s="136" t="s">
        <v>52</v>
      </c>
      <c r="F354" s="138" t="s">
        <v>326</v>
      </c>
      <c r="G354" s="138" t="s">
        <v>489</v>
      </c>
      <c r="H354" s="139" t="s">
        <v>490</v>
      </c>
      <c r="I354" s="138" t="s">
        <v>329</v>
      </c>
      <c r="J354" s="141" t="s">
        <v>330</v>
      </c>
      <c r="K354" s="141" t="s">
        <v>331</v>
      </c>
      <c r="L354" s="138" t="s">
        <v>332</v>
      </c>
      <c r="M354" s="142"/>
      <c r="N354" s="136" t="s">
        <v>333</v>
      </c>
      <c r="O354" s="95"/>
    </row>
    <row r="355" spans="1:15" ht="15.75" customHeight="1" x14ac:dyDescent="0.2">
      <c r="A355" s="96"/>
      <c r="B355" s="97" t="s">
        <v>334</v>
      </c>
      <c r="C355" s="165" t="s">
        <v>335</v>
      </c>
      <c r="D355" s="166" t="s">
        <v>336</v>
      </c>
      <c r="E355" s="166" t="s">
        <v>336</v>
      </c>
      <c r="F355" s="167" t="s">
        <v>337</v>
      </c>
      <c r="G355" s="167" t="s">
        <v>337</v>
      </c>
      <c r="H355" s="167" t="s">
        <v>337</v>
      </c>
      <c r="I355" s="167" t="s">
        <v>337</v>
      </c>
      <c r="J355" s="168" t="s">
        <v>337</v>
      </c>
      <c r="K355" s="168" t="s">
        <v>337</v>
      </c>
      <c r="L355" s="167" t="s">
        <v>337</v>
      </c>
      <c r="M355" s="169" t="s">
        <v>338</v>
      </c>
      <c r="N355" s="166" t="s">
        <v>339</v>
      </c>
      <c r="O355" s="160"/>
    </row>
    <row r="356" spans="1:15" ht="15.75" customHeight="1" x14ac:dyDescent="0.2">
      <c r="A356" s="85"/>
      <c r="B356" s="38"/>
      <c r="C356" s="36"/>
      <c r="D356" s="37"/>
      <c r="E356" s="37"/>
      <c r="F356" s="101"/>
      <c r="G356" s="101"/>
      <c r="H356" s="101"/>
      <c r="I356" s="101"/>
      <c r="J356" s="103"/>
      <c r="K356" s="103"/>
      <c r="L356" s="101"/>
      <c r="M356" s="39"/>
      <c r="N356" s="37"/>
      <c r="O356" s="98"/>
    </row>
    <row r="357" spans="1:15" ht="15.75" customHeight="1" x14ac:dyDescent="0.2">
      <c r="A357" s="85"/>
      <c r="B357" s="90" t="s">
        <v>491</v>
      </c>
      <c r="C357" s="38"/>
      <c r="D357" s="37"/>
      <c r="E357" s="37"/>
      <c r="F357" s="101"/>
      <c r="G357" s="101"/>
      <c r="H357" s="101"/>
      <c r="I357" s="101"/>
      <c r="J357" s="103"/>
      <c r="K357" s="103"/>
      <c r="L357" s="101"/>
      <c r="M357" s="39"/>
      <c r="N357" s="37"/>
      <c r="O357" s="98"/>
    </row>
    <row r="358" spans="1:15" ht="15.75" customHeight="1" x14ac:dyDescent="0.2">
      <c r="A358" s="85"/>
      <c r="B358" s="90"/>
      <c r="C358" s="38"/>
      <c r="D358" s="37"/>
      <c r="E358" s="37"/>
      <c r="F358" s="101"/>
      <c r="G358" s="101"/>
      <c r="H358" s="101"/>
      <c r="I358" s="101"/>
      <c r="J358" s="103"/>
      <c r="K358" s="103"/>
      <c r="L358" s="101"/>
      <c r="M358" s="39"/>
      <c r="N358" s="37"/>
      <c r="O358" s="98"/>
    </row>
    <row r="359" spans="1:15" ht="15.75" customHeight="1" x14ac:dyDescent="0.2">
      <c r="A359" s="85"/>
      <c r="B359" s="99" t="s">
        <v>95</v>
      </c>
      <c r="C359" s="100">
        <f>DATE(93,4,22)</f>
        <v>34081</v>
      </c>
      <c r="D359" s="37">
        <v>16.2</v>
      </c>
      <c r="E359" s="37">
        <v>7</v>
      </c>
      <c r="F359" s="101">
        <v>3.0000000000000001E-3</v>
      </c>
      <c r="G359" s="104" t="s">
        <v>84</v>
      </c>
      <c r="H359" s="104" t="s">
        <v>84</v>
      </c>
      <c r="I359" s="104" t="s">
        <v>84</v>
      </c>
      <c r="J359" s="102" t="s">
        <v>84</v>
      </c>
      <c r="K359" s="102" t="s">
        <v>84</v>
      </c>
      <c r="L359" s="104" t="s">
        <v>84</v>
      </c>
      <c r="M359" s="107" t="s">
        <v>84</v>
      </c>
      <c r="N359" s="37">
        <v>1.6</v>
      </c>
      <c r="O359" s="98"/>
    </row>
    <row r="360" spans="1:15" ht="15.75" customHeight="1" x14ac:dyDescent="0.2">
      <c r="A360" s="85"/>
      <c r="B360" s="99" t="s">
        <v>96</v>
      </c>
      <c r="C360" s="100">
        <f>DATE(93,5,18)</f>
        <v>34107</v>
      </c>
      <c r="D360" s="37">
        <v>21.6</v>
      </c>
      <c r="E360" s="37">
        <v>6.9</v>
      </c>
      <c r="F360" s="101">
        <v>7.0000000000000001E-3</v>
      </c>
      <c r="G360" s="101">
        <f>0.015-0.01</f>
        <v>4.9999999999999992E-3</v>
      </c>
      <c r="H360" s="101">
        <v>1.0999999999999999E-2</v>
      </c>
      <c r="I360" s="101">
        <f>H360+G360</f>
        <v>1.6E-2</v>
      </c>
      <c r="J360" s="103">
        <f>0.25-0.01</f>
        <v>0.24</v>
      </c>
      <c r="K360" s="103">
        <f t="shared" ref="K360:K362" si="183">L360-I360</f>
        <v>0.23499999999999999</v>
      </c>
      <c r="L360" s="101">
        <f>J360+H360</f>
        <v>0.251</v>
      </c>
      <c r="M360" s="39">
        <f t="shared" ref="M360:M362" si="184">L360/F360</f>
        <v>35.857142857142854</v>
      </c>
      <c r="N360" s="37">
        <v>1.8</v>
      </c>
      <c r="O360" s="98"/>
    </row>
    <row r="361" spans="1:15" ht="15.75" customHeight="1" x14ac:dyDescent="0.2">
      <c r="A361" s="85"/>
      <c r="B361" s="99" t="s">
        <v>95</v>
      </c>
      <c r="C361" s="100">
        <f>DATE(93,6,15)</f>
        <v>34135</v>
      </c>
      <c r="D361" s="37">
        <v>21.5</v>
      </c>
      <c r="E361" s="37">
        <v>6.4</v>
      </c>
      <c r="F361" s="101">
        <v>6.0000000000000001E-3</v>
      </c>
      <c r="G361" s="101">
        <f>0.023-0.01</f>
        <v>1.2999999999999999E-2</v>
      </c>
      <c r="H361" s="104" t="s">
        <v>343</v>
      </c>
      <c r="I361" s="101">
        <f>0.013+0.0025</f>
        <v>1.55E-2</v>
      </c>
      <c r="J361" s="103">
        <f>0.14-0.01</f>
        <v>0.13</v>
      </c>
      <c r="K361" s="103">
        <f t="shared" si="183"/>
        <v>0.11700000000000001</v>
      </c>
      <c r="L361" s="101">
        <f>0.13+0.0025</f>
        <v>0.13250000000000001</v>
      </c>
      <c r="M361" s="39">
        <f t="shared" si="184"/>
        <v>22.083333333333336</v>
      </c>
      <c r="N361" s="106" t="s">
        <v>492</v>
      </c>
      <c r="O361" s="98"/>
    </row>
    <row r="362" spans="1:15" ht="15.75" customHeight="1" x14ac:dyDescent="0.2">
      <c r="A362" s="85"/>
      <c r="B362" s="99" t="s">
        <v>97</v>
      </c>
      <c r="C362" s="100">
        <f>DATE(93,7,7)</f>
        <v>34157</v>
      </c>
      <c r="D362" s="37">
        <v>15.2</v>
      </c>
      <c r="E362" s="37">
        <v>7.5</v>
      </c>
      <c r="F362" s="101">
        <v>5.0000000000000001E-3</v>
      </c>
      <c r="G362" s="104" t="s">
        <v>343</v>
      </c>
      <c r="H362" s="101">
        <v>8.9999999999999993E-3</v>
      </c>
      <c r="I362" s="101">
        <v>8.9999999999999993E-3</v>
      </c>
      <c r="J362" s="102" t="s">
        <v>341</v>
      </c>
      <c r="K362" s="103">
        <f t="shared" si="183"/>
        <v>1.9999999999999997E-2</v>
      </c>
      <c r="L362" s="101">
        <f>0.02+0.009</f>
        <v>2.8999999999999998E-2</v>
      </c>
      <c r="M362" s="39">
        <f t="shared" si="184"/>
        <v>5.8</v>
      </c>
      <c r="N362" s="37">
        <v>1.1000000000000001</v>
      </c>
      <c r="O362" s="98"/>
    </row>
    <row r="363" spans="1:15" ht="15.75" customHeight="1" x14ac:dyDescent="0.2">
      <c r="A363" s="85"/>
      <c r="B363" s="99" t="s">
        <v>98</v>
      </c>
      <c r="C363" s="100">
        <f>DATE(93,7,27)</f>
        <v>34177</v>
      </c>
      <c r="D363" s="37">
        <f>67*0.3048</f>
        <v>20.421600000000002</v>
      </c>
      <c r="E363" s="37">
        <v>10.6</v>
      </c>
      <c r="F363" s="101">
        <v>5.0000000000000001E-3</v>
      </c>
      <c r="G363" s="104" t="s">
        <v>84</v>
      </c>
      <c r="H363" s="104" t="s">
        <v>343</v>
      </c>
      <c r="I363" s="104" t="s">
        <v>84</v>
      </c>
      <c r="J363" s="102" t="s">
        <v>84</v>
      </c>
      <c r="K363" s="102" t="s">
        <v>84</v>
      </c>
      <c r="L363" s="104" t="s">
        <v>84</v>
      </c>
      <c r="M363" s="107" t="s">
        <v>84</v>
      </c>
      <c r="N363" s="37">
        <v>0.43</v>
      </c>
      <c r="O363" s="98"/>
    </row>
    <row r="364" spans="1:15" ht="15.75" customHeight="1" x14ac:dyDescent="0.2">
      <c r="A364" s="85"/>
      <c r="B364" s="99" t="s">
        <v>98</v>
      </c>
      <c r="C364" s="100">
        <f>DATE(93,8,17)</f>
        <v>34198</v>
      </c>
      <c r="D364" s="37">
        <v>13.3</v>
      </c>
      <c r="E364" s="37">
        <v>10.3</v>
      </c>
      <c r="F364" s="101">
        <v>4.0000000000000001E-3</v>
      </c>
      <c r="G364" s="101">
        <f>0.033-0.027</f>
        <v>6.0000000000000019E-3</v>
      </c>
      <c r="H364" s="104" t="s">
        <v>343</v>
      </c>
      <c r="I364" s="101">
        <f>0.006+0.0025</f>
        <v>8.5000000000000006E-3</v>
      </c>
      <c r="J364" s="103">
        <f>0.12-0.02</f>
        <v>9.9999999999999992E-2</v>
      </c>
      <c r="K364" s="103">
        <f t="shared" ref="K364:K366" si="185">L364-I364</f>
        <v>9.4E-2</v>
      </c>
      <c r="L364" s="101">
        <f>0.1+0.0025</f>
        <v>0.10250000000000001</v>
      </c>
      <c r="M364" s="39">
        <f t="shared" ref="M364:M366" si="186">L364/F364</f>
        <v>25.625</v>
      </c>
      <c r="N364" s="37">
        <v>1.1000000000000001</v>
      </c>
      <c r="O364" s="98"/>
    </row>
    <row r="365" spans="1:15" ht="15.75" customHeight="1" x14ac:dyDescent="0.2">
      <c r="A365" s="85"/>
      <c r="B365" s="99" t="s">
        <v>98</v>
      </c>
      <c r="C365" s="100">
        <f>DATE(93,9,14)</f>
        <v>34226</v>
      </c>
      <c r="D365" s="37">
        <v>16</v>
      </c>
      <c r="E365" s="37">
        <v>11.5</v>
      </c>
      <c r="F365" s="101">
        <v>2E-3</v>
      </c>
      <c r="G365" s="104" t="s">
        <v>343</v>
      </c>
      <c r="H365" s="104" t="s">
        <v>343</v>
      </c>
      <c r="I365" s="101">
        <f>0+0.0025</f>
        <v>2.5000000000000001E-3</v>
      </c>
      <c r="J365" s="102" t="s">
        <v>341</v>
      </c>
      <c r="K365" s="103">
        <f t="shared" si="185"/>
        <v>0.02</v>
      </c>
      <c r="L365" s="101">
        <f>0.02+0.0025</f>
        <v>2.2499999999999999E-2</v>
      </c>
      <c r="M365" s="39">
        <f t="shared" si="186"/>
        <v>11.25</v>
      </c>
      <c r="N365" s="37">
        <v>0.7</v>
      </c>
      <c r="O365" s="98"/>
    </row>
    <row r="366" spans="1:15" ht="15.75" customHeight="1" x14ac:dyDescent="0.2">
      <c r="A366" s="85"/>
      <c r="B366" s="99" t="s">
        <v>97</v>
      </c>
      <c r="C366" s="100">
        <f>DATE(93,10,12)</f>
        <v>34254</v>
      </c>
      <c r="D366" s="37">
        <v>20</v>
      </c>
      <c r="E366" s="37">
        <v>14</v>
      </c>
      <c r="F366" s="101">
        <v>3.0000000000000001E-3</v>
      </c>
      <c r="G366" s="104" t="s">
        <v>343</v>
      </c>
      <c r="H366" s="101">
        <v>5.0000000000000001E-3</v>
      </c>
      <c r="I366" s="101">
        <f>0+0.005</f>
        <v>5.0000000000000001E-3</v>
      </c>
      <c r="J366" s="102" t="s">
        <v>341</v>
      </c>
      <c r="K366" s="103">
        <f t="shared" si="185"/>
        <v>2.3999999999999997E-2</v>
      </c>
      <c r="L366" s="101">
        <f>0.02+0.009</f>
        <v>2.8999999999999998E-2</v>
      </c>
      <c r="M366" s="39">
        <f t="shared" si="186"/>
        <v>9.6666666666666661</v>
      </c>
      <c r="N366" s="37">
        <v>0.6</v>
      </c>
      <c r="O366" s="98"/>
    </row>
    <row r="367" spans="1:15" ht="15.75" customHeight="1" x14ac:dyDescent="0.2">
      <c r="A367" s="85"/>
      <c r="B367" s="38"/>
      <c r="C367" s="36"/>
      <c r="D367" s="37"/>
      <c r="E367" s="37"/>
      <c r="F367" s="101"/>
      <c r="G367" s="101"/>
      <c r="H367" s="101"/>
      <c r="I367" s="101"/>
      <c r="J367" s="103"/>
      <c r="K367" s="103"/>
      <c r="L367" s="101"/>
      <c r="M367" s="39"/>
      <c r="N367" s="37"/>
      <c r="O367" s="98"/>
    </row>
    <row r="368" spans="1:15" ht="15.75" customHeight="1" x14ac:dyDescent="0.2">
      <c r="A368" s="85"/>
      <c r="B368" s="99" t="s">
        <v>87</v>
      </c>
      <c r="C368" s="100">
        <f>DATE(94,3,30)</f>
        <v>34423</v>
      </c>
      <c r="D368" s="37">
        <v>21</v>
      </c>
      <c r="E368" s="37">
        <v>10.7</v>
      </c>
      <c r="F368" s="101">
        <v>4.0000000000000001E-3</v>
      </c>
      <c r="G368" s="101">
        <f>0.017-0.008</f>
        <v>9.0000000000000011E-3</v>
      </c>
      <c r="H368" s="101">
        <v>2.8000000000000001E-2</v>
      </c>
      <c r="I368" s="101">
        <f>0.009+0.028</f>
        <v>3.6999999999999998E-2</v>
      </c>
      <c r="J368" s="102" t="s">
        <v>341</v>
      </c>
      <c r="K368" s="103">
        <f t="shared" ref="K368:K376" si="187">L368-I368</f>
        <v>1.1000000000000003E-2</v>
      </c>
      <c r="L368" s="101">
        <f>0.02+0.028</f>
        <v>4.8000000000000001E-2</v>
      </c>
      <c r="M368" s="39">
        <f t="shared" ref="M368:M376" si="188">L368/F368</f>
        <v>12</v>
      </c>
      <c r="N368" s="37">
        <v>2.8</v>
      </c>
      <c r="O368" s="98"/>
    </row>
    <row r="369" spans="1:15" ht="15.75" customHeight="1" x14ac:dyDescent="0.2">
      <c r="A369" s="85"/>
      <c r="B369" s="99" t="s">
        <v>88</v>
      </c>
      <c r="C369" s="100">
        <f>DATE(94,4,27)</f>
        <v>34451</v>
      </c>
      <c r="D369" s="37">
        <v>18.399999999999999</v>
      </c>
      <c r="E369" s="37">
        <v>11.6</v>
      </c>
      <c r="F369" s="101">
        <v>5.0000000000000001E-3</v>
      </c>
      <c r="G369" s="101">
        <f>0.021-0.008</f>
        <v>1.3000000000000001E-2</v>
      </c>
      <c r="H369" s="101">
        <v>2.8000000000000001E-2</v>
      </c>
      <c r="I369" s="101">
        <f>0.013+0.028</f>
        <v>4.1000000000000002E-2</v>
      </c>
      <c r="J369" s="102" t="s">
        <v>341</v>
      </c>
      <c r="K369" s="103">
        <f t="shared" si="187"/>
        <v>2.7000000000000003E-2</v>
      </c>
      <c r="L369" s="101">
        <f>0.04+0.028</f>
        <v>6.8000000000000005E-2</v>
      </c>
      <c r="M369" s="39">
        <f t="shared" si="188"/>
        <v>13.600000000000001</v>
      </c>
      <c r="N369" s="37">
        <v>1.5</v>
      </c>
      <c r="O369" s="98"/>
    </row>
    <row r="370" spans="1:15" ht="15.75" customHeight="1" x14ac:dyDescent="0.2">
      <c r="A370" s="85"/>
      <c r="B370" s="99" t="s">
        <v>89</v>
      </c>
      <c r="C370" s="100">
        <f>DATE(94,5,19)</f>
        <v>34473</v>
      </c>
      <c r="D370" s="37">
        <v>16.899999999999999</v>
      </c>
      <c r="E370" s="37">
        <v>7.9</v>
      </c>
      <c r="F370" s="101">
        <v>3.0000000000000001E-3</v>
      </c>
      <c r="G370" s="104" t="s">
        <v>343</v>
      </c>
      <c r="H370" s="101">
        <v>3.4000000000000002E-2</v>
      </c>
      <c r="I370" s="101">
        <f>0.003+0.034</f>
        <v>3.7000000000000005E-2</v>
      </c>
      <c r="J370" s="103">
        <f>0.09-0.01</f>
        <v>0.08</v>
      </c>
      <c r="K370" s="103">
        <f t="shared" si="187"/>
        <v>7.6999999999999999E-2</v>
      </c>
      <c r="L370" s="101">
        <f>J370+H370</f>
        <v>0.114</v>
      </c>
      <c r="M370" s="39">
        <f t="shared" si="188"/>
        <v>38</v>
      </c>
      <c r="N370" s="37">
        <v>1.5</v>
      </c>
      <c r="O370" s="98"/>
    </row>
    <row r="371" spans="1:15" ht="15.75" customHeight="1" x14ac:dyDescent="0.2">
      <c r="A371" s="85"/>
      <c r="B371" s="99" t="s">
        <v>90</v>
      </c>
      <c r="C371" s="100">
        <f>DATE(94,6,3)</f>
        <v>34488</v>
      </c>
      <c r="D371" s="37">
        <v>13.5</v>
      </c>
      <c r="E371" s="37">
        <v>8.1999999999999993</v>
      </c>
      <c r="F371" s="101">
        <v>8.0000000000000002E-3</v>
      </c>
      <c r="G371" s="104" t="s">
        <v>343</v>
      </c>
      <c r="H371" s="101">
        <v>1.2999999999999999E-2</v>
      </c>
      <c r="I371" s="101">
        <f>0.003+0.013</f>
        <v>1.6E-2</v>
      </c>
      <c r="J371" s="102" t="s">
        <v>341</v>
      </c>
      <c r="K371" s="103">
        <f t="shared" si="187"/>
        <v>3.6999999999999998E-2</v>
      </c>
      <c r="L371" s="101">
        <f>0.04+0.013</f>
        <v>5.2999999999999999E-2</v>
      </c>
      <c r="M371" s="39">
        <f t="shared" si="188"/>
        <v>6.625</v>
      </c>
      <c r="N371" s="37">
        <v>1.5</v>
      </c>
      <c r="O371" s="98"/>
    </row>
    <row r="372" spans="1:15" ht="15.75" customHeight="1" x14ac:dyDescent="0.2">
      <c r="A372" s="85"/>
      <c r="B372" s="99" t="s">
        <v>91</v>
      </c>
      <c r="C372" s="100">
        <f>DATE(94,6,22)</f>
        <v>34507</v>
      </c>
      <c r="D372" s="37">
        <v>9.3000000000000007</v>
      </c>
      <c r="E372" s="37">
        <v>8</v>
      </c>
      <c r="F372" s="101">
        <v>4.0000000000000001E-3</v>
      </c>
      <c r="G372" s="104" t="s">
        <v>343</v>
      </c>
      <c r="H372" s="101">
        <v>1.4999999999999999E-2</v>
      </c>
      <c r="I372" s="101">
        <f>0.003+0.015</f>
        <v>1.7999999999999999E-2</v>
      </c>
      <c r="J372" s="103">
        <f>0.1-0.01</f>
        <v>9.0000000000000011E-2</v>
      </c>
      <c r="K372" s="103">
        <f t="shared" si="187"/>
        <v>8.7000000000000008E-2</v>
      </c>
      <c r="L372" s="101">
        <f>J372+H372</f>
        <v>0.10500000000000001</v>
      </c>
      <c r="M372" s="39">
        <f t="shared" si="188"/>
        <v>26.250000000000004</v>
      </c>
      <c r="N372" s="37">
        <v>1.2</v>
      </c>
      <c r="O372" s="98"/>
    </row>
    <row r="373" spans="1:15" ht="15.75" customHeight="1" x14ac:dyDescent="0.2">
      <c r="A373" s="85"/>
      <c r="B373" s="99" t="s">
        <v>92</v>
      </c>
      <c r="C373" s="100">
        <f>DATE(94,7,12)</f>
        <v>34527</v>
      </c>
      <c r="D373" s="37">
        <v>11</v>
      </c>
      <c r="E373" s="37">
        <v>10.1</v>
      </c>
      <c r="F373" s="101">
        <v>2E-3</v>
      </c>
      <c r="G373" s="104" t="s">
        <v>84</v>
      </c>
      <c r="H373" s="101">
        <v>0.01</v>
      </c>
      <c r="I373" s="101">
        <v>0.01</v>
      </c>
      <c r="J373" s="102" t="s">
        <v>341</v>
      </c>
      <c r="K373" s="103">
        <f t="shared" si="187"/>
        <v>1.9999999999999997E-2</v>
      </c>
      <c r="L373" s="101">
        <f>0.02+0.01</f>
        <v>0.03</v>
      </c>
      <c r="M373" s="39">
        <f t="shared" si="188"/>
        <v>15</v>
      </c>
      <c r="N373" s="37">
        <v>1.1000000000000001</v>
      </c>
      <c r="O373" s="98"/>
    </row>
    <row r="374" spans="1:15" ht="15.75" customHeight="1" x14ac:dyDescent="0.2">
      <c r="A374" s="85"/>
      <c r="B374" s="99" t="s">
        <v>89</v>
      </c>
      <c r="C374" s="100">
        <f>DATE(94,8,8)</f>
        <v>34554</v>
      </c>
      <c r="D374" s="37">
        <v>16.8</v>
      </c>
      <c r="E374" s="37">
        <v>10.1</v>
      </c>
      <c r="F374" s="101">
        <v>2E-3</v>
      </c>
      <c r="G374" s="104" t="s">
        <v>84</v>
      </c>
      <c r="H374" s="104" t="s">
        <v>343</v>
      </c>
      <c r="I374" s="101">
        <v>2.5000000000000001E-3</v>
      </c>
      <c r="J374" s="103">
        <f>0.11-0.01</f>
        <v>0.1</v>
      </c>
      <c r="K374" s="103">
        <f t="shared" si="187"/>
        <v>0.1</v>
      </c>
      <c r="L374" s="101">
        <f>0.1+0.0025</f>
        <v>0.10250000000000001</v>
      </c>
      <c r="M374" s="39">
        <f t="shared" si="188"/>
        <v>51.25</v>
      </c>
      <c r="N374" s="37">
        <v>0.85</v>
      </c>
      <c r="O374" s="98"/>
    </row>
    <row r="375" spans="1:15" ht="15.75" customHeight="1" x14ac:dyDescent="0.2">
      <c r="A375" s="85"/>
      <c r="B375" s="99" t="s">
        <v>93</v>
      </c>
      <c r="C375" s="100">
        <f>DATE(94,9,8)</f>
        <v>34585</v>
      </c>
      <c r="D375" s="37">
        <v>15</v>
      </c>
      <c r="E375" s="37">
        <v>12.5</v>
      </c>
      <c r="F375" s="101">
        <v>3.0000000000000001E-3</v>
      </c>
      <c r="G375" s="104" t="s">
        <v>343</v>
      </c>
      <c r="H375" s="104" t="s">
        <v>343</v>
      </c>
      <c r="I375" s="101">
        <f>0.001+0.0025</f>
        <v>3.5000000000000001E-3</v>
      </c>
      <c r="J375" s="102" t="s">
        <v>341</v>
      </c>
      <c r="K375" s="103">
        <f t="shared" si="187"/>
        <v>3.9E-2</v>
      </c>
      <c r="L375" s="101">
        <f>0.04+0.0025</f>
        <v>4.2500000000000003E-2</v>
      </c>
      <c r="M375" s="39">
        <f t="shared" si="188"/>
        <v>14.166666666666668</v>
      </c>
      <c r="N375" s="37">
        <v>0.9</v>
      </c>
      <c r="O375" s="98"/>
    </row>
    <row r="376" spans="1:15" ht="15.75" customHeight="1" x14ac:dyDescent="0.2">
      <c r="A376" s="85"/>
      <c r="B376" s="99" t="s">
        <v>94</v>
      </c>
      <c r="C376" s="100">
        <f>DATE(94,10,5)</f>
        <v>34612</v>
      </c>
      <c r="D376" s="37">
        <v>13.7</v>
      </c>
      <c r="E376" s="37">
        <v>12.3</v>
      </c>
      <c r="F376" s="101">
        <v>2E-3</v>
      </c>
      <c r="G376" s="104" t="s">
        <v>84</v>
      </c>
      <c r="H376" s="104" t="s">
        <v>343</v>
      </c>
      <c r="I376" s="101">
        <v>2.5000000000000001E-3</v>
      </c>
      <c r="J376" s="103">
        <f>0.07-0.01</f>
        <v>6.0000000000000005E-2</v>
      </c>
      <c r="K376" s="103">
        <f t="shared" si="187"/>
        <v>0.06</v>
      </c>
      <c r="L376" s="101">
        <f>0.06+0.0025</f>
        <v>6.25E-2</v>
      </c>
      <c r="M376" s="39">
        <f t="shared" si="188"/>
        <v>31.25</v>
      </c>
      <c r="N376" s="37">
        <v>0.8</v>
      </c>
      <c r="O376" s="98"/>
    </row>
    <row r="377" spans="1:15" ht="15.75" customHeight="1" x14ac:dyDescent="0.2">
      <c r="A377" s="85"/>
      <c r="B377" s="38"/>
      <c r="C377" s="36"/>
      <c r="D377" s="37"/>
      <c r="E377" s="37"/>
      <c r="F377" s="101"/>
      <c r="G377" s="101"/>
      <c r="H377" s="101"/>
      <c r="I377" s="101"/>
      <c r="J377" s="103"/>
      <c r="K377" s="103"/>
      <c r="L377" s="101"/>
      <c r="M377" s="39"/>
      <c r="N377" s="37"/>
      <c r="O377" s="98"/>
    </row>
    <row r="378" spans="1:15" ht="15.75" customHeight="1" x14ac:dyDescent="0.2">
      <c r="A378" s="85"/>
      <c r="B378" s="99" t="s">
        <v>79</v>
      </c>
      <c r="C378" s="100">
        <f>DATE(95,2,27)</f>
        <v>34757</v>
      </c>
      <c r="D378" s="37">
        <v>11.8</v>
      </c>
      <c r="E378" s="37">
        <v>11.5</v>
      </c>
      <c r="F378" s="101">
        <v>2E-3</v>
      </c>
      <c r="G378" s="101">
        <f>0.06-0.021</f>
        <v>3.8999999999999993E-2</v>
      </c>
      <c r="H378" s="101">
        <v>2.4E-2</v>
      </c>
      <c r="I378" s="101">
        <f>G378+H378</f>
        <v>6.3E-2</v>
      </c>
      <c r="J378" s="103">
        <f>0.09-0.02</f>
        <v>6.9999999999999993E-2</v>
      </c>
      <c r="K378" s="103">
        <f t="shared" ref="K378:K387" si="189">L378-I378</f>
        <v>3.1E-2</v>
      </c>
      <c r="L378" s="101">
        <f>J378+H378</f>
        <v>9.4E-2</v>
      </c>
      <c r="M378" s="39">
        <f t="shared" ref="M378:M385" si="190">L378/F378</f>
        <v>47</v>
      </c>
      <c r="N378" s="37">
        <v>1.3</v>
      </c>
      <c r="O378" s="98"/>
    </row>
    <row r="379" spans="1:15" ht="15.75" customHeight="1" x14ac:dyDescent="0.2">
      <c r="A379" s="85"/>
      <c r="B379" s="99" t="s">
        <v>80</v>
      </c>
      <c r="C379" s="100">
        <f>DATE(95,3,23)</f>
        <v>34781</v>
      </c>
      <c r="D379" s="37">
        <v>13</v>
      </c>
      <c r="E379" s="37">
        <v>9</v>
      </c>
      <c r="F379" s="101">
        <v>3.0000000000000001E-3</v>
      </c>
      <c r="G379" s="104" t="s">
        <v>343</v>
      </c>
      <c r="H379" s="101">
        <v>2.1999999999999999E-2</v>
      </c>
      <c r="I379" s="101">
        <f t="shared" ref="I379:I380" si="191">0+0.022</f>
        <v>2.1999999999999999E-2</v>
      </c>
      <c r="J379" s="102" t="s">
        <v>341</v>
      </c>
      <c r="K379" s="103">
        <f t="shared" si="189"/>
        <v>1.9999999999999997E-2</v>
      </c>
      <c r="L379" s="101">
        <f t="shared" ref="L379:L380" si="192">0.02+0.022</f>
        <v>4.1999999999999996E-2</v>
      </c>
      <c r="M379" s="39">
        <f t="shared" si="190"/>
        <v>13.999999999999998</v>
      </c>
      <c r="N379" s="37">
        <v>2.8</v>
      </c>
      <c r="O379" s="98"/>
    </row>
    <row r="380" spans="1:15" ht="15.75" customHeight="1" x14ac:dyDescent="0.2">
      <c r="A380" s="85"/>
      <c r="B380" s="99" t="s">
        <v>81</v>
      </c>
      <c r="C380" s="100">
        <f>DATE(95,4,12)</f>
        <v>34801</v>
      </c>
      <c r="D380" s="37">
        <v>13.7</v>
      </c>
      <c r="E380" s="37">
        <v>8.9</v>
      </c>
      <c r="F380" s="101">
        <v>8.9999999999999993E-3</v>
      </c>
      <c r="G380" s="104" t="s">
        <v>343</v>
      </c>
      <c r="H380" s="101">
        <v>2.1999999999999999E-2</v>
      </c>
      <c r="I380" s="101">
        <f t="shared" si="191"/>
        <v>2.1999999999999999E-2</v>
      </c>
      <c r="J380" s="102" t="s">
        <v>341</v>
      </c>
      <c r="K380" s="103">
        <f t="shared" si="189"/>
        <v>1.9999999999999997E-2</v>
      </c>
      <c r="L380" s="101">
        <f t="shared" si="192"/>
        <v>4.1999999999999996E-2</v>
      </c>
      <c r="M380" s="39">
        <f t="shared" si="190"/>
        <v>4.666666666666667</v>
      </c>
      <c r="N380" s="37">
        <v>0.64</v>
      </c>
      <c r="O380" s="98"/>
    </row>
    <row r="381" spans="1:15" ht="15.75" customHeight="1" x14ac:dyDescent="0.2">
      <c r="A381" s="85"/>
      <c r="B381" s="99" t="s">
        <v>81</v>
      </c>
      <c r="C381" s="100">
        <f>DATE(95,5,4)</f>
        <v>34823</v>
      </c>
      <c r="D381" s="37">
        <v>13.2</v>
      </c>
      <c r="E381" s="37">
        <v>8.6999999999999993</v>
      </c>
      <c r="F381" s="101">
        <v>3.0000000000000001E-3</v>
      </c>
      <c r="G381" s="101">
        <f>0.036-0.02</f>
        <v>1.5999999999999997E-2</v>
      </c>
      <c r="H381" s="101">
        <v>0.01</v>
      </c>
      <c r="I381" s="101">
        <f t="shared" ref="I381:I382" si="193">G381+H381</f>
        <v>2.5999999999999995E-2</v>
      </c>
      <c r="J381" s="103">
        <f>0.08-0.02</f>
        <v>0.06</v>
      </c>
      <c r="K381" s="103">
        <f t="shared" si="189"/>
        <v>4.3999999999999997E-2</v>
      </c>
      <c r="L381" s="101">
        <f t="shared" ref="L381:L382" si="194">J381+H381</f>
        <v>6.9999999999999993E-2</v>
      </c>
      <c r="M381" s="39">
        <f t="shared" si="190"/>
        <v>23.333333333333332</v>
      </c>
      <c r="N381" s="37">
        <v>2.7</v>
      </c>
      <c r="O381" s="98"/>
    </row>
    <row r="382" spans="1:15" ht="15.75" customHeight="1" x14ac:dyDescent="0.2">
      <c r="A382" s="85"/>
      <c r="B382" s="99" t="s">
        <v>82</v>
      </c>
      <c r="C382" s="100">
        <f>DATE(95,5,24)</f>
        <v>34843</v>
      </c>
      <c r="D382" s="37">
        <v>11.5</v>
      </c>
      <c r="E382" s="37">
        <v>6.5</v>
      </c>
      <c r="F382" s="101">
        <v>2E-3</v>
      </c>
      <c r="G382" s="101">
        <f>0.033-0.023</f>
        <v>1.0000000000000002E-2</v>
      </c>
      <c r="H382" s="101">
        <v>7.0000000000000001E-3</v>
      </c>
      <c r="I382" s="101">
        <f t="shared" si="193"/>
        <v>1.7000000000000001E-2</v>
      </c>
      <c r="J382" s="103">
        <f>0.17-0.02</f>
        <v>0.15000000000000002</v>
      </c>
      <c r="K382" s="103">
        <f t="shared" si="189"/>
        <v>0.14000000000000001</v>
      </c>
      <c r="L382" s="101">
        <f t="shared" si="194"/>
        <v>0.15700000000000003</v>
      </c>
      <c r="M382" s="39">
        <f t="shared" si="190"/>
        <v>78.500000000000014</v>
      </c>
      <c r="N382" s="37">
        <v>2.2999999999999998</v>
      </c>
      <c r="O382" s="98"/>
    </row>
    <row r="383" spans="1:15" ht="15.75" customHeight="1" x14ac:dyDescent="0.2">
      <c r="A383" s="85"/>
      <c r="B383" s="99" t="s">
        <v>83</v>
      </c>
      <c r="C383" s="100">
        <f>DATE(95,6,13)</f>
        <v>34863</v>
      </c>
      <c r="D383" s="37">
        <v>11.1</v>
      </c>
      <c r="E383" s="37">
        <v>5.8</v>
      </c>
      <c r="F383" s="101">
        <v>3.0000000000000001E-3</v>
      </c>
      <c r="G383" s="104" t="s">
        <v>343</v>
      </c>
      <c r="H383" s="104" t="s">
        <v>343</v>
      </c>
      <c r="I383" s="101">
        <f>0+0.0025</f>
        <v>2.5000000000000001E-3</v>
      </c>
      <c r="J383" s="103">
        <f>0.1-0.02</f>
        <v>0.08</v>
      </c>
      <c r="K383" s="103">
        <f t="shared" si="189"/>
        <v>0.08</v>
      </c>
      <c r="L383" s="101">
        <f>0.08+0.0025</f>
        <v>8.2500000000000004E-2</v>
      </c>
      <c r="M383" s="39">
        <f t="shared" si="190"/>
        <v>27.5</v>
      </c>
      <c r="N383" s="37">
        <v>1.6</v>
      </c>
      <c r="O383" s="98"/>
    </row>
    <row r="384" spans="1:15" ht="15.75" customHeight="1" x14ac:dyDescent="0.2">
      <c r="A384" s="85"/>
      <c r="B384" s="99" t="s">
        <v>83</v>
      </c>
      <c r="C384" s="100">
        <f>DATE(95,7,5)</f>
        <v>34885</v>
      </c>
      <c r="D384" s="37">
        <v>10</v>
      </c>
      <c r="E384" s="37">
        <v>7.5</v>
      </c>
      <c r="F384" s="101">
        <v>3.0000000000000001E-3</v>
      </c>
      <c r="G384" s="101">
        <f>0.037-0.03</f>
        <v>6.9999999999999993E-3</v>
      </c>
      <c r="H384" s="104" t="s">
        <v>343</v>
      </c>
      <c r="I384" s="101">
        <f>0.007+0.0025</f>
        <v>9.4999999999999998E-3</v>
      </c>
      <c r="J384" s="103">
        <f>0.09-0.03</f>
        <v>0.06</v>
      </c>
      <c r="K384" s="103">
        <f t="shared" si="189"/>
        <v>5.2999999999999999E-2</v>
      </c>
      <c r="L384" s="101">
        <f>0.06+0.0025</f>
        <v>6.25E-2</v>
      </c>
      <c r="M384" s="39">
        <f t="shared" si="190"/>
        <v>20.833333333333332</v>
      </c>
      <c r="N384" s="37">
        <v>1.3</v>
      </c>
      <c r="O384" s="98"/>
    </row>
    <row r="385" spans="1:15" ht="15.75" customHeight="1" x14ac:dyDescent="0.2">
      <c r="A385" s="85"/>
      <c r="B385" s="99" t="s">
        <v>83</v>
      </c>
      <c r="C385" s="100">
        <f>DATE(95,7,26)</f>
        <v>34906</v>
      </c>
      <c r="D385" s="37">
        <v>10.9</v>
      </c>
      <c r="E385" s="106" t="s">
        <v>84</v>
      </c>
      <c r="F385" s="101">
        <v>4.0000000000000001E-3</v>
      </c>
      <c r="G385" s="104" t="s">
        <v>343</v>
      </c>
      <c r="H385" s="101">
        <v>7.0000000000000001E-3</v>
      </c>
      <c r="I385" s="101">
        <f>0+0.007</f>
        <v>7.0000000000000001E-3</v>
      </c>
      <c r="J385" s="103">
        <f>0.11-0.03</f>
        <v>0.08</v>
      </c>
      <c r="K385" s="103">
        <f t="shared" si="189"/>
        <v>0.08</v>
      </c>
      <c r="L385" s="101">
        <f>J385+H385</f>
        <v>8.7000000000000008E-2</v>
      </c>
      <c r="M385" s="39">
        <f t="shared" si="190"/>
        <v>21.75</v>
      </c>
      <c r="N385" s="37">
        <v>0.69</v>
      </c>
      <c r="O385" s="98"/>
    </row>
    <row r="386" spans="1:15" ht="15.75" customHeight="1" x14ac:dyDescent="0.2">
      <c r="A386" s="85"/>
      <c r="B386" s="99" t="s">
        <v>85</v>
      </c>
      <c r="C386" s="100">
        <f>DATE(95,8,23)</f>
        <v>34934</v>
      </c>
      <c r="D386" s="37">
        <v>11.8</v>
      </c>
      <c r="E386" s="37">
        <v>11.3</v>
      </c>
      <c r="F386" s="104" t="s">
        <v>390</v>
      </c>
      <c r="G386" s="104" t="s">
        <v>343</v>
      </c>
      <c r="H386" s="104" t="s">
        <v>343</v>
      </c>
      <c r="I386" s="101">
        <f>0+0.0025</f>
        <v>2.5000000000000001E-3</v>
      </c>
      <c r="J386" s="103">
        <f>0.07-0.02</f>
        <v>0.05</v>
      </c>
      <c r="K386" s="103">
        <f t="shared" si="189"/>
        <v>0.05</v>
      </c>
      <c r="L386" s="101">
        <f>0.05+0.0025</f>
        <v>5.2500000000000005E-2</v>
      </c>
      <c r="M386" s="39">
        <f>L386/0.001</f>
        <v>52.500000000000007</v>
      </c>
      <c r="N386" s="106" t="s">
        <v>493</v>
      </c>
      <c r="O386" s="98"/>
    </row>
    <row r="387" spans="1:15" ht="15.75" customHeight="1" x14ac:dyDescent="0.2">
      <c r="A387" s="85"/>
      <c r="B387" s="99" t="s">
        <v>86</v>
      </c>
      <c r="C387" s="100">
        <f>DATE(95,9,21)</f>
        <v>34963</v>
      </c>
      <c r="D387" s="37">
        <v>16</v>
      </c>
      <c r="E387" s="37">
        <v>12.3</v>
      </c>
      <c r="F387" s="101">
        <v>3.0000000000000001E-3</v>
      </c>
      <c r="G387" s="104" t="s">
        <v>343</v>
      </c>
      <c r="H387" s="104" t="s">
        <v>343</v>
      </c>
      <c r="I387" s="101">
        <f>0.002+0.0025</f>
        <v>4.5000000000000005E-3</v>
      </c>
      <c r="J387" s="102" t="s">
        <v>341</v>
      </c>
      <c r="K387" s="103">
        <f t="shared" si="189"/>
        <v>2.8000000000000001E-2</v>
      </c>
      <c r="L387" s="101">
        <f>0.03+0.0025</f>
        <v>3.2500000000000001E-2</v>
      </c>
      <c r="M387" s="39">
        <f>L387/F387</f>
        <v>10.833333333333334</v>
      </c>
      <c r="N387" s="37">
        <v>1</v>
      </c>
      <c r="O387" s="98"/>
    </row>
    <row r="388" spans="1:15" ht="15.75" customHeight="1" x14ac:dyDescent="0.2">
      <c r="A388" s="96"/>
      <c r="B388" s="129"/>
      <c r="C388" s="173"/>
      <c r="D388" s="127"/>
      <c r="E388" s="127"/>
      <c r="F388" s="123"/>
      <c r="G388" s="123"/>
      <c r="H388" s="123"/>
      <c r="I388" s="123"/>
      <c r="J388" s="125"/>
      <c r="K388" s="125"/>
      <c r="L388" s="123"/>
      <c r="M388" s="126"/>
      <c r="N388" s="127"/>
      <c r="O388" s="128"/>
    </row>
    <row r="389" spans="1:15" ht="15.75" customHeight="1" x14ac:dyDescent="0.2">
      <c r="A389" s="38"/>
      <c r="B389" s="38"/>
      <c r="C389" s="36"/>
      <c r="D389" s="37"/>
      <c r="E389" s="37"/>
      <c r="F389" s="101"/>
      <c r="G389" s="101"/>
      <c r="H389" s="101"/>
      <c r="I389" s="101"/>
      <c r="J389" s="103"/>
      <c r="K389" s="103"/>
      <c r="L389" s="101"/>
      <c r="M389" s="39"/>
      <c r="N389" s="37"/>
    </row>
    <row r="390" spans="1:15" ht="15.75" customHeight="1" x14ac:dyDescent="0.2">
      <c r="A390" s="38"/>
      <c r="B390" s="38"/>
      <c r="C390" s="36"/>
      <c r="D390" s="37"/>
      <c r="E390" s="37"/>
      <c r="F390" s="101"/>
      <c r="G390" s="101"/>
      <c r="H390" s="101"/>
      <c r="I390" s="101"/>
      <c r="J390" s="103"/>
      <c r="K390" s="103"/>
      <c r="L390" s="101"/>
      <c r="M390" s="39"/>
      <c r="N390" s="37"/>
    </row>
    <row r="391" spans="1:15" ht="15.75" customHeight="1" x14ac:dyDescent="0.2">
      <c r="A391" s="164"/>
      <c r="B391" s="87"/>
      <c r="C391" s="86"/>
      <c r="D391" s="131"/>
      <c r="E391" s="131"/>
      <c r="F391" s="132"/>
      <c r="G391" s="132"/>
      <c r="H391" s="133" t="s">
        <v>319</v>
      </c>
      <c r="I391" s="132"/>
      <c r="J391" s="134"/>
      <c r="K391" s="134"/>
      <c r="L391" s="132"/>
      <c r="M391" s="135"/>
      <c r="N391" s="131"/>
      <c r="O391" s="89"/>
    </row>
    <row r="392" spans="1:15" ht="15.75" customHeight="1" x14ac:dyDescent="0.25">
      <c r="A392" s="85"/>
      <c r="B392" s="90" t="s">
        <v>320</v>
      </c>
      <c r="C392" s="91"/>
      <c r="D392" s="136" t="s">
        <v>321</v>
      </c>
      <c r="E392" s="136" t="s">
        <v>322</v>
      </c>
      <c r="F392" s="137"/>
      <c r="G392" s="138" t="s">
        <v>323</v>
      </c>
      <c r="H392" s="139" t="s">
        <v>494</v>
      </c>
      <c r="I392" s="138" t="s">
        <v>323</v>
      </c>
      <c r="J392" s="140"/>
      <c r="K392" s="141" t="s">
        <v>323</v>
      </c>
      <c r="L392" s="137"/>
      <c r="M392" s="142"/>
      <c r="N392" s="143"/>
      <c r="O392" s="95"/>
    </row>
    <row r="393" spans="1:15" ht="15.75" customHeight="1" x14ac:dyDescent="0.25">
      <c r="A393" s="85"/>
      <c r="B393" s="90" t="s">
        <v>325</v>
      </c>
      <c r="C393" s="91"/>
      <c r="D393" s="136" t="s">
        <v>52</v>
      </c>
      <c r="E393" s="136" t="s">
        <v>52</v>
      </c>
      <c r="F393" s="138" t="s">
        <v>326</v>
      </c>
      <c r="G393" s="138" t="s">
        <v>495</v>
      </c>
      <c r="H393" s="139" t="s">
        <v>496</v>
      </c>
      <c r="I393" s="138" t="s">
        <v>329</v>
      </c>
      <c r="J393" s="141" t="s">
        <v>330</v>
      </c>
      <c r="K393" s="141" t="s">
        <v>331</v>
      </c>
      <c r="L393" s="138" t="s">
        <v>332</v>
      </c>
      <c r="M393" s="142"/>
      <c r="N393" s="136" t="s">
        <v>333</v>
      </c>
      <c r="O393" s="95"/>
    </row>
    <row r="394" spans="1:15" ht="15.75" customHeight="1" x14ac:dyDescent="0.2">
      <c r="A394" s="96"/>
      <c r="B394" s="97" t="s">
        <v>334</v>
      </c>
      <c r="C394" s="165" t="s">
        <v>335</v>
      </c>
      <c r="D394" s="166" t="s">
        <v>336</v>
      </c>
      <c r="E394" s="166" t="s">
        <v>336</v>
      </c>
      <c r="F394" s="167" t="s">
        <v>337</v>
      </c>
      <c r="G394" s="167" t="s">
        <v>337</v>
      </c>
      <c r="H394" s="167" t="s">
        <v>337</v>
      </c>
      <c r="I394" s="167" t="s">
        <v>337</v>
      </c>
      <c r="J394" s="168" t="s">
        <v>337</v>
      </c>
      <c r="K394" s="168" t="s">
        <v>337</v>
      </c>
      <c r="L394" s="167" t="s">
        <v>337</v>
      </c>
      <c r="M394" s="169" t="s">
        <v>338</v>
      </c>
      <c r="N394" s="166" t="s">
        <v>339</v>
      </c>
      <c r="O394" s="160"/>
    </row>
    <row r="395" spans="1:15" ht="15.75" customHeight="1" x14ac:dyDescent="0.2">
      <c r="A395" s="85"/>
      <c r="B395" s="38"/>
      <c r="C395" s="36"/>
      <c r="D395" s="37"/>
      <c r="E395" s="37"/>
      <c r="F395" s="101"/>
      <c r="G395" s="101"/>
      <c r="H395" s="101"/>
      <c r="I395" s="101"/>
      <c r="J395" s="103"/>
      <c r="K395" s="103"/>
      <c r="L395" s="101"/>
      <c r="M395" s="39"/>
      <c r="N395" s="37"/>
      <c r="O395" s="98"/>
    </row>
    <row r="396" spans="1:15" ht="15.75" customHeight="1" x14ac:dyDescent="0.2">
      <c r="A396" s="85"/>
      <c r="B396" s="175" t="s">
        <v>497</v>
      </c>
      <c r="C396" s="38"/>
      <c r="D396" s="37"/>
      <c r="E396" s="37"/>
      <c r="F396" s="101"/>
      <c r="G396" s="101"/>
      <c r="H396" s="101"/>
      <c r="I396" s="101"/>
      <c r="J396" s="103"/>
      <c r="K396" s="103"/>
      <c r="L396" s="101"/>
      <c r="M396" s="39"/>
      <c r="N396" s="37"/>
      <c r="O396" s="98"/>
    </row>
    <row r="397" spans="1:15" ht="15.75" customHeight="1" x14ac:dyDescent="0.2">
      <c r="A397" s="85"/>
      <c r="B397" s="175"/>
      <c r="C397" s="38"/>
      <c r="D397" s="37"/>
      <c r="E397" s="37"/>
      <c r="F397" s="101"/>
      <c r="G397" s="101"/>
      <c r="H397" s="101"/>
      <c r="I397" s="101"/>
      <c r="J397" s="103"/>
      <c r="K397" s="103"/>
      <c r="L397" s="101"/>
      <c r="M397" s="39"/>
      <c r="N397" s="37"/>
      <c r="O397" s="98"/>
    </row>
    <row r="398" spans="1:15" ht="15.75" customHeight="1" x14ac:dyDescent="0.2">
      <c r="A398" s="85"/>
      <c r="B398" s="176" t="s">
        <v>498</v>
      </c>
      <c r="C398" s="171">
        <f>DATE(93,4,22)</f>
        <v>34081</v>
      </c>
      <c r="D398" s="37">
        <v>6</v>
      </c>
      <c r="E398" s="37">
        <v>5.8</v>
      </c>
      <c r="F398" s="101">
        <v>2E-3</v>
      </c>
      <c r="G398" s="104" t="s">
        <v>84</v>
      </c>
      <c r="H398" s="104" t="s">
        <v>84</v>
      </c>
      <c r="I398" s="104" t="s">
        <v>84</v>
      </c>
      <c r="J398" s="102" t="s">
        <v>84</v>
      </c>
      <c r="K398" s="102" t="s">
        <v>84</v>
      </c>
      <c r="L398" s="104" t="s">
        <v>84</v>
      </c>
      <c r="M398" s="107" t="s">
        <v>84</v>
      </c>
      <c r="N398" s="37">
        <v>1.7</v>
      </c>
      <c r="O398" s="98"/>
    </row>
    <row r="399" spans="1:15" ht="15.75" customHeight="1" x14ac:dyDescent="0.2">
      <c r="A399" s="85"/>
      <c r="B399" s="176" t="s">
        <v>418</v>
      </c>
      <c r="C399" s="171">
        <f>DATE(93,5,18)</f>
        <v>34107</v>
      </c>
      <c r="D399" s="37">
        <v>14.5</v>
      </c>
      <c r="E399" s="37">
        <v>6.3</v>
      </c>
      <c r="F399" s="101">
        <v>5.0000000000000001E-3</v>
      </c>
      <c r="G399" s="104" t="s">
        <v>84</v>
      </c>
      <c r="H399" s="104" t="s">
        <v>84</v>
      </c>
      <c r="I399" s="104" t="s">
        <v>84</v>
      </c>
      <c r="J399" s="102" t="s">
        <v>84</v>
      </c>
      <c r="K399" s="102" t="s">
        <v>84</v>
      </c>
      <c r="L399" s="104" t="s">
        <v>84</v>
      </c>
      <c r="M399" s="107" t="s">
        <v>84</v>
      </c>
      <c r="N399" s="37">
        <v>2.2000000000000002</v>
      </c>
      <c r="O399" s="98"/>
    </row>
    <row r="400" spans="1:15" ht="15.75" customHeight="1" x14ac:dyDescent="0.2">
      <c r="A400" s="85"/>
      <c r="B400" s="176" t="s">
        <v>416</v>
      </c>
      <c r="C400" s="171">
        <f>DATE(93,6,15)</f>
        <v>34135</v>
      </c>
      <c r="D400" s="37">
        <v>9.6999999999999993</v>
      </c>
      <c r="E400" s="37">
        <v>6.1</v>
      </c>
      <c r="F400" s="101">
        <v>8.0000000000000002E-3</v>
      </c>
      <c r="G400" s="104" t="s">
        <v>84</v>
      </c>
      <c r="H400" s="104" t="s">
        <v>84</v>
      </c>
      <c r="I400" s="104" t="s">
        <v>84</v>
      </c>
      <c r="J400" s="102" t="s">
        <v>84</v>
      </c>
      <c r="K400" s="102" t="s">
        <v>84</v>
      </c>
      <c r="L400" s="104" t="s">
        <v>84</v>
      </c>
      <c r="M400" s="107" t="s">
        <v>84</v>
      </c>
      <c r="N400" s="37">
        <v>1.4</v>
      </c>
      <c r="O400" s="98"/>
    </row>
    <row r="401" spans="1:15" ht="15.75" customHeight="1" x14ac:dyDescent="0.2">
      <c r="A401" s="85"/>
      <c r="B401" s="176" t="s">
        <v>342</v>
      </c>
      <c r="C401" s="171">
        <f>DATE(93,7,7)</f>
        <v>34157</v>
      </c>
      <c r="D401" s="37">
        <f>28*0.3048</f>
        <v>8.5343999999999998</v>
      </c>
      <c r="E401" s="37">
        <v>6.5</v>
      </c>
      <c r="F401" s="101">
        <v>4.0000000000000001E-3</v>
      </c>
      <c r="G401" s="104" t="s">
        <v>84</v>
      </c>
      <c r="H401" s="104" t="s">
        <v>84</v>
      </c>
      <c r="I401" s="104" t="s">
        <v>84</v>
      </c>
      <c r="J401" s="102" t="s">
        <v>84</v>
      </c>
      <c r="K401" s="102" t="s">
        <v>84</v>
      </c>
      <c r="L401" s="104" t="s">
        <v>84</v>
      </c>
      <c r="M401" s="107" t="s">
        <v>84</v>
      </c>
      <c r="N401" s="37">
        <v>0.68</v>
      </c>
      <c r="O401" s="98"/>
    </row>
    <row r="402" spans="1:15" ht="15.75" customHeight="1" x14ac:dyDescent="0.2">
      <c r="A402" s="85"/>
      <c r="B402" s="176" t="s">
        <v>416</v>
      </c>
      <c r="C402" s="171">
        <f>DATE(93,8,17)</f>
        <v>34198</v>
      </c>
      <c r="D402" s="37">
        <v>10</v>
      </c>
      <c r="E402" s="106" t="s">
        <v>499</v>
      </c>
      <c r="F402" s="101">
        <v>4.0000000000000001E-3</v>
      </c>
      <c r="G402" s="104" t="s">
        <v>84</v>
      </c>
      <c r="H402" s="104" t="s">
        <v>84</v>
      </c>
      <c r="I402" s="104" t="s">
        <v>84</v>
      </c>
      <c r="J402" s="102" t="s">
        <v>84</v>
      </c>
      <c r="K402" s="102" t="s">
        <v>84</v>
      </c>
      <c r="L402" s="104" t="s">
        <v>84</v>
      </c>
      <c r="M402" s="107" t="s">
        <v>84</v>
      </c>
      <c r="N402" s="37">
        <v>0.48</v>
      </c>
      <c r="O402" s="98"/>
    </row>
    <row r="403" spans="1:15" ht="15.75" customHeight="1" x14ac:dyDescent="0.2">
      <c r="A403" s="85"/>
      <c r="B403" s="176" t="s">
        <v>421</v>
      </c>
      <c r="C403" s="171">
        <f>DATE(93,10,12)</f>
        <v>34254</v>
      </c>
      <c r="D403" s="37">
        <v>10.6</v>
      </c>
      <c r="E403" s="106" t="s">
        <v>500</v>
      </c>
      <c r="F403" s="101">
        <v>3.0000000000000001E-3</v>
      </c>
      <c r="G403" s="104" t="s">
        <v>84</v>
      </c>
      <c r="H403" s="104" t="s">
        <v>84</v>
      </c>
      <c r="I403" s="104" t="s">
        <v>84</v>
      </c>
      <c r="J403" s="102" t="s">
        <v>84</v>
      </c>
      <c r="K403" s="102" t="s">
        <v>84</v>
      </c>
      <c r="L403" s="104" t="s">
        <v>84</v>
      </c>
      <c r="M403" s="107" t="s">
        <v>84</v>
      </c>
      <c r="N403" s="37">
        <v>0.6</v>
      </c>
      <c r="O403" s="98"/>
    </row>
    <row r="404" spans="1:15" ht="15.75" customHeight="1" x14ac:dyDescent="0.2">
      <c r="A404" s="85"/>
      <c r="B404" s="38"/>
      <c r="C404" s="36"/>
      <c r="D404" s="37"/>
      <c r="E404" s="37"/>
      <c r="F404" s="101"/>
      <c r="G404" s="101"/>
      <c r="H404" s="101"/>
      <c r="I404" s="101"/>
      <c r="J404" s="103"/>
      <c r="K404" s="103"/>
      <c r="L404" s="101"/>
      <c r="M404" s="39"/>
      <c r="N404" s="37"/>
      <c r="O404" s="98"/>
    </row>
    <row r="405" spans="1:15" ht="15.75" customHeight="1" x14ac:dyDescent="0.2">
      <c r="A405" s="85"/>
      <c r="B405" s="90" t="s">
        <v>501</v>
      </c>
      <c r="C405" s="171"/>
      <c r="D405" s="37"/>
      <c r="E405" s="37"/>
      <c r="F405" s="101"/>
      <c r="G405" s="101"/>
      <c r="H405" s="101"/>
      <c r="I405" s="101"/>
      <c r="J405" s="103"/>
      <c r="K405" s="103"/>
      <c r="L405" s="101"/>
      <c r="M405" s="39"/>
      <c r="N405" s="37"/>
      <c r="O405" s="98"/>
    </row>
    <row r="406" spans="1:15" ht="15.75" customHeight="1" x14ac:dyDescent="0.2">
      <c r="A406" s="85"/>
      <c r="B406" s="90"/>
      <c r="C406" s="171"/>
      <c r="D406" s="37"/>
      <c r="E406" s="37"/>
      <c r="F406" s="101"/>
      <c r="G406" s="101"/>
      <c r="H406" s="101"/>
      <c r="I406" s="101"/>
      <c r="J406" s="103"/>
      <c r="K406" s="103"/>
      <c r="L406" s="101"/>
      <c r="M406" s="39"/>
      <c r="N406" s="37"/>
      <c r="O406" s="98"/>
    </row>
    <row r="407" spans="1:15" ht="15.75" customHeight="1" x14ac:dyDescent="0.2">
      <c r="A407" s="85"/>
      <c r="B407" s="99" t="s">
        <v>95</v>
      </c>
      <c r="C407" s="100">
        <f>DATE(93,4,23)</f>
        <v>34082</v>
      </c>
      <c r="D407" s="37">
        <v>17</v>
      </c>
      <c r="E407" s="37">
        <v>8</v>
      </c>
      <c r="F407" s="101">
        <v>4.0000000000000001E-3</v>
      </c>
      <c r="G407" s="101">
        <f>0.025-0.015</f>
        <v>1.0000000000000002E-2</v>
      </c>
      <c r="H407" s="101">
        <v>2.5000000000000001E-2</v>
      </c>
      <c r="I407" s="101">
        <f>H407+G407</f>
        <v>3.5000000000000003E-2</v>
      </c>
      <c r="J407" s="103">
        <f>0.06-0.01</f>
        <v>4.9999999999999996E-2</v>
      </c>
      <c r="K407" s="103">
        <f t="shared" ref="K407:K410" si="195">L407-I407</f>
        <v>3.9999999999999994E-2</v>
      </c>
      <c r="L407" s="101">
        <f>J407+H407</f>
        <v>7.4999999999999997E-2</v>
      </c>
      <c r="M407" s="39">
        <f t="shared" ref="M407:M410" si="196">L407/F407</f>
        <v>18.75</v>
      </c>
      <c r="N407" s="37">
        <v>1.2</v>
      </c>
      <c r="O407" s="98"/>
    </row>
    <row r="408" spans="1:15" ht="15.75" customHeight="1" x14ac:dyDescent="0.2">
      <c r="A408" s="85"/>
      <c r="B408" s="99" t="s">
        <v>419</v>
      </c>
      <c r="C408" s="100">
        <f>DATE(93,5,18)</f>
        <v>34107</v>
      </c>
      <c r="D408" s="37">
        <v>12.8</v>
      </c>
      <c r="E408" s="37">
        <v>5.7</v>
      </c>
      <c r="F408" s="101">
        <v>6.0000000000000001E-3</v>
      </c>
      <c r="G408" s="104" t="s">
        <v>343</v>
      </c>
      <c r="H408" s="101">
        <v>6.0000000000000001E-3</v>
      </c>
      <c r="I408" s="101">
        <f>0.001+0.006</f>
        <v>7.0000000000000001E-3</v>
      </c>
      <c r="J408" s="103">
        <f>0.23-0.01</f>
        <v>0.22</v>
      </c>
      <c r="K408" s="103">
        <f t="shared" si="195"/>
        <v>0.22</v>
      </c>
      <c r="L408" s="101">
        <f>0.22+0.007</f>
        <v>0.22700000000000001</v>
      </c>
      <c r="M408" s="39">
        <f t="shared" si="196"/>
        <v>37.833333333333336</v>
      </c>
      <c r="N408" s="37">
        <v>1.9</v>
      </c>
      <c r="O408" s="98"/>
    </row>
    <row r="409" spans="1:15" ht="15.75" customHeight="1" x14ac:dyDescent="0.2">
      <c r="A409" s="85"/>
      <c r="B409" s="99" t="s">
        <v>345</v>
      </c>
      <c r="C409" s="100">
        <f>DATE(93,6,15)</f>
        <v>34135</v>
      </c>
      <c r="D409" s="37">
        <v>8.4</v>
      </c>
      <c r="E409" s="37">
        <v>5.2</v>
      </c>
      <c r="F409" s="101">
        <v>5.0000000000000001E-3</v>
      </c>
      <c r="G409" s="101">
        <f>0.025-0.01</f>
        <v>1.5000000000000001E-2</v>
      </c>
      <c r="H409" s="104" t="s">
        <v>343</v>
      </c>
      <c r="I409" s="101">
        <f>0.015+0.0025</f>
        <v>1.7499999999999998E-2</v>
      </c>
      <c r="J409" s="103">
        <f>0.07-0.01</f>
        <v>6.0000000000000005E-2</v>
      </c>
      <c r="K409" s="103">
        <f t="shared" si="195"/>
        <v>5.4300000000000001E-2</v>
      </c>
      <c r="L409" s="101">
        <f>0.07+0.0018</f>
        <v>7.1800000000000003E-2</v>
      </c>
      <c r="M409" s="39">
        <f t="shared" si="196"/>
        <v>14.36</v>
      </c>
      <c r="N409" s="37">
        <v>1.4</v>
      </c>
      <c r="O409" s="98"/>
    </row>
    <row r="410" spans="1:15" ht="15.75" customHeight="1" x14ac:dyDescent="0.2">
      <c r="A410" s="85"/>
      <c r="B410" s="99" t="s">
        <v>342</v>
      </c>
      <c r="C410" s="100">
        <f>DATE(93,7,7)</f>
        <v>34157</v>
      </c>
      <c r="D410" s="37">
        <v>8.1999999999999993</v>
      </c>
      <c r="E410" s="37">
        <v>7.5</v>
      </c>
      <c r="F410" s="101">
        <v>3.0000000000000001E-3</v>
      </c>
      <c r="G410" s="101">
        <v>1.2E-2</v>
      </c>
      <c r="H410" s="101">
        <v>8.9999999999999993E-3</v>
      </c>
      <c r="I410" s="101">
        <f>H410+G410</f>
        <v>2.0999999999999998E-2</v>
      </c>
      <c r="J410" s="103">
        <v>0.08</v>
      </c>
      <c r="K410" s="103">
        <f t="shared" si="195"/>
        <v>6.8000000000000005E-2</v>
      </c>
      <c r="L410" s="101">
        <f>J410+H410</f>
        <v>8.8999999999999996E-2</v>
      </c>
      <c r="M410" s="39">
        <f t="shared" si="196"/>
        <v>29.666666666666664</v>
      </c>
      <c r="N410" s="37">
        <v>0.8</v>
      </c>
      <c r="O410" s="98"/>
    </row>
    <row r="411" spans="1:15" ht="15.75" customHeight="1" x14ac:dyDescent="0.2">
      <c r="A411" s="85"/>
      <c r="B411" s="99" t="s">
        <v>98</v>
      </c>
      <c r="C411" s="100">
        <f>DATE(93,7,27)</f>
        <v>34177</v>
      </c>
      <c r="D411" s="37">
        <v>11.8</v>
      </c>
      <c r="E411" s="106" t="s">
        <v>502</v>
      </c>
      <c r="F411" s="101">
        <v>5.0000000000000001E-3</v>
      </c>
      <c r="G411" s="104" t="s">
        <v>84</v>
      </c>
      <c r="H411" s="104" t="s">
        <v>343</v>
      </c>
      <c r="I411" s="104" t="s">
        <v>84</v>
      </c>
      <c r="J411" s="102" t="s">
        <v>84</v>
      </c>
      <c r="K411" s="102" t="s">
        <v>84</v>
      </c>
      <c r="L411" s="104" t="s">
        <v>84</v>
      </c>
      <c r="M411" s="107" t="s">
        <v>84</v>
      </c>
      <c r="N411" s="37">
        <v>0.64</v>
      </c>
      <c r="O411" s="98"/>
    </row>
    <row r="412" spans="1:15" ht="15.75" customHeight="1" x14ac:dyDescent="0.2">
      <c r="A412" s="85"/>
      <c r="B412" s="99" t="s">
        <v>503</v>
      </c>
      <c r="C412" s="100">
        <f>DATE(93,8,17)</f>
        <v>34198</v>
      </c>
      <c r="D412" s="37">
        <v>4.5</v>
      </c>
      <c r="E412" s="106" t="s">
        <v>504</v>
      </c>
      <c r="F412" s="101">
        <v>4.0000000000000001E-3</v>
      </c>
      <c r="G412" s="104" t="s">
        <v>84</v>
      </c>
      <c r="H412" s="104" t="s">
        <v>343</v>
      </c>
      <c r="I412" s="104" t="s">
        <v>84</v>
      </c>
      <c r="J412" s="102" t="s">
        <v>84</v>
      </c>
      <c r="K412" s="102" t="s">
        <v>84</v>
      </c>
      <c r="L412" s="104" t="s">
        <v>84</v>
      </c>
      <c r="M412" s="107" t="s">
        <v>84</v>
      </c>
      <c r="N412" s="37">
        <v>1.1000000000000001</v>
      </c>
      <c r="O412" s="98"/>
    </row>
    <row r="413" spans="1:15" ht="15.75" customHeight="1" x14ac:dyDescent="0.2">
      <c r="A413" s="85"/>
      <c r="B413" s="99" t="s">
        <v>505</v>
      </c>
      <c r="C413" s="100">
        <f>DATE(93,9,15)</f>
        <v>34227</v>
      </c>
      <c r="D413" s="37">
        <v>6.2</v>
      </c>
      <c r="E413" s="106" t="s">
        <v>506</v>
      </c>
      <c r="F413" s="101">
        <v>4.0000000000000001E-3</v>
      </c>
      <c r="G413" s="104" t="s">
        <v>343</v>
      </c>
      <c r="H413" s="104" t="s">
        <v>343</v>
      </c>
      <c r="I413" s="101">
        <f>0+0.0025</f>
        <v>2.5000000000000001E-3</v>
      </c>
      <c r="J413" s="103">
        <f>0.1-0.02</f>
        <v>0.08</v>
      </c>
      <c r="K413" s="103">
        <f t="shared" ref="K413:K414" si="197">L413-I413</f>
        <v>0.08</v>
      </c>
      <c r="L413" s="101">
        <f>0.08+0.0025</f>
        <v>8.2500000000000004E-2</v>
      </c>
      <c r="M413" s="39">
        <f t="shared" ref="M413:M414" si="198">L413/F413</f>
        <v>20.625</v>
      </c>
      <c r="N413" s="37">
        <v>0.2</v>
      </c>
      <c r="O413" s="98"/>
    </row>
    <row r="414" spans="1:15" ht="15.75" customHeight="1" x14ac:dyDescent="0.2">
      <c r="A414" s="85"/>
      <c r="B414" s="99" t="s">
        <v>507</v>
      </c>
      <c r="C414" s="100">
        <f>DATE(93,10,12)</f>
        <v>34254</v>
      </c>
      <c r="D414" s="37">
        <v>6.7</v>
      </c>
      <c r="E414" s="106" t="s">
        <v>508</v>
      </c>
      <c r="F414" s="101">
        <v>6.0000000000000001E-3</v>
      </c>
      <c r="G414" s="104" t="s">
        <v>343</v>
      </c>
      <c r="H414" s="101">
        <v>5.0000000000000001E-3</v>
      </c>
      <c r="I414" s="101">
        <f>0.001+0.005</f>
        <v>6.0000000000000001E-3</v>
      </c>
      <c r="J414" s="103">
        <f>0.06-0.01</f>
        <v>4.9999999999999996E-2</v>
      </c>
      <c r="K414" s="103">
        <f t="shared" si="197"/>
        <v>4.8999999999999995E-2</v>
      </c>
      <c r="L414" s="101">
        <f>J414+H414</f>
        <v>5.4999999999999993E-2</v>
      </c>
      <c r="M414" s="39">
        <f t="shared" si="198"/>
        <v>9.1666666666666661</v>
      </c>
      <c r="N414" s="37">
        <v>0.5</v>
      </c>
      <c r="O414" s="98"/>
    </row>
    <row r="415" spans="1:15" ht="15.75" customHeight="1" x14ac:dyDescent="0.2">
      <c r="A415" s="85"/>
      <c r="B415" s="38"/>
      <c r="C415" s="36"/>
      <c r="D415" s="37"/>
      <c r="E415" s="37"/>
      <c r="F415" s="101"/>
      <c r="G415" s="101"/>
      <c r="H415" s="101"/>
      <c r="I415" s="101"/>
      <c r="J415" s="103"/>
      <c r="K415" s="103"/>
      <c r="L415" s="101"/>
      <c r="M415" s="39"/>
      <c r="N415" s="37"/>
      <c r="O415" s="98"/>
    </row>
    <row r="416" spans="1:15" ht="15.75" customHeight="1" x14ac:dyDescent="0.2">
      <c r="A416" s="85"/>
      <c r="B416" s="90" t="s">
        <v>509</v>
      </c>
      <c r="C416" s="177"/>
      <c r="D416" s="143"/>
      <c r="E416" s="143"/>
      <c r="F416" s="137"/>
      <c r="G416" s="137"/>
      <c r="H416" s="137"/>
      <c r="I416" s="137"/>
      <c r="J416" s="140"/>
      <c r="K416" s="140"/>
      <c r="L416" s="137"/>
      <c r="M416" s="142"/>
      <c r="N416" s="143"/>
      <c r="O416" s="98"/>
    </row>
    <row r="417" spans="1:15" ht="15.75" customHeight="1" x14ac:dyDescent="0.2">
      <c r="A417" s="85"/>
      <c r="B417" s="38"/>
      <c r="C417" s="38"/>
      <c r="D417" s="37"/>
      <c r="E417" s="37"/>
      <c r="F417" s="101"/>
      <c r="G417" s="101"/>
      <c r="H417" s="101"/>
      <c r="I417" s="101"/>
      <c r="J417" s="103"/>
      <c r="K417" s="103"/>
      <c r="L417" s="101"/>
      <c r="M417" s="39"/>
      <c r="N417" s="37"/>
      <c r="O417" s="98"/>
    </row>
    <row r="418" spans="1:15" ht="15.75" customHeight="1" x14ac:dyDescent="0.2">
      <c r="A418" s="85"/>
      <c r="B418" s="99" t="s">
        <v>430</v>
      </c>
      <c r="C418" s="100">
        <f>DATE(94,5,19)</f>
        <v>34473</v>
      </c>
      <c r="D418" s="37">
        <v>38</v>
      </c>
      <c r="E418" s="106" t="s">
        <v>84</v>
      </c>
      <c r="F418" s="101">
        <v>6.0000000000000001E-3</v>
      </c>
      <c r="G418" s="104" t="s">
        <v>343</v>
      </c>
      <c r="H418" s="101">
        <v>0.04</v>
      </c>
      <c r="I418" s="101">
        <f>0.003+0.04</f>
        <v>4.3000000000000003E-2</v>
      </c>
      <c r="J418" s="103">
        <f>0.13-0.01</f>
        <v>0.12000000000000001</v>
      </c>
      <c r="K418" s="103">
        <f>L418-I418</f>
        <v>0.11699999999999999</v>
      </c>
      <c r="L418" s="101">
        <f>0.12+0.04</f>
        <v>0.16</v>
      </c>
      <c r="M418" s="39">
        <f>L418/F418</f>
        <v>26.666666666666668</v>
      </c>
      <c r="N418" s="106" t="s">
        <v>84</v>
      </c>
      <c r="O418" s="98"/>
    </row>
    <row r="419" spans="1:15" ht="15.75" customHeight="1" x14ac:dyDescent="0.2">
      <c r="A419" s="85"/>
      <c r="B419" s="38"/>
      <c r="C419" s="36"/>
      <c r="D419" s="37"/>
      <c r="E419" s="37"/>
      <c r="F419" s="101"/>
      <c r="G419" s="101"/>
      <c r="H419" s="101"/>
      <c r="I419" s="101"/>
      <c r="J419" s="103"/>
      <c r="K419" s="103"/>
      <c r="L419" s="101"/>
      <c r="M419" s="39"/>
      <c r="N419" s="37"/>
      <c r="O419" s="98"/>
    </row>
    <row r="420" spans="1:15" ht="15.75" customHeight="1" x14ac:dyDescent="0.2">
      <c r="A420" s="85"/>
      <c r="B420" s="99" t="s">
        <v>449</v>
      </c>
      <c r="C420" s="100">
        <f t="shared" ref="C420:C421" si="199">DATE(95,2,27)</f>
        <v>34757</v>
      </c>
      <c r="D420" s="37">
        <v>34.5</v>
      </c>
      <c r="E420" s="37">
        <v>9.5</v>
      </c>
      <c r="F420" s="101">
        <v>2E-3</v>
      </c>
      <c r="G420" s="101">
        <f>0.053-0.021</f>
        <v>3.2000000000000001E-2</v>
      </c>
      <c r="H420" s="101">
        <v>2.5999999999999999E-2</v>
      </c>
      <c r="I420" s="101">
        <f t="shared" ref="I420:I422" si="200">G420+H420</f>
        <v>5.7999999999999996E-2</v>
      </c>
      <c r="J420" s="103">
        <f>0.08-0.02</f>
        <v>0.06</v>
      </c>
      <c r="K420" s="103">
        <f t="shared" ref="K420:K428" si="201">L420-I420</f>
        <v>2.7999999999999997E-2</v>
      </c>
      <c r="L420" s="101">
        <f t="shared" ref="L420:L421" si="202">J420+H420</f>
        <v>8.5999999999999993E-2</v>
      </c>
      <c r="M420" s="39">
        <f>L420/F420</f>
        <v>42.999999999999993</v>
      </c>
      <c r="N420" s="37">
        <v>1.4</v>
      </c>
      <c r="O420" s="95"/>
    </row>
    <row r="421" spans="1:15" ht="15.75" customHeight="1" x14ac:dyDescent="0.2">
      <c r="A421" s="108"/>
      <c r="B421" s="109" t="s">
        <v>510</v>
      </c>
      <c r="C421" s="110">
        <f t="shared" si="199"/>
        <v>34757</v>
      </c>
      <c r="D421" s="111" t="s">
        <v>84</v>
      </c>
      <c r="E421" s="111" t="s">
        <v>84</v>
      </c>
      <c r="F421" s="112">
        <v>4.0000000000000001E-3</v>
      </c>
      <c r="G421" s="112">
        <f>0.073-0.021</f>
        <v>5.1999999999999991E-2</v>
      </c>
      <c r="H421" s="112">
        <v>2.7E-2</v>
      </c>
      <c r="I421" s="112">
        <f t="shared" si="200"/>
        <v>7.8999999999999987E-2</v>
      </c>
      <c r="J421" s="113">
        <f>0.12-0.02</f>
        <v>9.9999999999999992E-2</v>
      </c>
      <c r="K421" s="113">
        <f t="shared" si="201"/>
        <v>4.8000000000000015E-2</v>
      </c>
      <c r="L421" s="112">
        <f t="shared" si="202"/>
        <v>0.127</v>
      </c>
      <c r="M421" s="114" t="s">
        <v>84</v>
      </c>
      <c r="N421" s="111" t="s">
        <v>84</v>
      </c>
      <c r="O421" s="154"/>
    </row>
    <row r="422" spans="1:15" ht="15.75" customHeight="1" x14ac:dyDescent="0.2">
      <c r="A422" s="85"/>
      <c r="B422" s="99" t="s">
        <v>449</v>
      </c>
      <c r="C422" s="100">
        <f t="shared" ref="C422:C423" si="203">DATE(95,3,23)</f>
        <v>34781</v>
      </c>
      <c r="D422" s="37">
        <v>35</v>
      </c>
      <c r="E422" s="37">
        <v>9.4</v>
      </c>
      <c r="F422" s="101">
        <v>4.0000000000000001E-3</v>
      </c>
      <c r="G422" s="101">
        <f>0.026-0.02</f>
        <v>5.9999999999999984E-3</v>
      </c>
      <c r="H422" s="101">
        <v>2.4E-2</v>
      </c>
      <c r="I422" s="101">
        <f t="shared" si="200"/>
        <v>0.03</v>
      </c>
      <c r="J422" s="102" t="s">
        <v>341</v>
      </c>
      <c r="K422" s="103">
        <f t="shared" si="201"/>
        <v>1.3999999999999999E-2</v>
      </c>
      <c r="L422" s="101">
        <f>0.02+0.024</f>
        <v>4.3999999999999997E-2</v>
      </c>
      <c r="M422" s="39">
        <f>L422/F422</f>
        <v>11</v>
      </c>
      <c r="N422" s="37">
        <v>1.8</v>
      </c>
      <c r="O422" s="95"/>
    </row>
    <row r="423" spans="1:15" ht="15.75" customHeight="1" x14ac:dyDescent="0.2">
      <c r="A423" s="108"/>
      <c r="B423" s="109" t="s">
        <v>451</v>
      </c>
      <c r="C423" s="110">
        <f t="shared" si="203"/>
        <v>34781</v>
      </c>
      <c r="D423" s="111" t="s">
        <v>84</v>
      </c>
      <c r="E423" s="111" t="s">
        <v>84</v>
      </c>
      <c r="F423" s="112">
        <v>4.0000000000000001E-3</v>
      </c>
      <c r="G423" s="116" t="s">
        <v>343</v>
      </c>
      <c r="H423" s="112">
        <v>2.3E-2</v>
      </c>
      <c r="I423" s="112">
        <f>0+0.023</f>
        <v>2.3E-2</v>
      </c>
      <c r="J423" s="118" t="s">
        <v>341</v>
      </c>
      <c r="K423" s="113">
        <f t="shared" si="201"/>
        <v>1.9999999999999997E-2</v>
      </c>
      <c r="L423" s="112">
        <f>0.02+0.023</f>
        <v>4.2999999999999997E-2</v>
      </c>
      <c r="M423" s="114" t="s">
        <v>84</v>
      </c>
      <c r="N423" s="111" t="s">
        <v>84</v>
      </c>
      <c r="O423" s="154"/>
    </row>
    <row r="424" spans="1:15" ht="15.75" customHeight="1" x14ac:dyDescent="0.2">
      <c r="A424" s="108"/>
      <c r="B424" s="109" t="s">
        <v>511</v>
      </c>
      <c r="C424" s="110">
        <f>DATE(95,4,13)</f>
        <v>34802</v>
      </c>
      <c r="D424" s="117">
        <v>35.200000000000003</v>
      </c>
      <c r="E424" s="117">
        <v>7.6</v>
      </c>
      <c r="F424" s="112">
        <v>3.0000000000000001E-3</v>
      </c>
      <c r="G424" s="112">
        <f>0.039-0.023</f>
        <v>1.6E-2</v>
      </c>
      <c r="H424" s="112">
        <v>6.0000000000000001E-3</v>
      </c>
      <c r="I424" s="112">
        <f t="shared" ref="I424:I428" si="204">G424+H424</f>
        <v>2.1999999999999999E-2</v>
      </c>
      <c r="J424" s="113">
        <f>0.12-0.02</f>
        <v>9.9999999999999992E-2</v>
      </c>
      <c r="K424" s="113">
        <f t="shared" si="201"/>
        <v>8.3999999999999991E-2</v>
      </c>
      <c r="L424" s="112">
        <f t="shared" ref="L424:L428" si="205">J424+H424</f>
        <v>0.106</v>
      </c>
      <c r="M424" s="119">
        <f t="shared" ref="M424:M425" si="206">L424/F424</f>
        <v>35.333333333333329</v>
      </c>
      <c r="N424" s="117">
        <v>0.43</v>
      </c>
      <c r="O424" s="154"/>
    </row>
    <row r="425" spans="1:15" ht="15.75" customHeight="1" x14ac:dyDescent="0.2">
      <c r="A425" s="85"/>
      <c r="B425" s="99" t="s">
        <v>455</v>
      </c>
      <c r="C425" s="100">
        <f t="shared" ref="C425:C426" si="207">DATE(95,5,4)</f>
        <v>34823</v>
      </c>
      <c r="D425" s="37">
        <v>35.5</v>
      </c>
      <c r="E425" s="37">
        <v>7.4</v>
      </c>
      <c r="F425" s="101">
        <v>4.0000000000000001E-3</v>
      </c>
      <c r="G425" s="101">
        <f>0.03-0.02</f>
        <v>9.9999999999999985E-3</v>
      </c>
      <c r="H425" s="101">
        <v>0.01</v>
      </c>
      <c r="I425" s="101">
        <f t="shared" si="204"/>
        <v>1.9999999999999997E-2</v>
      </c>
      <c r="J425" s="103">
        <f t="shared" ref="J425:J426" si="208">0.09-0.02</f>
        <v>6.9999999999999993E-2</v>
      </c>
      <c r="K425" s="103">
        <f t="shared" si="201"/>
        <v>5.9999999999999991E-2</v>
      </c>
      <c r="L425" s="101">
        <f t="shared" si="205"/>
        <v>7.9999999999999988E-2</v>
      </c>
      <c r="M425" s="39">
        <f t="shared" si="206"/>
        <v>19.999999999999996</v>
      </c>
      <c r="N425" s="37">
        <v>2.5</v>
      </c>
      <c r="O425" s="95"/>
    </row>
    <row r="426" spans="1:15" ht="15.75" customHeight="1" x14ac:dyDescent="0.2">
      <c r="A426" s="108"/>
      <c r="B426" s="109" t="s">
        <v>451</v>
      </c>
      <c r="C426" s="110">
        <f t="shared" si="207"/>
        <v>34823</v>
      </c>
      <c r="D426" s="111" t="s">
        <v>84</v>
      </c>
      <c r="E426" s="111" t="s">
        <v>84</v>
      </c>
      <c r="F426" s="112">
        <v>4.0000000000000001E-3</v>
      </c>
      <c r="G426" s="112">
        <f>0.034-0.02</f>
        <v>1.4000000000000002E-2</v>
      </c>
      <c r="H426" s="112">
        <v>1.4999999999999999E-2</v>
      </c>
      <c r="I426" s="112">
        <f t="shared" si="204"/>
        <v>2.9000000000000001E-2</v>
      </c>
      <c r="J426" s="113">
        <f t="shared" si="208"/>
        <v>6.9999999999999993E-2</v>
      </c>
      <c r="K426" s="113">
        <f t="shared" si="201"/>
        <v>5.5999999999999994E-2</v>
      </c>
      <c r="L426" s="112">
        <f t="shared" si="205"/>
        <v>8.4999999999999992E-2</v>
      </c>
      <c r="M426" s="114" t="s">
        <v>84</v>
      </c>
      <c r="N426" s="111" t="s">
        <v>84</v>
      </c>
      <c r="O426" s="154"/>
    </row>
    <row r="427" spans="1:15" ht="15.75" customHeight="1" x14ac:dyDescent="0.2">
      <c r="A427" s="85"/>
      <c r="B427" s="99" t="s">
        <v>487</v>
      </c>
      <c r="C427" s="100">
        <f t="shared" ref="C427:C428" si="209">DATE(95,5,23)</f>
        <v>34842</v>
      </c>
      <c r="D427" s="37">
        <v>36.1</v>
      </c>
      <c r="E427" s="37">
        <v>6.4</v>
      </c>
      <c r="F427" s="101">
        <v>3.0000000000000001E-3</v>
      </c>
      <c r="G427" s="101">
        <f>0.037-0.023</f>
        <v>1.3999999999999999E-2</v>
      </c>
      <c r="H427" s="101">
        <v>8.0000000000000002E-3</v>
      </c>
      <c r="I427" s="101">
        <f t="shared" si="204"/>
        <v>2.1999999999999999E-2</v>
      </c>
      <c r="J427" s="103">
        <f>0.14-0.02</f>
        <v>0.12000000000000001</v>
      </c>
      <c r="K427" s="103">
        <f t="shared" si="201"/>
        <v>0.10600000000000001</v>
      </c>
      <c r="L427" s="101">
        <f t="shared" si="205"/>
        <v>0.128</v>
      </c>
      <c r="M427" s="39">
        <f>L427/F427</f>
        <v>42.666666666666664</v>
      </c>
      <c r="N427" s="37">
        <v>2.9</v>
      </c>
      <c r="O427" s="95"/>
    </row>
    <row r="428" spans="1:15" ht="15.75" customHeight="1" x14ac:dyDescent="0.2">
      <c r="A428" s="96"/>
      <c r="B428" s="120" t="s">
        <v>479</v>
      </c>
      <c r="C428" s="121">
        <f t="shared" si="209"/>
        <v>34842</v>
      </c>
      <c r="D428" s="122" t="s">
        <v>84</v>
      </c>
      <c r="E428" s="122" t="s">
        <v>84</v>
      </c>
      <c r="F428" s="123">
        <v>2E-3</v>
      </c>
      <c r="G428" s="123">
        <f>0.038-0.023</f>
        <v>1.4999999999999999E-2</v>
      </c>
      <c r="H428" s="123">
        <v>2.3E-2</v>
      </c>
      <c r="I428" s="123">
        <f t="shared" si="204"/>
        <v>3.7999999999999999E-2</v>
      </c>
      <c r="J428" s="125">
        <f>0.11-0.02</f>
        <v>0.09</v>
      </c>
      <c r="K428" s="125">
        <f t="shared" si="201"/>
        <v>7.4999999999999983E-2</v>
      </c>
      <c r="L428" s="123">
        <f t="shared" si="205"/>
        <v>0.11299999999999999</v>
      </c>
      <c r="M428" s="147" t="s">
        <v>84</v>
      </c>
      <c r="N428" s="122" t="s">
        <v>84</v>
      </c>
      <c r="O428" s="160"/>
    </row>
    <row r="429" spans="1:15" ht="15.75" customHeight="1" x14ac:dyDescent="0.2">
      <c r="A429" s="38"/>
      <c r="B429" s="99"/>
      <c r="C429" s="100"/>
      <c r="D429" s="106"/>
      <c r="E429" s="106"/>
      <c r="F429" s="101"/>
      <c r="G429" s="104"/>
      <c r="H429" s="101"/>
      <c r="I429" s="101"/>
      <c r="J429" s="102"/>
      <c r="K429" s="103"/>
      <c r="L429" s="101"/>
      <c r="M429" s="107"/>
      <c r="N429" s="106"/>
      <c r="O429" s="38"/>
    </row>
    <row r="430" spans="1:15" ht="15.75" customHeight="1" x14ac:dyDescent="0.2">
      <c r="A430" s="164"/>
      <c r="B430" s="87"/>
      <c r="C430" s="86"/>
      <c r="D430" s="131"/>
      <c r="E430" s="131"/>
      <c r="F430" s="132"/>
      <c r="G430" s="132"/>
      <c r="H430" s="133" t="s">
        <v>319</v>
      </c>
      <c r="I430" s="132"/>
      <c r="J430" s="134"/>
      <c r="K430" s="134"/>
      <c r="L430" s="132"/>
      <c r="M430" s="135"/>
      <c r="N430" s="131"/>
      <c r="O430" s="89"/>
    </row>
    <row r="431" spans="1:15" ht="15.75" customHeight="1" x14ac:dyDescent="0.25">
      <c r="A431" s="85"/>
      <c r="B431" s="90" t="s">
        <v>320</v>
      </c>
      <c r="C431" s="91"/>
      <c r="D431" s="136" t="s">
        <v>321</v>
      </c>
      <c r="E431" s="136" t="s">
        <v>322</v>
      </c>
      <c r="F431" s="137"/>
      <c r="G431" s="138" t="s">
        <v>323</v>
      </c>
      <c r="H431" s="139" t="s">
        <v>512</v>
      </c>
      <c r="I431" s="138" t="s">
        <v>323</v>
      </c>
      <c r="J431" s="140"/>
      <c r="K431" s="141" t="s">
        <v>323</v>
      </c>
      <c r="L431" s="137"/>
      <c r="M431" s="142"/>
      <c r="N431" s="143"/>
      <c r="O431" s="95"/>
    </row>
    <row r="432" spans="1:15" ht="15.75" customHeight="1" x14ac:dyDescent="0.25">
      <c r="A432" s="85"/>
      <c r="B432" s="90" t="s">
        <v>325</v>
      </c>
      <c r="C432" s="91"/>
      <c r="D432" s="136" t="s">
        <v>52</v>
      </c>
      <c r="E432" s="136" t="s">
        <v>52</v>
      </c>
      <c r="F432" s="138" t="s">
        <v>326</v>
      </c>
      <c r="G432" s="138" t="s">
        <v>513</v>
      </c>
      <c r="H432" s="139" t="s">
        <v>514</v>
      </c>
      <c r="I432" s="138" t="s">
        <v>329</v>
      </c>
      <c r="J432" s="141" t="s">
        <v>330</v>
      </c>
      <c r="K432" s="141" t="s">
        <v>331</v>
      </c>
      <c r="L432" s="138" t="s">
        <v>332</v>
      </c>
      <c r="M432" s="142"/>
      <c r="N432" s="136" t="s">
        <v>333</v>
      </c>
      <c r="O432" s="95"/>
    </row>
    <row r="433" spans="1:15" ht="15.75" customHeight="1" x14ac:dyDescent="0.2">
      <c r="A433" s="96"/>
      <c r="B433" s="97" t="s">
        <v>334</v>
      </c>
      <c r="C433" s="165" t="s">
        <v>335</v>
      </c>
      <c r="D433" s="166" t="s">
        <v>336</v>
      </c>
      <c r="E433" s="166" t="s">
        <v>336</v>
      </c>
      <c r="F433" s="167" t="s">
        <v>337</v>
      </c>
      <c r="G433" s="167" t="s">
        <v>337</v>
      </c>
      <c r="H433" s="167" t="s">
        <v>337</v>
      </c>
      <c r="I433" s="167" t="s">
        <v>337</v>
      </c>
      <c r="J433" s="168" t="s">
        <v>337</v>
      </c>
      <c r="K433" s="168" t="s">
        <v>337</v>
      </c>
      <c r="L433" s="167" t="s">
        <v>337</v>
      </c>
      <c r="M433" s="169" t="s">
        <v>338</v>
      </c>
      <c r="N433" s="166" t="s">
        <v>339</v>
      </c>
      <c r="O433" s="160"/>
    </row>
    <row r="434" spans="1:15" ht="15.75" customHeight="1" x14ac:dyDescent="0.2">
      <c r="A434" s="85"/>
      <c r="B434" s="99"/>
      <c r="C434" s="100"/>
      <c r="D434" s="106"/>
      <c r="E434" s="106"/>
      <c r="F434" s="101"/>
      <c r="G434" s="104"/>
      <c r="H434" s="101"/>
      <c r="I434" s="101"/>
      <c r="J434" s="102"/>
      <c r="K434" s="103"/>
      <c r="L434" s="101"/>
      <c r="M434" s="107"/>
      <c r="N434" s="106"/>
      <c r="O434" s="95"/>
    </row>
    <row r="435" spans="1:15" ht="15.75" customHeight="1" x14ac:dyDescent="0.2">
      <c r="A435" s="85"/>
      <c r="B435" s="90" t="s">
        <v>515</v>
      </c>
      <c r="C435" s="100"/>
      <c r="D435" s="106"/>
      <c r="E435" s="106"/>
      <c r="F435" s="101"/>
      <c r="G435" s="104"/>
      <c r="H435" s="101"/>
      <c r="I435" s="101"/>
      <c r="J435" s="102"/>
      <c r="K435" s="103"/>
      <c r="L435" s="101"/>
      <c r="M435" s="107"/>
      <c r="N435" s="106"/>
      <c r="O435" s="95"/>
    </row>
    <row r="436" spans="1:15" ht="15.75" customHeight="1" x14ac:dyDescent="0.2">
      <c r="A436" s="85"/>
      <c r="B436" s="99" t="s">
        <v>516</v>
      </c>
      <c r="C436" s="100">
        <f t="shared" ref="C436:C437" si="210">DATE(95,7,5)</f>
        <v>34885</v>
      </c>
      <c r="D436" s="37">
        <v>36.9</v>
      </c>
      <c r="E436" s="37">
        <v>7</v>
      </c>
      <c r="F436" s="101">
        <v>4.0000000000000001E-3</v>
      </c>
      <c r="G436" s="101">
        <f>0.037-0.03</f>
        <v>6.9999999999999993E-3</v>
      </c>
      <c r="H436" s="101">
        <v>6.0000000000000001E-3</v>
      </c>
      <c r="I436" s="101">
        <f t="shared" ref="I436:I441" si="211">G436+H436</f>
        <v>1.2999999999999999E-2</v>
      </c>
      <c r="J436" s="103">
        <f>0.1-0.03</f>
        <v>7.0000000000000007E-2</v>
      </c>
      <c r="K436" s="103">
        <f t="shared" ref="K436:K440" si="212">L436-I436</f>
        <v>6.3000000000000014E-2</v>
      </c>
      <c r="L436" s="101">
        <f>J436+H436</f>
        <v>7.6000000000000012E-2</v>
      </c>
      <c r="M436" s="39">
        <f>L436/F436</f>
        <v>19.000000000000004</v>
      </c>
      <c r="N436" s="37">
        <v>1.9</v>
      </c>
      <c r="O436" s="95"/>
    </row>
    <row r="437" spans="1:15" ht="15.75" customHeight="1" x14ac:dyDescent="0.2">
      <c r="A437" s="108"/>
      <c r="B437" s="109" t="s">
        <v>517</v>
      </c>
      <c r="C437" s="110">
        <f t="shared" si="210"/>
        <v>34885</v>
      </c>
      <c r="D437" s="111" t="s">
        <v>84</v>
      </c>
      <c r="E437" s="111" t="s">
        <v>84</v>
      </c>
      <c r="F437" s="112">
        <v>4.0000000000000001E-3</v>
      </c>
      <c r="G437" s="112">
        <f>0.043-0.03</f>
        <v>1.2999999999999998E-2</v>
      </c>
      <c r="H437" s="112">
        <v>0.03</v>
      </c>
      <c r="I437" s="112">
        <f t="shared" si="211"/>
        <v>4.2999999999999997E-2</v>
      </c>
      <c r="J437" s="118" t="s">
        <v>341</v>
      </c>
      <c r="K437" s="113">
        <f t="shared" si="212"/>
        <v>1.7000000000000001E-2</v>
      </c>
      <c r="L437" s="112">
        <f>0.03+0.03</f>
        <v>0.06</v>
      </c>
      <c r="M437" s="114" t="s">
        <v>84</v>
      </c>
      <c r="N437" s="111" t="s">
        <v>84</v>
      </c>
      <c r="O437" s="115"/>
    </row>
    <row r="438" spans="1:15" ht="15.75" customHeight="1" x14ac:dyDescent="0.2">
      <c r="A438" s="85"/>
      <c r="B438" s="99" t="s">
        <v>518</v>
      </c>
      <c r="C438" s="100">
        <f t="shared" ref="C438:C439" si="213">DATE(95,7,27)</f>
        <v>34907</v>
      </c>
      <c r="D438" s="37">
        <v>36.9</v>
      </c>
      <c r="E438" s="37">
        <v>11</v>
      </c>
      <c r="F438" s="101">
        <v>1.2E-2</v>
      </c>
      <c r="G438" s="101">
        <f t="shared" ref="G438:G439" si="214">0.041-0.03</f>
        <v>1.1000000000000003E-2</v>
      </c>
      <c r="H438" s="101">
        <v>1.9E-2</v>
      </c>
      <c r="I438" s="101">
        <f t="shared" si="211"/>
        <v>3.0000000000000002E-2</v>
      </c>
      <c r="J438" s="103">
        <f>0.1-0.03</f>
        <v>7.0000000000000007E-2</v>
      </c>
      <c r="K438" s="103">
        <f t="shared" si="212"/>
        <v>5.9000000000000011E-2</v>
      </c>
      <c r="L438" s="101">
        <f t="shared" ref="L438:L440" si="215">J438+H438</f>
        <v>8.900000000000001E-2</v>
      </c>
      <c r="M438" s="39">
        <f>L438/F438</f>
        <v>7.416666666666667</v>
      </c>
      <c r="N438" s="37">
        <v>1</v>
      </c>
      <c r="O438" s="95"/>
    </row>
    <row r="439" spans="1:15" ht="15.75" customHeight="1" x14ac:dyDescent="0.2">
      <c r="A439" s="108"/>
      <c r="B439" s="109" t="s">
        <v>517</v>
      </c>
      <c r="C439" s="110">
        <f t="shared" si="213"/>
        <v>34907</v>
      </c>
      <c r="D439" s="111" t="s">
        <v>84</v>
      </c>
      <c r="E439" s="111" t="s">
        <v>84</v>
      </c>
      <c r="F439" s="112">
        <v>8.0000000000000002E-3</v>
      </c>
      <c r="G439" s="112">
        <f t="shared" si="214"/>
        <v>1.1000000000000003E-2</v>
      </c>
      <c r="H439" s="112">
        <v>3.7999999999999999E-2</v>
      </c>
      <c r="I439" s="112">
        <f t="shared" si="211"/>
        <v>4.9000000000000002E-2</v>
      </c>
      <c r="J439" s="113">
        <f>0.09-0.03</f>
        <v>0.06</v>
      </c>
      <c r="K439" s="113">
        <f t="shared" si="212"/>
        <v>4.9000000000000002E-2</v>
      </c>
      <c r="L439" s="112">
        <f t="shared" si="215"/>
        <v>9.8000000000000004E-2</v>
      </c>
      <c r="M439" s="114" t="s">
        <v>84</v>
      </c>
      <c r="N439" s="111" t="s">
        <v>84</v>
      </c>
      <c r="O439" s="154"/>
    </row>
    <row r="440" spans="1:15" ht="15.75" customHeight="1" x14ac:dyDescent="0.2">
      <c r="A440" s="85"/>
      <c r="B440" s="99" t="s">
        <v>519</v>
      </c>
      <c r="C440" s="100">
        <f t="shared" ref="C440:C441" si="216">DATE(95,8,22)</f>
        <v>34933</v>
      </c>
      <c r="D440" s="37">
        <v>36.5</v>
      </c>
      <c r="E440" s="37">
        <v>10.4</v>
      </c>
      <c r="F440" s="101">
        <v>2E-3</v>
      </c>
      <c r="G440" s="101">
        <f>0.055-0.024</f>
        <v>3.1E-2</v>
      </c>
      <c r="H440" s="101">
        <v>5.0000000000000001E-3</v>
      </c>
      <c r="I440" s="101">
        <f t="shared" si="211"/>
        <v>3.5999999999999997E-2</v>
      </c>
      <c r="J440" s="103">
        <f>0.07-0.02</f>
        <v>0.05</v>
      </c>
      <c r="K440" s="103">
        <f t="shared" si="212"/>
        <v>1.9000000000000003E-2</v>
      </c>
      <c r="L440" s="101">
        <f t="shared" si="215"/>
        <v>5.5E-2</v>
      </c>
      <c r="M440" s="39">
        <f>L440/F440</f>
        <v>27.5</v>
      </c>
      <c r="N440" s="37">
        <v>1.3</v>
      </c>
      <c r="O440" s="95"/>
    </row>
    <row r="441" spans="1:15" ht="15.75" customHeight="1" x14ac:dyDescent="0.2">
      <c r="A441" s="108"/>
      <c r="B441" s="109" t="s">
        <v>520</v>
      </c>
      <c r="C441" s="110">
        <f t="shared" si="216"/>
        <v>34933</v>
      </c>
      <c r="D441" s="111" t="s">
        <v>84</v>
      </c>
      <c r="E441" s="111" t="s">
        <v>84</v>
      </c>
      <c r="F441" s="112">
        <v>2E-3</v>
      </c>
      <c r="G441" s="112">
        <f>0.051-0.024</f>
        <v>2.6999999999999996E-2</v>
      </c>
      <c r="H441" s="112">
        <v>4.7E-2</v>
      </c>
      <c r="I441" s="112">
        <f t="shared" si="211"/>
        <v>7.3999999999999996E-2</v>
      </c>
      <c r="J441" s="118" t="s">
        <v>341</v>
      </c>
      <c r="K441" s="113">
        <v>0</v>
      </c>
      <c r="L441" s="112">
        <f>0.002+0.047</f>
        <v>4.9000000000000002E-2</v>
      </c>
      <c r="M441" s="114" t="s">
        <v>84</v>
      </c>
      <c r="N441" s="111" t="s">
        <v>84</v>
      </c>
      <c r="O441" s="154"/>
    </row>
    <row r="442" spans="1:15" ht="15.75" customHeight="1" x14ac:dyDescent="0.2">
      <c r="A442" s="85"/>
      <c r="B442" s="99" t="s">
        <v>80</v>
      </c>
      <c r="C442" s="100">
        <f t="shared" ref="C442:C444" si="217">DATE(95,9,20)</f>
        <v>34962</v>
      </c>
      <c r="D442" s="37">
        <v>35.799999999999997</v>
      </c>
      <c r="E442" s="37">
        <v>11.5</v>
      </c>
      <c r="F442" s="104" t="s">
        <v>390</v>
      </c>
      <c r="G442" s="104" t="s">
        <v>343</v>
      </c>
      <c r="H442" s="101">
        <v>5.6000000000000001E-2</v>
      </c>
      <c r="I442" s="101">
        <f>0.002+0.056</f>
        <v>5.8000000000000003E-2</v>
      </c>
      <c r="J442" s="103">
        <f>0.07-0.02</f>
        <v>0.05</v>
      </c>
      <c r="K442" s="103">
        <f t="shared" ref="K442:K447" si="218">L442-I442</f>
        <v>4.8000000000000008E-2</v>
      </c>
      <c r="L442" s="101">
        <f>J442+H442</f>
        <v>0.10600000000000001</v>
      </c>
      <c r="M442" s="39">
        <f>L442/0.001</f>
        <v>106.00000000000001</v>
      </c>
      <c r="N442" s="37">
        <v>0.85</v>
      </c>
      <c r="O442" s="95"/>
    </row>
    <row r="443" spans="1:15" ht="15.75" customHeight="1" x14ac:dyDescent="0.2">
      <c r="A443" s="85"/>
      <c r="B443" s="99" t="s">
        <v>473</v>
      </c>
      <c r="C443" s="100">
        <f t="shared" si="217"/>
        <v>34962</v>
      </c>
      <c r="D443" s="106" t="s">
        <v>84</v>
      </c>
      <c r="E443" s="106" t="s">
        <v>84</v>
      </c>
      <c r="F443" s="101">
        <v>2E-3</v>
      </c>
      <c r="G443" s="104" t="s">
        <v>343</v>
      </c>
      <c r="H443" s="104" t="s">
        <v>343</v>
      </c>
      <c r="I443" s="101">
        <f>0+0.0025</f>
        <v>2.5000000000000001E-3</v>
      </c>
      <c r="J443" s="103">
        <f>0.08-0.02</f>
        <v>0.06</v>
      </c>
      <c r="K443" s="103">
        <f t="shared" si="218"/>
        <v>0.06</v>
      </c>
      <c r="L443" s="101">
        <f>0.06+0.0025</f>
        <v>6.25E-2</v>
      </c>
      <c r="M443" s="39">
        <f>L443/F443</f>
        <v>31.25</v>
      </c>
      <c r="N443" s="37">
        <v>1.6</v>
      </c>
      <c r="O443" s="95"/>
    </row>
    <row r="444" spans="1:15" ht="15.75" customHeight="1" x14ac:dyDescent="0.2">
      <c r="A444" s="108"/>
      <c r="B444" s="109" t="s">
        <v>479</v>
      </c>
      <c r="C444" s="110">
        <f t="shared" si="217"/>
        <v>34962</v>
      </c>
      <c r="D444" s="111" t="s">
        <v>84</v>
      </c>
      <c r="E444" s="111" t="s">
        <v>84</v>
      </c>
      <c r="F444" s="112">
        <v>4.0000000000000001E-3</v>
      </c>
      <c r="G444" s="116" t="s">
        <v>343</v>
      </c>
      <c r="H444" s="112">
        <v>5.3999999999999999E-2</v>
      </c>
      <c r="I444" s="112">
        <f>0+0.054</f>
        <v>5.3999999999999999E-2</v>
      </c>
      <c r="J444" s="118" t="s">
        <v>341</v>
      </c>
      <c r="K444" s="113">
        <f t="shared" si="218"/>
        <v>1.9999999999999997E-2</v>
      </c>
      <c r="L444" s="112">
        <f>0.02+0.054</f>
        <v>7.3999999999999996E-2</v>
      </c>
      <c r="M444" s="114" t="s">
        <v>84</v>
      </c>
      <c r="N444" s="111" t="s">
        <v>84</v>
      </c>
      <c r="O444" s="154"/>
    </row>
    <row r="445" spans="1:15" ht="15.75" customHeight="1" x14ac:dyDescent="0.2">
      <c r="A445" s="85"/>
      <c r="B445" s="99" t="s">
        <v>399</v>
      </c>
      <c r="C445" s="100">
        <f t="shared" ref="C445:C447" si="219">DATE(95,10,24)</f>
        <v>34996</v>
      </c>
      <c r="D445" s="37">
        <v>36.5</v>
      </c>
      <c r="E445" s="37">
        <v>12.3</v>
      </c>
      <c r="F445" s="101">
        <v>3.0000000000000001E-3</v>
      </c>
      <c r="G445" s="101">
        <f>0.027-0.02</f>
        <v>6.9999999999999993E-3</v>
      </c>
      <c r="H445" s="104" t="s">
        <v>343</v>
      </c>
      <c r="I445" s="101">
        <f>0.007+0.0025</f>
        <v>9.4999999999999998E-3</v>
      </c>
      <c r="J445" s="103">
        <f>0.08-0.02</f>
        <v>0.06</v>
      </c>
      <c r="K445" s="103">
        <f t="shared" si="218"/>
        <v>5.2999999999999999E-2</v>
      </c>
      <c r="L445" s="101">
        <f>0.06+0.0025</f>
        <v>6.25E-2</v>
      </c>
      <c r="M445" s="39">
        <f t="shared" ref="M445:M446" si="220">L445/F445</f>
        <v>20.833333333333332</v>
      </c>
      <c r="N445" s="37">
        <v>1.5</v>
      </c>
      <c r="O445" s="95"/>
    </row>
    <row r="446" spans="1:15" ht="15.75" customHeight="1" x14ac:dyDescent="0.2">
      <c r="A446" s="85"/>
      <c r="B446" s="99" t="s">
        <v>521</v>
      </c>
      <c r="C446" s="100">
        <f t="shared" si="219"/>
        <v>34996</v>
      </c>
      <c r="D446" s="106" t="s">
        <v>84</v>
      </c>
      <c r="E446" s="106" t="s">
        <v>84</v>
      </c>
      <c r="F446" s="101">
        <v>4.0000000000000001E-3</v>
      </c>
      <c r="G446" s="101">
        <f>0.025-0.02</f>
        <v>5.000000000000001E-3</v>
      </c>
      <c r="H446" s="101">
        <v>1.4999999999999999E-2</v>
      </c>
      <c r="I446" s="101">
        <f>G446+H446</f>
        <v>0.02</v>
      </c>
      <c r="J446" s="103">
        <f>0.1-0.02</f>
        <v>0.08</v>
      </c>
      <c r="K446" s="103">
        <f t="shared" si="218"/>
        <v>7.4999999999999997E-2</v>
      </c>
      <c r="L446" s="101">
        <f t="shared" ref="L446:L447" si="221">J446+H446</f>
        <v>9.5000000000000001E-2</v>
      </c>
      <c r="M446" s="39">
        <f t="shared" si="220"/>
        <v>23.75</v>
      </c>
      <c r="N446" s="37">
        <v>1.2</v>
      </c>
      <c r="O446" s="95"/>
    </row>
    <row r="447" spans="1:15" ht="15.75" customHeight="1" x14ac:dyDescent="0.2">
      <c r="A447" s="108"/>
      <c r="B447" s="109" t="s">
        <v>522</v>
      </c>
      <c r="C447" s="110">
        <f t="shared" si="219"/>
        <v>34996</v>
      </c>
      <c r="D447" s="111" t="s">
        <v>84</v>
      </c>
      <c r="E447" s="111" t="s">
        <v>84</v>
      </c>
      <c r="F447" s="112">
        <v>3.0000000000000001E-3</v>
      </c>
      <c r="G447" s="116" t="s">
        <v>343</v>
      </c>
      <c r="H447" s="112">
        <v>5.2999999999999999E-2</v>
      </c>
      <c r="I447" s="112">
        <f>0.002+0.053</f>
        <v>5.5E-2</v>
      </c>
      <c r="J447" s="113">
        <f>0.08-0.02</f>
        <v>0.06</v>
      </c>
      <c r="K447" s="113">
        <f t="shared" si="218"/>
        <v>5.7999999999999989E-2</v>
      </c>
      <c r="L447" s="112">
        <f t="shared" si="221"/>
        <v>0.11299999999999999</v>
      </c>
      <c r="M447" s="114" t="s">
        <v>84</v>
      </c>
      <c r="N447" s="111" t="s">
        <v>84</v>
      </c>
      <c r="O447" s="154"/>
    </row>
    <row r="448" spans="1:15" ht="15.75" customHeight="1" x14ac:dyDescent="0.2">
      <c r="A448" s="85"/>
      <c r="B448" s="38"/>
      <c r="C448" s="36"/>
      <c r="D448" s="37"/>
      <c r="E448" s="37"/>
      <c r="F448" s="101"/>
      <c r="G448" s="101"/>
      <c r="H448" s="101"/>
      <c r="I448" s="101"/>
      <c r="J448" s="103"/>
      <c r="K448" s="103"/>
      <c r="L448" s="101"/>
      <c r="M448" s="39"/>
      <c r="N448" s="37"/>
      <c r="O448" s="98"/>
    </row>
    <row r="449" spans="1:15" ht="15.75" customHeight="1" x14ac:dyDescent="0.2">
      <c r="A449" s="85"/>
      <c r="B449" s="94" t="s">
        <v>523</v>
      </c>
      <c r="C449" s="91"/>
      <c r="D449" s="37"/>
      <c r="E449" s="37"/>
      <c r="F449" s="101"/>
      <c r="G449" s="101"/>
      <c r="H449" s="101"/>
      <c r="I449" s="101"/>
      <c r="J449" s="103"/>
      <c r="K449" s="103"/>
      <c r="L449" s="101"/>
      <c r="M449" s="39"/>
      <c r="N449" s="37"/>
      <c r="O449" s="98"/>
    </row>
    <row r="450" spans="1:15" ht="15.75" customHeight="1" x14ac:dyDescent="0.2">
      <c r="A450" s="85"/>
      <c r="B450" s="38"/>
      <c r="C450" s="36"/>
      <c r="D450" s="37"/>
      <c r="E450" s="37"/>
      <c r="F450" s="101"/>
      <c r="G450" s="101"/>
      <c r="H450" s="101"/>
      <c r="I450" s="101"/>
      <c r="J450" s="103"/>
      <c r="K450" s="103"/>
      <c r="L450" s="101"/>
      <c r="M450" s="39"/>
      <c r="N450" s="37"/>
      <c r="O450" s="98"/>
    </row>
    <row r="451" spans="1:15" ht="15.75" customHeight="1" x14ac:dyDescent="0.2">
      <c r="A451" s="85"/>
      <c r="B451" s="99" t="s">
        <v>80</v>
      </c>
      <c r="C451" s="100">
        <f>DATE(97,4,24)</f>
        <v>35544</v>
      </c>
      <c r="D451" s="37">
        <v>49</v>
      </c>
      <c r="E451" s="37">
        <v>7.5</v>
      </c>
      <c r="F451" s="101">
        <v>4.0000000000000001E-3</v>
      </c>
      <c r="G451" s="104" t="s">
        <v>343</v>
      </c>
      <c r="H451" s="101">
        <v>3.5000000000000003E-2</v>
      </c>
      <c r="I451" s="101">
        <f t="shared" ref="I451:I452" si="222">0.003+H451</f>
        <v>3.8000000000000006E-2</v>
      </c>
      <c r="J451" s="103">
        <f>0.13-0.006</f>
        <v>0.124</v>
      </c>
      <c r="K451" s="103">
        <f t="shared" ref="K451:K455" si="223">L451-I451</f>
        <v>0.121</v>
      </c>
      <c r="L451" s="101">
        <f t="shared" ref="L451:L453" si="224">J451+H451</f>
        <v>0.159</v>
      </c>
      <c r="M451" s="39">
        <f t="shared" ref="M451:M455" si="225">L451/F451</f>
        <v>39.75</v>
      </c>
      <c r="N451" s="37">
        <v>2.2000000000000002</v>
      </c>
      <c r="O451" s="98"/>
    </row>
    <row r="452" spans="1:15" ht="15.75" customHeight="1" x14ac:dyDescent="0.2">
      <c r="A452" s="85"/>
      <c r="B452" s="99" t="s">
        <v>81</v>
      </c>
      <c r="C452" s="100">
        <f>DATE(97,5,12)</f>
        <v>35562</v>
      </c>
      <c r="D452" s="37">
        <v>49</v>
      </c>
      <c r="E452" s="37">
        <v>5.3</v>
      </c>
      <c r="F452" s="101">
        <v>6.0000000000000001E-3</v>
      </c>
      <c r="G452" s="104" t="s">
        <v>343</v>
      </c>
      <c r="H452" s="101">
        <v>2.1999999999999999E-2</v>
      </c>
      <c r="I452" s="101">
        <f t="shared" si="222"/>
        <v>2.4999999999999998E-2</v>
      </c>
      <c r="J452" s="103">
        <f>0.11-0.006</f>
        <v>0.104</v>
      </c>
      <c r="K452" s="103">
        <f t="shared" si="223"/>
        <v>0.10100000000000001</v>
      </c>
      <c r="L452" s="101">
        <f t="shared" si="224"/>
        <v>0.126</v>
      </c>
      <c r="M452" s="39">
        <f t="shared" si="225"/>
        <v>21</v>
      </c>
      <c r="N452" s="37">
        <v>2.6</v>
      </c>
      <c r="O452" s="98"/>
    </row>
    <row r="453" spans="1:15" ht="15.75" customHeight="1" x14ac:dyDescent="0.2">
      <c r="A453" s="85"/>
      <c r="B453" s="99" t="s">
        <v>85</v>
      </c>
      <c r="C453" s="100">
        <f>DATE(97,6,24)</f>
        <v>35605</v>
      </c>
      <c r="D453" s="37">
        <v>50</v>
      </c>
      <c r="E453" s="37">
        <v>4.5</v>
      </c>
      <c r="F453" s="101">
        <v>6.0000000000000001E-3</v>
      </c>
      <c r="G453" s="101">
        <v>6.0000000000000001E-3</v>
      </c>
      <c r="H453" s="101">
        <v>1.2999999999999999E-2</v>
      </c>
      <c r="I453" s="101">
        <f>G453+H453</f>
        <v>1.9E-2</v>
      </c>
      <c r="J453" s="103">
        <f>0.1-0.006</f>
        <v>9.4E-2</v>
      </c>
      <c r="K453" s="103">
        <f t="shared" si="223"/>
        <v>8.7999999999999995E-2</v>
      </c>
      <c r="L453" s="101">
        <f t="shared" si="224"/>
        <v>0.107</v>
      </c>
      <c r="M453" s="39">
        <f t="shared" si="225"/>
        <v>17.833333333333332</v>
      </c>
      <c r="N453" s="37">
        <v>2.2999999999999998</v>
      </c>
      <c r="O453" s="98"/>
    </row>
    <row r="454" spans="1:15" ht="15.75" customHeight="1" x14ac:dyDescent="0.2">
      <c r="A454" s="85"/>
      <c r="B454" s="99" t="s">
        <v>80</v>
      </c>
      <c r="C454" s="100">
        <f>DATE(97,7,16)</f>
        <v>35627</v>
      </c>
      <c r="D454" s="37">
        <v>50.3</v>
      </c>
      <c r="E454" s="37">
        <v>6.2</v>
      </c>
      <c r="F454" s="101">
        <v>3.0000000000000001E-3</v>
      </c>
      <c r="G454" s="104" t="s">
        <v>343</v>
      </c>
      <c r="H454" s="148" t="s">
        <v>398</v>
      </c>
      <c r="I454" s="101">
        <f>0.001+0.005</f>
        <v>6.0000000000000001E-3</v>
      </c>
      <c r="J454" s="103">
        <f>0.11-0.006</f>
        <v>0.104</v>
      </c>
      <c r="K454" s="103">
        <f t="shared" si="223"/>
        <v>0.10299999999999999</v>
      </c>
      <c r="L454" s="101">
        <f t="shared" ref="L454:L455" si="226">J454+0.005</f>
        <v>0.109</v>
      </c>
      <c r="M454" s="39">
        <f t="shared" si="225"/>
        <v>36.333333333333336</v>
      </c>
      <c r="N454" s="37">
        <v>2.1</v>
      </c>
      <c r="O454" s="98"/>
    </row>
    <row r="455" spans="1:15" ht="15.75" customHeight="1" x14ac:dyDescent="0.2">
      <c r="A455" s="85"/>
      <c r="B455" s="99" t="s">
        <v>480</v>
      </c>
      <c r="C455" s="100">
        <f>DATE(97,9,10)</f>
        <v>35683</v>
      </c>
      <c r="D455" s="156" t="s">
        <v>84</v>
      </c>
      <c r="E455" s="37">
        <v>9</v>
      </c>
      <c r="F455" s="101">
        <v>1.2999999999999999E-2</v>
      </c>
      <c r="G455" s="104" t="s">
        <v>343</v>
      </c>
      <c r="H455" s="148" t="s">
        <v>398</v>
      </c>
      <c r="I455" s="101">
        <f>0.004+0.005</f>
        <v>9.0000000000000011E-3</v>
      </c>
      <c r="J455" s="103">
        <f>0.07-0.006</f>
        <v>6.4000000000000001E-2</v>
      </c>
      <c r="K455" s="103">
        <f t="shared" si="223"/>
        <v>6.0000000000000005E-2</v>
      </c>
      <c r="L455" s="101">
        <f t="shared" si="226"/>
        <v>6.9000000000000006E-2</v>
      </c>
      <c r="M455" s="39">
        <f t="shared" si="225"/>
        <v>5.3076923076923084</v>
      </c>
      <c r="N455" s="37">
        <v>1.2</v>
      </c>
      <c r="O455" s="98"/>
    </row>
    <row r="456" spans="1:15" ht="15.75" customHeight="1" x14ac:dyDescent="0.2">
      <c r="A456" s="85"/>
      <c r="B456" s="38"/>
      <c r="C456" s="100"/>
      <c r="D456" s="37"/>
      <c r="E456" s="37"/>
      <c r="F456" s="101"/>
      <c r="G456" s="101"/>
      <c r="H456" s="101"/>
      <c r="I456" s="101"/>
      <c r="J456" s="103"/>
      <c r="K456" s="103"/>
      <c r="L456" s="101"/>
      <c r="M456" s="39"/>
      <c r="N456" s="37"/>
      <c r="O456" s="98"/>
    </row>
    <row r="457" spans="1:15" ht="15.75" customHeight="1" x14ac:dyDescent="0.2">
      <c r="A457" s="85"/>
      <c r="B457" s="99" t="s">
        <v>372</v>
      </c>
      <c r="C457" s="100">
        <f>DATE(98,4,8)</f>
        <v>35893</v>
      </c>
      <c r="D457" s="37">
        <f>161*0.3048</f>
        <v>49.072800000000001</v>
      </c>
      <c r="E457" s="37">
        <v>7.5</v>
      </c>
      <c r="F457" s="101">
        <v>5.0000000000000001E-3</v>
      </c>
      <c r="G457" s="101">
        <v>1.4999999999999999E-2</v>
      </c>
      <c r="H457" s="101">
        <v>3.5999999999999997E-2</v>
      </c>
      <c r="I457" s="101">
        <f t="shared" ref="I457:I458" si="227">G457+H457</f>
        <v>5.0999999999999997E-2</v>
      </c>
      <c r="J457" s="103">
        <v>0.15</v>
      </c>
      <c r="K457" s="103">
        <f t="shared" ref="K457:K462" si="228">L457-I457</f>
        <v>0.13500000000000001</v>
      </c>
      <c r="L457" s="101">
        <f t="shared" ref="L457:L459" si="229">J457+H457</f>
        <v>0.186</v>
      </c>
      <c r="M457" s="39">
        <f t="shared" ref="M457:M462" si="230">L457/F457</f>
        <v>37.199999999999996</v>
      </c>
      <c r="N457" s="178" t="s">
        <v>84</v>
      </c>
      <c r="O457" s="95"/>
    </row>
    <row r="458" spans="1:15" ht="15.75" customHeight="1" x14ac:dyDescent="0.2">
      <c r="A458" s="85"/>
      <c r="B458" s="99" t="s">
        <v>86</v>
      </c>
      <c r="C458" s="100">
        <f>DATE(98,4,28)</f>
        <v>35913</v>
      </c>
      <c r="D458" s="156" t="s">
        <v>84</v>
      </c>
      <c r="E458" s="37">
        <v>8</v>
      </c>
      <c r="F458" s="101">
        <v>4.0000000000000001E-3</v>
      </c>
      <c r="G458" s="101">
        <v>8.9999999999999993E-3</v>
      </c>
      <c r="H458" s="101">
        <v>2.1999999999999999E-2</v>
      </c>
      <c r="I458" s="101">
        <f t="shared" si="227"/>
        <v>3.1E-2</v>
      </c>
      <c r="J458" s="103">
        <v>0.12</v>
      </c>
      <c r="K458" s="103">
        <f t="shared" si="228"/>
        <v>0.11099999999999999</v>
      </c>
      <c r="L458" s="101">
        <f t="shared" si="229"/>
        <v>0.14199999999999999</v>
      </c>
      <c r="M458" s="39">
        <f t="shared" si="230"/>
        <v>35.499999999999993</v>
      </c>
      <c r="N458" s="37">
        <v>2.2999999999999998</v>
      </c>
      <c r="O458" s="95"/>
    </row>
    <row r="459" spans="1:15" ht="15.75" customHeight="1" x14ac:dyDescent="0.2">
      <c r="A459" s="85"/>
      <c r="B459" s="99" t="s">
        <v>81</v>
      </c>
      <c r="C459" s="100">
        <f>DATE(98,5,19)</f>
        <v>35934</v>
      </c>
      <c r="D459" s="156" t="s">
        <v>84</v>
      </c>
      <c r="E459" s="37">
        <v>6</v>
      </c>
      <c r="F459" s="101">
        <v>5.0000000000000001E-3</v>
      </c>
      <c r="G459" s="104" t="s">
        <v>343</v>
      </c>
      <c r="H459" s="101">
        <v>1.6E-2</v>
      </c>
      <c r="I459" s="101">
        <f>0.0025+H459</f>
        <v>1.8499999999999999E-2</v>
      </c>
      <c r="J459" s="103">
        <v>0.12</v>
      </c>
      <c r="K459" s="103">
        <f t="shared" si="228"/>
        <v>0.11750000000000001</v>
      </c>
      <c r="L459" s="101">
        <f t="shared" si="229"/>
        <v>0.13600000000000001</v>
      </c>
      <c r="M459" s="39">
        <f t="shared" si="230"/>
        <v>27.200000000000003</v>
      </c>
      <c r="N459" s="37">
        <v>1.8</v>
      </c>
      <c r="O459" s="95"/>
    </row>
    <row r="460" spans="1:15" ht="15.75" customHeight="1" x14ac:dyDescent="0.2">
      <c r="A460" s="85"/>
      <c r="B460" s="99" t="s">
        <v>81</v>
      </c>
      <c r="C460" s="100">
        <f>DATE(98,7,7)</f>
        <v>35983</v>
      </c>
      <c r="D460" s="156" t="s">
        <v>84</v>
      </c>
      <c r="E460" s="37">
        <v>8.5</v>
      </c>
      <c r="F460" s="101">
        <v>3.0000000000000001E-3</v>
      </c>
      <c r="G460" s="101">
        <v>8.9999999999999993E-3</v>
      </c>
      <c r="H460" s="148" t="s">
        <v>398</v>
      </c>
      <c r="I460" s="101">
        <f>G460+0.005</f>
        <v>1.3999999999999999E-2</v>
      </c>
      <c r="J460" s="103">
        <v>0.16</v>
      </c>
      <c r="K460" s="103">
        <f t="shared" si="228"/>
        <v>0.15100000000000002</v>
      </c>
      <c r="L460" s="101">
        <f>J460+0.005</f>
        <v>0.16500000000000001</v>
      </c>
      <c r="M460" s="39">
        <f t="shared" si="230"/>
        <v>55</v>
      </c>
      <c r="N460" s="37">
        <v>1.8</v>
      </c>
      <c r="O460" s="95"/>
    </row>
    <row r="461" spans="1:15" ht="15.75" customHeight="1" x14ac:dyDescent="0.2">
      <c r="A461" s="85"/>
      <c r="B461" s="99" t="s">
        <v>368</v>
      </c>
      <c r="C461" s="100">
        <f>DATE(98,8,25)</f>
        <v>36032</v>
      </c>
      <c r="D461" s="156" t="s">
        <v>84</v>
      </c>
      <c r="E461" s="37">
        <v>10.5</v>
      </c>
      <c r="F461" s="101">
        <v>4.0000000000000001E-3</v>
      </c>
      <c r="G461" s="101">
        <v>0.01</v>
      </c>
      <c r="H461" s="101">
        <v>0.01</v>
      </c>
      <c r="I461" s="101">
        <f>G461+H461</f>
        <v>0.02</v>
      </c>
      <c r="J461" s="103">
        <v>0.12</v>
      </c>
      <c r="K461" s="103">
        <f t="shared" si="228"/>
        <v>0.11</v>
      </c>
      <c r="L461" s="101">
        <f>J461+H461</f>
        <v>0.13</v>
      </c>
      <c r="M461" s="39">
        <f t="shared" si="230"/>
        <v>32.5</v>
      </c>
      <c r="N461" s="37">
        <v>1.5</v>
      </c>
      <c r="O461" s="95"/>
    </row>
    <row r="462" spans="1:15" ht="15.75" customHeight="1" x14ac:dyDescent="0.2">
      <c r="A462" s="85"/>
      <c r="B462" s="99" t="s">
        <v>487</v>
      </c>
      <c r="C462" s="100">
        <f>DATE(98,9,22)</f>
        <v>36060</v>
      </c>
      <c r="D462" s="37">
        <f>164*0.3048</f>
        <v>49.987200000000001</v>
      </c>
      <c r="E462" s="37">
        <v>10.5</v>
      </c>
      <c r="F462" s="101">
        <v>4.0000000000000001E-3</v>
      </c>
      <c r="G462" s="101">
        <v>8.0000000000000002E-3</v>
      </c>
      <c r="H462" s="148" t="s">
        <v>398</v>
      </c>
      <c r="I462" s="101">
        <f>G462+0.005</f>
        <v>1.3000000000000001E-2</v>
      </c>
      <c r="J462" s="103">
        <v>7.0000000000000007E-2</v>
      </c>
      <c r="K462" s="103">
        <f t="shared" si="228"/>
        <v>6.2000000000000013E-2</v>
      </c>
      <c r="L462" s="101">
        <f>J462+0.005</f>
        <v>7.5000000000000011E-2</v>
      </c>
      <c r="M462" s="39">
        <f t="shared" si="230"/>
        <v>18.750000000000004</v>
      </c>
      <c r="N462" s="37">
        <v>1.5</v>
      </c>
      <c r="O462" s="95"/>
    </row>
    <row r="463" spans="1:15" ht="15.75" customHeight="1" x14ac:dyDescent="0.2">
      <c r="A463" s="85"/>
      <c r="B463" s="38"/>
      <c r="C463" s="38"/>
      <c r="D463" s="37"/>
      <c r="E463" s="37"/>
      <c r="F463" s="101"/>
      <c r="G463" s="101"/>
      <c r="H463" s="101"/>
      <c r="I463" s="101"/>
      <c r="J463" s="103"/>
      <c r="K463" s="103"/>
      <c r="L463" s="101"/>
      <c r="M463" s="39"/>
      <c r="N463" s="37"/>
      <c r="O463" s="95"/>
    </row>
    <row r="464" spans="1:15" ht="15.75" customHeight="1" x14ac:dyDescent="0.2">
      <c r="A464" s="85"/>
      <c r="B464" s="38"/>
      <c r="C464" s="38"/>
      <c r="D464" s="37"/>
      <c r="E464" s="37"/>
      <c r="F464" s="101"/>
      <c r="G464" s="101"/>
      <c r="H464" s="101"/>
      <c r="I464" s="101"/>
      <c r="J464" s="103"/>
      <c r="K464" s="103"/>
      <c r="L464" s="101"/>
      <c r="M464" s="39"/>
      <c r="N464" s="37"/>
      <c r="O464" s="95"/>
    </row>
    <row r="465" spans="1:15" ht="15.75" customHeight="1" x14ac:dyDescent="0.2">
      <c r="A465" s="85"/>
      <c r="B465" s="38"/>
      <c r="C465" s="38"/>
      <c r="D465" s="37"/>
      <c r="E465" s="37"/>
      <c r="F465" s="101"/>
      <c r="G465" s="101"/>
      <c r="H465" s="101"/>
      <c r="I465" s="101"/>
      <c r="J465" s="103"/>
      <c r="K465" s="103"/>
      <c r="L465" s="101"/>
      <c r="M465" s="39"/>
      <c r="N465" s="37"/>
      <c r="O465" s="95"/>
    </row>
    <row r="466" spans="1:15" ht="15.75" customHeight="1" x14ac:dyDescent="0.2">
      <c r="A466" s="85"/>
      <c r="B466" s="38"/>
      <c r="C466" s="38"/>
      <c r="D466" s="37"/>
      <c r="E466" s="37"/>
      <c r="F466" s="101"/>
      <c r="G466" s="101"/>
      <c r="H466" s="101"/>
      <c r="I466" s="101"/>
      <c r="J466" s="103"/>
      <c r="K466" s="103"/>
      <c r="L466" s="101"/>
      <c r="M466" s="39"/>
      <c r="N466" s="37"/>
      <c r="O466" s="95"/>
    </row>
    <row r="467" spans="1:15" ht="15.75" customHeight="1" x14ac:dyDescent="0.2">
      <c r="A467" s="96"/>
      <c r="B467" s="129"/>
      <c r="C467" s="173"/>
      <c r="D467" s="127"/>
      <c r="E467" s="127"/>
      <c r="F467" s="123"/>
      <c r="G467" s="123"/>
      <c r="H467" s="123"/>
      <c r="I467" s="123"/>
      <c r="J467" s="125"/>
      <c r="K467" s="125"/>
      <c r="L467" s="123"/>
      <c r="M467" s="126"/>
      <c r="N467" s="127"/>
      <c r="O467" s="160"/>
    </row>
    <row r="468" spans="1:15" ht="15.75" customHeight="1" x14ac:dyDescent="0.2">
      <c r="A468" s="38"/>
      <c r="B468" s="38"/>
      <c r="C468" s="36"/>
      <c r="D468" s="37"/>
      <c r="E468" s="37"/>
      <c r="F468" s="101"/>
      <c r="G468" s="101"/>
      <c r="H468" s="101"/>
      <c r="I468" s="101"/>
      <c r="J468" s="103"/>
      <c r="K468" s="103"/>
      <c r="L468" s="101"/>
      <c r="M468" s="39"/>
      <c r="N468" s="37"/>
    </row>
    <row r="469" spans="1:15" ht="15.75" customHeight="1" x14ac:dyDescent="0.2">
      <c r="A469" s="164"/>
      <c r="B469" s="87"/>
      <c r="C469" s="86"/>
      <c r="D469" s="131"/>
      <c r="E469" s="131"/>
      <c r="F469" s="132"/>
      <c r="G469" s="132"/>
      <c r="H469" s="133" t="s">
        <v>319</v>
      </c>
      <c r="I469" s="132"/>
      <c r="J469" s="134"/>
      <c r="K469" s="134"/>
      <c r="L469" s="132"/>
      <c r="M469" s="135"/>
      <c r="N469" s="131"/>
      <c r="O469" s="89"/>
    </row>
    <row r="470" spans="1:15" ht="15.75" customHeight="1" x14ac:dyDescent="0.25">
      <c r="A470" s="85"/>
      <c r="B470" s="90" t="s">
        <v>320</v>
      </c>
      <c r="C470" s="91"/>
      <c r="D470" s="136" t="s">
        <v>321</v>
      </c>
      <c r="E470" s="136" t="s">
        <v>322</v>
      </c>
      <c r="F470" s="137"/>
      <c r="G470" s="138" t="s">
        <v>323</v>
      </c>
      <c r="H470" s="139" t="s">
        <v>524</v>
      </c>
      <c r="I470" s="138" t="s">
        <v>323</v>
      </c>
      <c r="J470" s="140"/>
      <c r="K470" s="141" t="s">
        <v>323</v>
      </c>
      <c r="L470" s="137"/>
      <c r="M470" s="142"/>
      <c r="N470" s="143"/>
      <c r="O470" s="95"/>
    </row>
    <row r="471" spans="1:15" ht="15.75" customHeight="1" x14ac:dyDescent="0.25">
      <c r="A471" s="85"/>
      <c r="B471" s="90" t="s">
        <v>325</v>
      </c>
      <c r="C471" s="91"/>
      <c r="D471" s="136" t="s">
        <v>52</v>
      </c>
      <c r="E471" s="136" t="s">
        <v>52</v>
      </c>
      <c r="F471" s="138" t="s">
        <v>326</v>
      </c>
      <c r="G471" s="138" t="s">
        <v>525</v>
      </c>
      <c r="H471" s="139" t="s">
        <v>526</v>
      </c>
      <c r="I471" s="138" t="s">
        <v>329</v>
      </c>
      <c r="J471" s="141" t="s">
        <v>330</v>
      </c>
      <c r="K471" s="141" t="s">
        <v>331</v>
      </c>
      <c r="L471" s="138" t="s">
        <v>332</v>
      </c>
      <c r="M471" s="142"/>
      <c r="N471" s="136" t="s">
        <v>333</v>
      </c>
      <c r="O471" s="95"/>
    </row>
    <row r="472" spans="1:15" ht="15.75" customHeight="1" x14ac:dyDescent="0.2">
      <c r="A472" s="96"/>
      <c r="B472" s="97" t="s">
        <v>334</v>
      </c>
      <c r="C472" s="165" t="s">
        <v>335</v>
      </c>
      <c r="D472" s="166" t="s">
        <v>336</v>
      </c>
      <c r="E472" s="166" t="s">
        <v>336</v>
      </c>
      <c r="F472" s="167" t="s">
        <v>337</v>
      </c>
      <c r="G472" s="167" t="s">
        <v>337</v>
      </c>
      <c r="H472" s="167" t="s">
        <v>337</v>
      </c>
      <c r="I472" s="167" t="s">
        <v>337</v>
      </c>
      <c r="J472" s="168" t="s">
        <v>337</v>
      </c>
      <c r="K472" s="168" t="s">
        <v>337</v>
      </c>
      <c r="L472" s="167" t="s">
        <v>337</v>
      </c>
      <c r="M472" s="169" t="s">
        <v>338</v>
      </c>
      <c r="N472" s="166" t="s">
        <v>339</v>
      </c>
      <c r="O472" s="160"/>
    </row>
    <row r="473" spans="1:15" ht="15.75" customHeight="1" x14ac:dyDescent="0.2">
      <c r="A473" s="85"/>
      <c r="B473" s="38"/>
      <c r="C473" s="36"/>
      <c r="D473" s="37"/>
      <c r="E473" s="37"/>
      <c r="F473" s="101"/>
      <c r="G473" s="101"/>
      <c r="H473" s="101"/>
      <c r="I473" s="101"/>
      <c r="J473" s="103"/>
      <c r="K473" s="103"/>
      <c r="L473" s="101"/>
      <c r="M473" s="39"/>
      <c r="N473" s="37"/>
      <c r="O473" s="98"/>
    </row>
    <row r="474" spans="1:15" ht="15.75" customHeight="1" x14ac:dyDescent="0.2">
      <c r="A474" s="85"/>
      <c r="B474" s="90" t="s">
        <v>527</v>
      </c>
      <c r="C474" s="38"/>
      <c r="D474" s="37"/>
      <c r="E474" s="37"/>
      <c r="F474" s="101"/>
      <c r="G474" s="101"/>
      <c r="H474" s="101"/>
      <c r="I474" s="101"/>
      <c r="J474" s="103"/>
      <c r="K474" s="103"/>
      <c r="L474" s="101"/>
      <c r="M474" s="39"/>
      <c r="N474" s="37"/>
      <c r="O474" s="98"/>
    </row>
    <row r="475" spans="1:15" ht="15.75" customHeight="1" x14ac:dyDescent="0.2">
      <c r="A475" s="85"/>
      <c r="D475" s="13"/>
      <c r="E475" s="13"/>
      <c r="F475" s="153"/>
      <c r="G475" s="153"/>
      <c r="H475" s="101"/>
      <c r="I475" s="101"/>
      <c r="J475" s="103"/>
      <c r="K475" s="103"/>
      <c r="L475" s="101"/>
      <c r="M475" s="39"/>
      <c r="N475" s="37"/>
      <c r="O475" s="98"/>
    </row>
    <row r="476" spans="1:15" ht="15.75" customHeight="1" x14ac:dyDescent="0.2">
      <c r="A476" s="85"/>
      <c r="B476" s="99" t="s">
        <v>528</v>
      </c>
      <c r="C476" s="100">
        <f>DATE(93,4,22)</f>
        <v>34081</v>
      </c>
      <c r="D476" s="37">
        <v>7.2</v>
      </c>
      <c r="E476" s="37">
        <v>9</v>
      </c>
      <c r="F476" s="101">
        <v>5.0000000000000001E-3</v>
      </c>
      <c r="G476" s="104" t="s">
        <v>84</v>
      </c>
      <c r="H476" s="104" t="s">
        <v>84</v>
      </c>
      <c r="I476" s="104" t="s">
        <v>84</v>
      </c>
      <c r="J476" s="102" t="s">
        <v>84</v>
      </c>
      <c r="K476" s="102" t="s">
        <v>84</v>
      </c>
      <c r="L476" s="104" t="s">
        <v>84</v>
      </c>
      <c r="M476" s="107" t="s">
        <v>84</v>
      </c>
      <c r="N476" s="37">
        <v>0.8</v>
      </c>
      <c r="O476" s="98"/>
    </row>
    <row r="477" spans="1:15" ht="15.75" customHeight="1" x14ac:dyDescent="0.2">
      <c r="A477" s="85"/>
      <c r="B477" s="99" t="s">
        <v>97</v>
      </c>
      <c r="C477" s="100">
        <f>DATE(93,5,18)</f>
        <v>34107</v>
      </c>
      <c r="D477" s="37">
        <v>14.7</v>
      </c>
      <c r="E477" s="37">
        <v>7.2</v>
      </c>
      <c r="F477" s="101">
        <v>5.0000000000000001E-3</v>
      </c>
      <c r="G477" s="104" t="s">
        <v>84</v>
      </c>
      <c r="H477" s="104" t="s">
        <v>84</v>
      </c>
      <c r="I477" s="104" t="s">
        <v>84</v>
      </c>
      <c r="J477" s="102" t="s">
        <v>84</v>
      </c>
      <c r="K477" s="102" t="s">
        <v>84</v>
      </c>
      <c r="L477" s="104" t="s">
        <v>84</v>
      </c>
      <c r="M477" s="107" t="s">
        <v>84</v>
      </c>
      <c r="N477" s="37">
        <v>1.6</v>
      </c>
      <c r="O477" s="98"/>
    </row>
    <row r="478" spans="1:15" ht="15.75" customHeight="1" x14ac:dyDescent="0.2">
      <c r="A478" s="85"/>
      <c r="B478" s="99" t="s">
        <v>529</v>
      </c>
      <c r="C478" s="100">
        <f>DATE(93,6,15)</f>
        <v>34135</v>
      </c>
      <c r="D478" s="37">
        <v>11.7</v>
      </c>
      <c r="E478" s="37">
        <v>6.6</v>
      </c>
      <c r="F478" s="101">
        <v>5.0000000000000001E-3</v>
      </c>
      <c r="G478" s="104" t="s">
        <v>84</v>
      </c>
      <c r="H478" s="104" t="s">
        <v>84</v>
      </c>
      <c r="I478" s="104" t="s">
        <v>84</v>
      </c>
      <c r="J478" s="102" t="s">
        <v>84</v>
      </c>
      <c r="K478" s="102" t="s">
        <v>84</v>
      </c>
      <c r="L478" s="104" t="s">
        <v>84</v>
      </c>
      <c r="M478" s="107" t="s">
        <v>84</v>
      </c>
      <c r="N478" s="37">
        <v>1.2</v>
      </c>
      <c r="O478" s="98"/>
    </row>
    <row r="479" spans="1:15" ht="15.75" customHeight="1" x14ac:dyDescent="0.2">
      <c r="A479" s="85"/>
      <c r="B479" s="99" t="s">
        <v>342</v>
      </c>
      <c r="C479" s="100">
        <f>DATE(93,7,8)</f>
        <v>34158</v>
      </c>
      <c r="D479" s="37">
        <v>8.5</v>
      </c>
      <c r="E479" s="37">
        <v>7.5</v>
      </c>
      <c r="F479" s="101">
        <v>3.0000000000000001E-3</v>
      </c>
      <c r="G479" s="104" t="s">
        <v>84</v>
      </c>
      <c r="H479" s="104" t="s">
        <v>84</v>
      </c>
      <c r="I479" s="104" t="s">
        <v>84</v>
      </c>
      <c r="J479" s="102" t="s">
        <v>84</v>
      </c>
      <c r="K479" s="102" t="s">
        <v>84</v>
      </c>
      <c r="L479" s="104" t="s">
        <v>84</v>
      </c>
      <c r="M479" s="107" t="s">
        <v>84</v>
      </c>
      <c r="N479" s="37">
        <v>0.8</v>
      </c>
      <c r="O479" s="98"/>
    </row>
    <row r="480" spans="1:15" ht="15.75" customHeight="1" x14ac:dyDescent="0.2">
      <c r="A480" s="85"/>
      <c r="B480" s="99" t="s">
        <v>342</v>
      </c>
      <c r="C480" s="100">
        <f>DATE(93,7,28)</f>
        <v>34178</v>
      </c>
      <c r="D480" s="37">
        <v>8.4</v>
      </c>
      <c r="E480" s="37">
        <v>11.5</v>
      </c>
      <c r="F480" s="101">
        <v>5.0000000000000001E-3</v>
      </c>
      <c r="G480" s="104" t="s">
        <v>84</v>
      </c>
      <c r="H480" s="104" t="s">
        <v>84</v>
      </c>
      <c r="I480" s="104" t="s">
        <v>84</v>
      </c>
      <c r="J480" s="102" t="s">
        <v>84</v>
      </c>
      <c r="K480" s="102" t="s">
        <v>84</v>
      </c>
      <c r="L480" s="104" t="s">
        <v>84</v>
      </c>
      <c r="M480" s="107" t="s">
        <v>84</v>
      </c>
      <c r="N480" s="37">
        <v>0.53</v>
      </c>
      <c r="O480" s="98"/>
    </row>
    <row r="481" spans="1:15" ht="15.75" customHeight="1" x14ac:dyDescent="0.2">
      <c r="A481" s="85"/>
      <c r="B481" s="99" t="s">
        <v>98</v>
      </c>
      <c r="C481" s="100">
        <f>DATE(93,8,18)</f>
        <v>34199</v>
      </c>
      <c r="D481" s="37">
        <v>12.2</v>
      </c>
      <c r="E481" s="37">
        <v>12</v>
      </c>
      <c r="F481" s="101">
        <v>3.0000000000000001E-3</v>
      </c>
      <c r="G481" s="104" t="s">
        <v>84</v>
      </c>
      <c r="H481" s="104" t="s">
        <v>84</v>
      </c>
      <c r="I481" s="104" t="s">
        <v>84</v>
      </c>
      <c r="J481" s="102" t="s">
        <v>84</v>
      </c>
      <c r="K481" s="102" t="s">
        <v>84</v>
      </c>
      <c r="L481" s="104" t="s">
        <v>84</v>
      </c>
      <c r="M481" s="107" t="s">
        <v>84</v>
      </c>
      <c r="N481" s="37">
        <v>0.91</v>
      </c>
      <c r="O481" s="98"/>
    </row>
    <row r="482" spans="1:15" ht="15.75" customHeight="1" x14ac:dyDescent="0.2">
      <c r="A482" s="85"/>
      <c r="B482" s="99" t="s">
        <v>507</v>
      </c>
      <c r="C482" s="100">
        <f>DATE(93,9,15)</f>
        <v>34227</v>
      </c>
      <c r="D482" s="37">
        <v>6.8</v>
      </c>
      <c r="E482" s="37">
        <v>11.5</v>
      </c>
      <c r="F482" s="101">
        <v>5.0000000000000001E-3</v>
      </c>
      <c r="G482" s="104" t="s">
        <v>84</v>
      </c>
      <c r="H482" s="104" t="s">
        <v>84</v>
      </c>
      <c r="I482" s="104" t="s">
        <v>84</v>
      </c>
      <c r="J482" s="102" t="s">
        <v>84</v>
      </c>
      <c r="K482" s="102" t="s">
        <v>84</v>
      </c>
      <c r="L482" s="104" t="s">
        <v>84</v>
      </c>
      <c r="M482" s="107" t="s">
        <v>84</v>
      </c>
      <c r="N482" s="37">
        <v>0.5</v>
      </c>
      <c r="O482" s="98"/>
    </row>
    <row r="483" spans="1:15" ht="15.75" customHeight="1" x14ac:dyDescent="0.2">
      <c r="A483" s="85"/>
      <c r="B483" s="99" t="s">
        <v>416</v>
      </c>
      <c r="C483" s="100">
        <f>DATE(93,10,13)</f>
        <v>34255</v>
      </c>
      <c r="D483" s="37">
        <v>9.9</v>
      </c>
      <c r="E483" s="37">
        <v>13.3</v>
      </c>
      <c r="F483" s="101">
        <v>4.0000000000000001E-3</v>
      </c>
      <c r="G483" s="104" t="s">
        <v>84</v>
      </c>
      <c r="H483" s="104" t="s">
        <v>84</v>
      </c>
      <c r="I483" s="104" t="s">
        <v>84</v>
      </c>
      <c r="J483" s="102" t="s">
        <v>84</v>
      </c>
      <c r="K483" s="102" t="s">
        <v>84</v>
      </c>
      <c r="L483" s="104" t="s">
        <v>84</v>
      </c>
      <c r="M483" s="107" t="s">
        <v>84</v>
      </c>
      <c r="N483" s="37">
        <v>0.5</v>
      </c>
      <c r="O483" s="98"/>
    </row>
    <row r="484" spans="1:15" ht="15.75" customHeight="1" x14ac:dyDescent="0.2">
      <c r="A484" s="85"/>
      <c r="B484" s="38"/>
      <c r="C484" s="100"/>
      <c r="D484" s="37"/>
      <c r="E484" s="37"/>
      <c r="F484" s="101"/>
      <c r="G484" s="101"/>
      <c r="H484" s="101"/>
      <c r="I484" s="101"/>
      <c r="J484" s="103"/>
      <c r="K484" s="103"/>
      <c r="L484" s="101"/>
      <c r="M484" s="39"/>
      <c r="N484" s="37"/>
      <c r="O484" s="98"/>
    </row>
    <row r="485" spans="1:15" ht="15.75" customHeight="1" x14ac:dyDescent="0.2">
      <c r="A485" s="85"/>
      <c r="B485" s="90" t="s">
        <v>530</v>
      </c>
      <c r="C485" s="100"/>
      <c r="D485" s="37"/>
      <c r="E485" s="37"/>
      <c r="F485" s="101"/>
      <c r="G485" s="101"/>
      <c r="H485" s="101"/>
      <c r="I485" s="101"/>
      <c r="J485" s="103"/>
      <c r="K485" s="103"/>
      <c r="L485" s="101"/>
      <c r="M485" s="39"/>
      <c r="N485" s="37"/>
      <c r="O485" s="98"/>
    </row>
    <row r="486" spans="1:15" ht="15.75" customHeight="1" x14ac:dyDescent="0.2">
      <c r="A486" s="85"/>
      <c r="B486" s="90"/>
      <c r="C486" s="100"/>
      <c r="D486" s="37"/>
      <c r="E486" s="37"/>
      <c r="F486" s="101"/>
      <c r="G486" s="101"/>
      <c r="H486" s="101"/>
      <c r="I486" s="101"/>
      <c r="J486" s="103"/>
      <c r="K486" s="103"/>
      <c r="L486" s="101"/>
      <c r="M486" s="39"/>
      <c r="N486" s="37"/>
      <c r="O486" s="98"/>
    </row>
    <row r="487" spans="1:15" ht="15.75" customHeight="1" x14ac:dyDescent="0.2">
      <c r="A487" s="85"/>
      <c r="B487" s="99" t="s">
        <v>344</v>
      </c>
      <c r="C487" s="100">
        <f>DATE(93,4,22)</f>
        <v>34081</v>
      </c>
      <c r="D487" s="37">
        <v>15.6</v>
      </c>
      <c r="E487" s="37">
        <v>4.7</v>
      </c>
      <c r="F487" s="101">
        <v>4.0000000000000001E-3</v>
      </c>
      <c r="G487" s="101">
        <f>0.029-0.015</f>
        <v>1.4000000000000002E-2</v>
      </c>
      <c r="H487" s="101">
        <v>2.3E-2</v>
      </c>
      <c r="I487" s="101">
        <f>H487+G487</f>
        <v>3.7000000000000005E-2</v>
      </c>
      <c r="J487" s="102" t="s">
        <v>341</v>
      </c>
      <c r="K487" s="103">
        <f t="shared" ref="K487:K494" si="231">L487-I487</f>
        <v>5.9999999999999915E-3</v>
      </c>
      <c r="L487" s="101">
        <f>0.02+0.023</f>
        <v>4.2999999999999997E-2</v>
      </c>
      <c r="M487" s="39">
        <f t="shared" ref="M487:M494" si="232">L487/F487</f>
        <v>10.749999999999998</v>
      </c>
      <c r="N487" s="37">
        <v>2.2000000000000002</v>
      </c>
      <c r="O487" s="98"/>
    </row>
    <row r="488" spans="1:15" ht="15.75" customHeight="1" x14ac:dyDescent="0.2">
      <c r="A488" s="85"/>
      <c r="B488" s="99" t="s">
        <v>95</v>
      </c>
      <c r="C488" s="100">
        <f>DATE(93,5,19)</f>
        <v>34108</v>
      </c>
      <c r="D488" s="37">
        <v>17.8</v>
      </c>
      <c r="E488" s="37">
        <v>7</v>
      </c>
      <c r="F488" s="101">
        <v>5.0000000000000001E-3</v>
      </c>
      <c r="G488" s="101">
        <f>0.019-0.01</f>
        <v>8.9999999999999993E-3</v>
      </c>
      <c r="H488" s="104" t="s">
        <v>343</v>
      </c>
      <c r="I488" s="101">
        <f>0.009+0.0025</f>
        <v>1.15E-2</v>
      </c>
      <c r="J488" s="103">
        <f>0.38-0.01</f>
        <v>0.37</v>
      </c>
      <c r="K488" s="103">
        <f t="shared" si="231"/>
        <v>0.36099999999999999</v>
      </c>
      <c r="L488" s="101">
        <f>0.37+0.0025</f>
        <v>0.3725</v>
      </c>
      <c r="M488" s="39">
        <f t="shared" si="232"/>
        <v>74.5</v>
      </c>
      <c r="N488" s="37">
        <v>1.4</v>
      </c>
      <c r="O488" s="98"/>
    </row>
    <row r="489" spans="1:15" ht="15.75" customHeight="1" x14ac:dyDescent="0.2">
      <c r="A489" s="85"/>
      <c r="B489" s="99" t="s">
        <v>418</v>
      </c>
      <c r="C489" s="100">
        <f>DATE(93,6,16)</f>
        <v>34136</v>
      </c>
      <c r="D489" s="37">
        <v>14.5</v>
      </c>
      <c r="E489" s="37">
        <v>7.5</v>
      </c>
      <c r="F489" s="101">
        <v>5.0000000000000001E-3</v>
      </c>
      <c r="G489" s="101">
        <f>0.028-0.01</f>
        <v>1.8000000000000002E-2</v>
      </c>
      <c r="H489" s="104" t="s">
        <v>343</v>
      </c>
      <c r="I489" s="101">
        <f>0.018+0.0025</f>
        <v>2.0499999999999997E-2</v>
      </c>
      <c r="J489" s="102" t="s">
        <v>341</v>
      </c>
      <c r="K489" s="103">
        <f t="shared" si="231"/>
        <v>2.0000000000000018E-3</v>
      </c>
      <c r="L489" s="101">
        <f>0.02+0.0025</f>
        <v>2.2499999999999999E-2</v>
      </c>
      <c r="M489" s="39">
        <f t="shared" si="232"/>
        <v>4.5</v>
      </c>
      <c r="N489" s="37">
        <v>1.5</v>
      </c>
      <c r="O489" s="98"/>
    </row>
    <row r="490" spans="1:15" ht="15.75" customHeight="1" x14ac:dyDescent="0.2">
      <c r="A490" s="85"/>
      <c r="B490" s="99" t="s">
        <v>98</v>
      </c>
      <c r="C490" s="100">
        <f>DATE(93,7,8)</f>
        <v>34158</v>
      </c>
      <c r="D490" s="37">
        <v>13.4</v>
      </c>
      <c r="E490" s="37">
        <v>6.7</v>
      </c>
      <c r="F490" s="101">
        <v>4.0000000000000001E-3</v>
      </c>
      <c r="G490" s="104" t="s">
        <v>343</v>
      </c>
      <c r="H490" s="101">
        <v>6.0000000000000001E-3</v>
      </c>
      <c r="I490" s="101">
        <f>0+0.006</f>
        <v>6.0000000000000001E-3</v>
      </c>
      <c r="J490" s="102" t="s">
        <v>341</v>
      </c>
      <c r="K490" s="103">
        <f t="shared" si="231"/>
        <v>2.0000000000000004E-2</v>
      </c>
      <c r="L490" s="101">
        <f>0.02+0.006</f>
        <v>2.6000000000000002E-2</v>
      </c>
      <c r="M490" s="39">
        <f t="shared" si="232"/>
        <v>6.5</v>
      </c>
      <c r="N490" s="37">
        <v>0.61</v>
      </c>
      <c r="O490" s="98"/>
    </row>
    <row r="491" spans="1:15" ht="15.75" customHeight="1" x14ac:dyDescent="0.2">
      <c r="A491" s="85"/>
      <c r="B491" s="99" t="s">
        <v>529</v>
      </c>
      <c r="C491" s="100">
        <f>DATE(93,7,28)</f>
        <v>34178</v>
      </c>
      <c r="D491" s="37">
        <v>13.6</v>
      </c>
      <c r="E491" s="37">
        <v>10.5</v>
      </c>
      <c r="F491" s="101">
        <v>6.0000000000000001E-3</v>
      </c>
      <c r="G491" s="104" t="s">
        <v>343</v>
      </c>
      <c r="H491" s="104" t="s">
        <v>343</v>
      </c>
      <c r="I491" s="101">
        <f>0+0.0025</f>
        <v>2.5000000000000001E-3</v>
      </c>
      <c r="J491" s="102" t="s">
        <v>341</v>
      </c>
      <c r="K491" s="103">
        <f t="shared" si="231"/>
        <v>0.02</v>
      </c>
      <c r="L491" s="101">
        <f>0.02+0.0025</f>
        <v>2.2499999999999999E-2</v>
      </c>
      <c r="M491" s="39">
        <f t="shared" si="232"/>
        <v>3.75</v>
      </c>
      <c r="N491" s="37">
        <v>0.53</v>
      </c>
      <c r="O491" s="98"/>
    </row>
    <row r="492" spans="1:15" ht="15.75" customHeight="1" x14ac:dyDescent="0.2">
      <c r="A492" s="85"/>
      <c r="B492" s="99" t="s">
        <v>98</v>
      </c>
      <c r="C492" s="100">
        <f>DATE(93,8,18)</f>
        <v>34199</v>
      </c>
      <c r="D492" s="37">
        <v>14.2</v>
      </c>
      <c r="E492" s="37">
        <v>14</v>
      </c>
      <c r="F492" s="101">
        <v>3.0000000000000001E-3</v>
      </c>
      <c r="G492" s="101">
        <f>0.036-0.027</f>
        <v>8.9999999999999976E-3</v>
      </c>
      <c r="H492" s="104" t="s">
        <v>343</v>
      </c>
      <c r="I492" s="101">
        <f>0.009+0.0025</f>
        <v>1.15E-2</v>
      </c>
      <c r="J492" s="103">
        <f>0.11-0.02</f>
        <v>0.09</v>
      </c>
      <c r="K492" s="103">
        <f t="shared" si="231"/>
        <v>8.1000000000000003E-2</v>
      </c>
      <c r="L492" s="101">
        <f>0.09+0.0025</f>
        <v>9.2499999999999999E-2</v>
      </c>
      <c r="M492" s="39">
        <f t="shared" si="232"/>
        <v>30.833333333333332</v>
      </c>
      <c r="N492" s="37">
        <v>0.96</v>
      </c>
      <c r="O492" s="98"/>
    </row>
    <row r="493" spans="1:15" ht="15.75" customHeight="1" x14ac:dyDescent="0.2">
      <c r="A493" s="85"/>
      <c r="B493" s="99" t="s">
        <v>418</v>
      </c>
      <c r="C493" s="100">
        <f>DATE(93,9,15)</f>
        <v>34227</v>
      </c>
      <c r="D493" s="37">
        <v>14.5</v>
      </c>
      <c r="E493" s="37">
        <v>12.2</v>
      </c>
      <c r="F493" s="101">
        <v>2E-3</v>
      </c>
      <c r="G493" s="104" t="s">
        <v>343</v>
      </c>
      <c r="H493" s="104" t="s">
        <v>343</v>
      </c>
      <c r="I493" s="101">
        <f>0+0.0025</f>
        <v>2.5000000000000001E-3</v>
      </c>
      <c r="J493" s="102" t="s">
        <v>341</v>
      </c>
      <c r="K493" s="103">
        <f t="shared" si="231"/>
        <v>0.02</v>
      </c>
      <c r="L493" s="101">
        <f t="shared" ref="L493:L494" si="233">0.02+0.0025</f>
        <v>2.2499999999999999E-2</v>
      </c>
      <c r="M493" s="39">
        <f t="shared" si="232"/>
        <v>11.25</v>
      </c>
      <c r="N493" s="37">
        <v>0.6</v>
      </c>
      <c r="O493" s="98"/>
    </row>
    <row r="494" spans="1:15" ht="15.75" customHeight="1" x14ac:dyDescent="0.2">
      <c r="A494" s="85"/>
      <c r="B494" s="99" t="s">
        <v>344</v>
      </c>
      <c r="C494" s="100">
        <f>DATE(93,10,13)</f>
        <v>34255</v>
      </c>
      <c r="D494" s="37">
        <v>13.3</v>
      </c>
      <c r="E494" s="37">
        <v>13.3</v>
      </c>
      <c r="F494" s="101">
        <v>3.0000000000000001E-3</v>
      </c>
      <c r="G494" s="104" t="s">
        <v>343</v>
      </c>
      <c r="H494" s="104" t="s">
        <v>343</v>
      </c>
      <c r="I494" s="101">
        <f>0.002+0.0025</f>
        <v>4.5000000000000005E-3</v>
      </c>
      <c r="J494" s="102" t="s">
        <v>341</v>
      </c>
      <c r="K494" s="103">
        <f t="shared" si="231"/>
        <v>1.7999999999999999E-2</v>
      </c>
      <c r="L494" s="101">
        <f t="shared" si="233"/>
        <v>2.2499999999999999E-2</v>
      </c>
      <c r="M494" s="39">
        <f t="shared" si="232"/>
        <v>7.5</v>
      </c>
      <c r="N494" s="37">
        <v>0.6</v>
      </c>
      <c r="O494" s="98"/>
    </row>
    <row r="495" spans="1:15" ht="15.75" customHeight="1" x14ac:dyDescent="0.2">
      <c r="A495" s="85"/>
      <c r="B495" s="38"/>
      <c r="C495" s="36"/>
      <c r="D495" s="37"/>
      <c r="E495" s="37"/>
      <c r="F495" s="101"/>
      <c r="G495" s="101"/>
      <c r="H495" s="101"/>
      <c r="I495" s="101"/>
      <c r="J495" s="103"/>
      <c r="K495" s="103"/>
      <c r="L495" s="101"/>
      <c r="M495" s="39"/>
      <c r="N495" s="37"/>
      <c r="O495" s="98"/>
    </row>
    <row r="496" spans="1:15" ht="15.75" customHeight="1" x14ac:dyDescent="0.2">
      <c r="A496" s="85"/>
      <c r="B496" s="99" t="s">
        <v>531</v>
      </c>
      <c r="C496" s="100">
        <f>DATE(94,3,30)</f>
        <v>34423</v>
      </c>
      <c r="D496" s="37">
        <v>8.3000000000000007</v>
      </c>
      <c r="E496" s="37">
        <v>9.4</v>
      </c>
      <c r="F496" s="101">
        <v>5.0000000000000001E-3</v>
      </c>
      <c r="G496" s="101">
        <f>0.014-0.008</f>
        <v>6.0000000000000001E-3</v>
      </c>
      <c r="H496" s="101">
        <v>2.9000000000000001E-2</v>
      </c>
      <c r="I496" s="101">
        <f>0.006+0.029</f>
        <v>3.5000000000000003E-2</v>
      </c>
      <c r="J496" s="102" t="s">
        <v>341</v>
      </c>
      <c r="K496" s="103">
        <f t="shared" ref="K496:K505" si="234">L496-I496</f>
        <v>1.3999999999999999E-2</v>
      </c>
      <c r="L496" s="101">
        <f>0.02+0.029</f>
        <v>4.9000000000000002E-2</v>
      </c>
      <c r="M496" s="39">
        <f t="shared" ref="M496:M501" si="235">L496/F496</f>
        <v>9.8000000000000007</v>
      </c>
      <c r="N496" s="37">
        <v>2.7</v>
      </c>
      <c r="O496" s="98"/>
    </row>
    <row r="497" spans="1:15" ht="15.75" customHeight="1" x14ac:dyDescent="0.2">
      <c r="A497" s="85"/>
      <c r="B497" s="99" t="s">
        <v>532</v>
      </c>
      <c r="C497" s="100">
        <f>DATE(94,4,27)</f>
        <v>34451</v>
      </c>
      <c r="D497" s="37">
        <v>9.3000000000000007</v>
      </c>
      <c r="E497" s="37">
        <v>7.1</v>
      </c>
      <c r="F497" s="101">
        <v>7.0000000000000001E-3</v>
      </c>
      <c r="G497" s="101">
        <f>0.019-0.008</f>
        <v>1.0999999999999999E-2</v>
      </c>
      <c r="H497" s="101">
        <v>2.3E-2</v>
      </c>
      <c r="I497" s="101">
        <f>0.011+0.023</f>
        <v>3.4000000000000002E-2</v>
      </c>
      <c r="J497" s="103">
        <f>0.13-0.01</f>
        <v>0.12000000000000001</v>
      </c>
      <c r="K497" s="103">
        <f t="shared" si="234"/>
        <v>0.10900000000000001</v>
      </c>
      <c r="L497" s="101">
        <f>J497+H497</f>
        <v>0.14300000000000002</v>
      </c>
      <c r="M497" s="39">
        <f t="shared" si="235"/>
        <v>20.428571428571431</v>
      </c>
      <c r="N497" s="37">
        <v>3</v>
      </c>
      <c r="O497" s="98"/>
    </row>
    <row r="498" spans="1:15" ht="15.75" customHeight="1" x14ac:dyDescent="0.2">
      <c r="A498" s="85"/>
      <c r="B498" s="99" t="s">
        <v>359</v>
      </c>
      <c r="C498" s="100">
        <f>DATE(94,5,19)</f>
        <v>34473</v>
      </c>
      <c r="D498" s="37">
        <v>9.1</v>
      </c>
      <c r="E498" s="37">
        <v>9</v>
      </c>
      <c r="F498" s="101">
        <v>4.0000000000000001E-3</v>
      </c>
      <c r="G498" s="104" t="s">
        <v>343</v>
      </c>
      <c r="H498" s="101">
        <v>1.4E-2</v>
      </c>
      <c r="I498" s="101">
        <f>0+0.014</f>
        <v>1.4E-2</v>
      </c>
      <c r="J498" s="102" t="s">
        <v>341</v>
      </c>
      <c r="K498" s="103">
        <f t="shared" si="234"/>
        <v>0.04</v>
      </c>
      <c r="L498" s="101">
        <f>0.04+0.014</f>
        <v>5.3999999999999999E-2</v>
      </c>
      <c r="M498" s="39">
        <f t="shared" si="235"/>
        <v>13.5</v>
      </c>
      <c r="N498" s="37">
        <v>1.3</v>
      </c>
      <c r="O498" s="98"/>
    </row>
    <row r="499" spans="1:15" ht="15.75" customHeight="1" x14ac:dyDescent="0.2">
      <c r="A499" s="85"/>
      <c r="B499" s="99" t="s">
        <v>352</v>
      </c>
      <c r="C499" s="100">
        <f t="shared" ref="C499:C500" si="236">DATE(94,6,3)</f>
        <v>34488</v>
      </c>
      <c r="D499" s="37">
        <v>10.4</v>
      </c>
      <c r="E499" s="37">
        <v>9.3000000000000007</v>
      </c>
      <c r="F499" s="101">
        <v>5.0000000000000001E-3</v>
      </c>
      <c r="G499" s="104" t="s">
        <v>343</v>
      </c>
      <c r="H499" s="101">
        <v>6.0000000000000001E-3</v>
      </c>
      <c r="I499" s="101">
        <f>0.002+0.006</f>
        <v>8.0000000000000002E-3</v>
      </c>
      <c r="J499" s="102" t="s">
        <v>341</v>
      </c>
      <c r="K499" s="103">
        <f t="shared" si="234"/>
        <v>1.8000000000000002E-2</v>
      </c>
      <c r="L499" s="101">
        <f>0.02+0.006</f>
        <v>2.6000000000000002E-2</v>
      </c>
      <c r="M499" s="39">
        <f t="shared" si="235"/>
        <v>5.2</v>
      </c>
      <c r="N499" s="106" t="s">
        <v>84</v>
      </c>
      <c r="O499" s="98"/>
    </row>
    <row r="500" spans="1:15" ht="15.75" customHeight="1" x14ac:dyDescent="0.2">
      <c r="A500" s="85"/>
      <c r="B500" s="99" t="s">
        <v>533</v>
      </c>
      <c r="C500" s="100">
        <f t="shared" si="236"/>
        <v>34488</v>
      </c>
      <c r="D500" s="106" t="s">
        <v>84</v>
      </c>
      <c r="E500" s="106" t="s">
        <v>84</v>
      </c>
      <c r="F500" s="101">
        <v>5.0000000000000001E-3</v>
      </c>
      <c r="G500" s="101">
        <f>0.013-0.008</f>
        <v>4.9999999999999992E-3</v>
      </c>
      <c r="H500" s="101">
        <v>7.0000000000000001E-3</v>
      </c>
      <c r="I500" s="101">
        <f>0.005+0.007</f>
        <v>1.2E-2</v>
      </c>
      <c r="J500" s="103">
        <f>0.08-0.01</f>
        <v>7.0000000000000007E-2</v>
      </c>
      <c r="K500" s="103">
        <f t="shared" si="234"/>
        <v>6.5000000000000016E-2</v>
      </c>
      <c r="L500" s="101">
        <f t="shared" ref="L500:L503" si="237">J500+H500</f>
        <v>7.7000000000000013E-2</v>
      </c>
      <c r="M500" s="39">
        <f t="shared" si="235"/>
        <v>15.400000000000002</v>
      </c>
      <c r="N500" s="37">
        <v>1.1000000000000001</v>
      </c>
      <c r="O500" s="98"/>
    </row>
    <row r="501" spans="1:15" ht="15.75" customHeight="1" x14ac:dyDescent="0.2">
      <c r="A501" s="85"/>
      <c r="B501" s="99" t="s">
        <v>533</v>
      </c>
      <c r="C501" s="100">
        <f>DATE(94,6,22)</f>
        <v>34507</v>
      </c>
      <c r="D501" s="37">
        <v>10.199999999999999</v>
      </c>
      <c r="E501" s="37">
        <v>9.3000000000000007</v>
      </c>
      <c r="F501" s="101">
        <v>5.0000000000000001E-3</v>
      </c>
      <c r="G501" s="104" t="s">
        <v>343</v>
      </c>
      <c r="H501" s="101">
        <v>1.7999999999999999E-2</v>
      </c>
      <c r="I501" s="101">
        <f>0+0.018</f>
        <v>1.7999999999999999E-2</v>
      </c>
      <c r="J501" s="103">
        <f>0.09-0.01</f>
        <v>0.08</v>
      </c>
      <c r="K501" s="103">
        <f t="shared" si="234"/>
        <v>0.08</v>
      </c>
      <c r="L501" s="101">
        <f t="shared" si="237"/>
        <v>9.8000000000000004E-2</v>
      </c>
      <c r="M501" s="39">
        <f t="shared" si="235"/>
        <v>19.600000000000001</v>
      </c>
      <c r="N501" s="37">
        <v>1</v>
      </c>
      <c r="O501" s="98"/>
    </row>
    <row r="502" spans="1:15" ht="15.75" customHeight="1" x14ac:dyDescent="0.2">
      <c r="A502" s="85"/>
      <c r="B502" s="99" t="s">
        <v>533</v>
      </c>
      <c r="C502" s="100">
        <f>DATE(94,7,13)</f>
        <v>34528</v>
      </c>
      <c r="D502" s="37">
        <v>10.6</v>
      </c>
      <c r="E502" s="37">
        <v>12.1</v>
      </c>
      <c r="F502" s="104" t="s">
        <v>390</v>
      </c>
      <c r="G502" s="101">
        <f>0.029-0.008</f>
        <v>2.1000000000000001E-2</v>
      </c>
      <c r="H502" s="101">
        <v>0.01</v>
      </c>
      <c r="I502" s="101">
        <f>0.021+0.01</f>
        <v>3.1E-2</v>
      </c>
      <c r="J502" s="103">
        <f>0.06-0.01</f>
        <v>4.9999999999999996E-2</v>
      </c>
      <c r="K502" s="103">
        <f t="shared" si="234"/>
        <v>2.8999999999999998E-2</v>
      </c>
      <c r="L502" s="101">
        <f t="shared" si="237"/>
        <v>0.06</v>
      </c>
      <c r="M502" s="39">
        <f>L502/0.001</f>
        <v>60</v>
      </c>
      <c r="N502" s="37">
        <v>0.4</v>
      </c>
      <c r="O502" s="98"/>
    </row>
    <row r="503" spans="1:15" ht="15.75" customHeight="1" x14ac:dyDescent="0.2">
      <c r="A503" s="85"/>
      <c r="B503" s="99" t="s">
        <v>92</v>
      </c>
      <c r="C503" s="100">
        <f>DATE(94,8,9)</f>
        <v>34555</v>
      </c>
      <c r="D503" s="37">
        <v>10.8</v>
      </c>
      <c r="E503" s="37">
        <v>11.5</v>
      </c>
      <c r="F503" s="101">
        <v>3.0000000000000001E-3</v>
      </c>
      <c r="G503" s="104" t="s">
        <v>84</v>
      </c>
      <c r="H503" s="101">
        <v>7.0000000000000001E-3</v>
      </c>
      <c r="I503" s="101">
        <v>7.0000000000000001E-3</v>
      </c>
      <c r="J503" s="103">
        <f>0.08-0.01</f>
        <v>7.0000000000000007E-2</v>
      </c>
      <c r="K503" s="103">
        <f t="shared" si="234"/>
        <v>7.0000000000000007E-2</v>
      </c>
      <c r="L503" s="101">
        <f t="shared" si="237"/>
        <v>7.7000000000000013E-2</v>
      </c>
      <c r="M503" s="39">
        <f t="shared" ref="M503:M505" si="238">L503/F503</f>
        <v>25.666666666666671</v>
      </c>
      <c r="N503" s="37">
        <f>(0.5+0.22)/2</f>
        <v>0.36</v>
      </c>
      <c r="O503" s="98"/>
    </row>
    <row r="504" spans="1:15" ht="15.75" customHeight="1" x14ac:dyDescent="0.2">
      <c r="A504" s="85"/>
      <c r="B504" s="99" t="s">
        <v>534</v>
      </c>
      <c r="C504" s="100">
        <f>DATE(94,9,8)</f>
        <v>34585</v>
      </c>
      <c r="D504" s="37">
        <v>11.4</v>
      </c>
      <c r="E504" s="37">
        <v>12.8</v>
      </c>
      <c r="F504" s="101">
        <v>5.0000000000000001E-3</v>
      </c>
      <c r="G504" s="104" t="s">
        <v>343</v>
      </c>
      <c r="H504" s="104" t="s">
        <v>343</v>
      </c>
      <c r="I504" s="101">
        <f>0.002+0.0025</f>
        <v>4.5000000000000005E-3</v>
      </c>
      <c r="J504" s="102" t="s">
        <v>341</v>
      </c>
      <c r="K504" s="103">
        <f t="shared" si="234"/>
        <v>3.8000000000000006E-2</v>
      </c>
      <c r="L504" s="101">
        <f>0.04+0.0025</f>
        <v>4.2500000000000003E-2</v>
      </c>
      <c r="M504" s="39">
        <f t="shared" si="238"/>
        <v>8.5</v>
      </c>
      <c r="N504" s="37">
        <v>0.8</v>
      </c>
      <c r="O504" s="98"/>
    </row>
    <row r="505" spans="1:15" ht="15.75" customHeight="1" x14ac:dyDescent="0.2">
      <c r="A505" s="96"/>
      <c r="B505" s="120" t="s">
        <v>417</v>
      </c>
      <c r="C505" s="121">
        <f>DATE(94,10,5)</f>
        <v>34612</v>
      </c>
      <c r="D505" s="127">
        <v>12.4</v>
      </c>
      <c r="E505" s="127">
        <v>11.1</v>
      </c>
      <c r="F505" s="123">
        <v>3.0000000000000001E-3</v>
      </c>
      <c r="G505" s="146" t="s">
        <v>343</v>
      </c>
      <c r="H505" s="146" t="s">
        <v>343</v>
      </c>
      <c r="I505" s="123">
        <v>2.5000000000000001E-3</v>
      </c>
      <c r="J505" s="125">
        <f>0.09-0.01</f>
        <v>0.08</v>
      </c>
      <c r="K505" s="125">
        <f t="shared" si="234"/>
        <v>0.08</v>
      </c>
      <c r="L505" s="123">
        <f>0.08+0.0025</f>
        <v>8.2500000000000004E-2</v>
      </c>
      <c r="M505" s="126">
        <f t="shared" si="238"/>
        <v>27.5</v>
      </c>
      <c r="N505" s="127">
        <v>0.6</v>
      </c>
      <c r="O505" s="128"/>
    </row>
    <row r="506" spans="1:15" ht="15.75" customHeight="1" x14ac:dyDescent="0.2">
      <c r="A506" s="38"/>
      <c r="B506" s="38"/>
      <c r="C506" s="36"/>
      <c r="D506" s="37"/>
      <c r="E506" s="37"/>
      <c r="F506" s="101"/>
      <c r="G506" s="101"/>
      <c r="H506" s="101"/>
      <c r="I506" s="101"/>
      <c r="J506" s="103"/>
      <c r="K506" s="103"/>
      <c r="L506" s="101"/>
      <c r="M506" s="39"/>
      <c r="N506" s="37"/>
    </row>
    <row r="507" spans="1:15" ht="15.75" customHeight="1" x14ac:dyDescent="0.2">
      <c r="A507" s="38"/>
      <c r="B507" s="38"/>
      <c r="C507" s="36"/>
      <c r="D507" s="37"/>
      <c r="E507" s="37"/>
      <c r="F507" s="101"/>
      <c r="G507" s="101"/>
      <c r="H507" s="101"/>
      <c r="I507" s="101"/>
      <c r="J507" s="103"/>
      <c r="K507" s="103"/>
      <c r="L507" s="101"/>
      <c r="M507" s="39"/>
      <c r="N507" s="37"/>
    </row>
    <row r="508" spans="1:15" ht="15.75" customHeight="1" x14ac:dyDescent="0.2">
      <c r="A508" s="164"/>
      <c r="B508" s="87"/>
      <c r="C508" s="86"/>
      <c r="D508" s="131"/>
      <c r="E508" s="131"/>
      <c r="F508" s="132"/>
      <c r="G508" s="132"/>
      <c r="H508" s="133" t="s">
        <v>319</v>
      </c>
      <c r="I508" s="132"/>
      <c r="J508" s="134"/>
      <c r="K508" s="134"/>
      <c r="L508" s="132"/>
      <c r="M508" s="135"/>
      <c r="N508" s="131"/>
      <c r="O508" s="89"/>
    </row>
    <row r="509" spans="1:15" ht="15.75" customHeight="1" x14ac:dyDescent="0.25">
      <c r="A509" s="85"/>
      <c r="B509" s="90" t="s">
        <v>320</v>
      </c>
      <c r="C509" s="91"/>
      <c r="D509" s="136" t="s">
        <v>321</v>
      </c>
      <c r="E509" s="136" t="s">
        <v>322</v>
      </c>
      <c r="F509" s="137"/>
      <c r="G509" s="138" t="s">
        <v>323</v>
      </c>
      <c r="H509" s="139" t="s">
        <v>535</v>
      </c>
      <c r="I509" s="138" t="s">
        <v>323</v>
      </c>
      <c r="J509" s="140"/>
      <c r="K509" s="141" t="s">
        <v>323</v>
      </c>
      <c r="L509" s="137"/>
      <c r="M509" s="142"/>
      <c r="N509" s="143"/>
      <c r="O509" s="95"/>
    </row>
    <row r="510" spans="1:15" ht="15.75" customHeight="1" x14ac:dyDescent="0.25">
      <c r="A510" s="85"/>
      <c r="B510" s="90" t="s">
        <v>325</v>
      </c>
      <c r="C510" s="91"/>
      <c r="D510" s="136" t="s">
        <v>52</v>
      </c>
      <c r="E510" s="136" t="s">
        <v>52</v>
      </c>
      <c r="F510" s="138" t="s">
        <v>326</v>
      </c>
      <c r="G510" s="138" t="s">
        <v>536</v>
      </c>
      <c r="H510" s="139" t="s">
        <v>537</v>
      </c>
      <c r="I510" s="138" t="s">
        <v>329</v>
      </c>
      <c r="J510" s="141" t="s">
        <v>330</v>
      </c>
      <c r="K510" s="141" t="s">
        <v>331</v>
      </c>
      <c r="L510" s="138" t="s">
        <v>332</v>
      </c>
      <c r="M510" s="142"/>
      <c r="N510" s="136" t="s">
        <v>333</v>
      </c>
      <c r="O510" s="95"/>
    </row>
    <row r="511" spans="1:15" ht="15.75" customHeight="1" x14ac:dyDescent="0.2">
      <c r="A511" s="96"/>
      <c r="B511" s="97" t="s">
        <v>334</v>
      </c>
      <c r="C511" s="165" t="s">
        <v>335</v>
      </c>
      <c r="D511" s="166" t="s">
        <v>336</v>
      </c>
      <c r="E511" s="166" t="s">
        <v>336</v>
      </c>
      <c r="F511" s="167" t="s">
        <v>337</v>
      </c>
      <c r="G511" s="167" t="s">
        <v>337</v>
      </c>
      <c r="H511" s="167" t="s">
        <v>337</v>
      </c>
      <c r="I511" s="167" t="s">
        <v>337</v>
      </c>
      <c r="J511" s="168" t="s">
        <v>337</v>
      </c>
      <c r="K511" s="168" t="s">
        <v>337</v>
      </c>
      <c r="L511" s="167" t="s">
        <v>337</v>
      </c>
      <c r="M511" s="169" t="s">
        <v>338</v>
      </c>
      <c r="N511" s="166" t="s">
        <v>339</v>
      </c>
      <c r="O511" s="160"/>
    </row>
    <row r="512" spans="1:15" ht="15.75" customHeight="1" x14ac:dyDescent="0.2">
      <c r="A512" s="85"/>
      <c r="B512" s="38"/>
      <c r="C512" s="36"/>
      <c r="D512" s="37"/>
      <c r="E512" s="37"/>
      <c r="F512" s="101"/>
      <c r="G512" s="101"/>
      <c r="H512" s="101"/>
      <c r="I512" s="101"/>
      <c r="J512" s="103"/>
      <c r="K512" s="103"/>
      <c r="L512" s="101"/>
      <c r="M512" s="39"/>
      <c r="N512" s="37"/>
      <c r="O512" s="98"/>
    </row>
    <row r="513" spans="1:15" ht="15.75" customHeight="1" x14ac:dyDescent="0.2">
      <c r="A513" s="85"/>
      <c r="B513" s="90" t="s">
        <v>538</v>
      </c>
      <c r="C513" s="36"/>
      <c r="D513" s="37"/>
      <c r="E513" s="37"/>
      <c r="F513" s="101"/>
      <c r="G513" s="101"/>
      <c r="H513" s="101"/>
      <c r="I513" s="101"/>
      <c r="J513" s="103"/>
      <c r="K513" s="103"/>
      <c r="L513" s="101"/>
      <c r="M513" s="39"/>
      <c r="N513" s="37"/>
      <c r="O513" s="98"/>
    </row>
    <row r="514" spans="1:15" ht="15.75" customHeight="1" x14ac:dyDescent="0.2">
      <c r="A514" s="85"/>
      <c r="B514" s="99" t="s">
        <v>82</v>
      </c>
      <c r="C514" s="100">
        <f>DATE(95,2,28)</f>
        <v>34758</v>
      </c>
      <c r="D514" s="37">
        <v>11.2</v>
      </c>
      <c r="E514" s="37">
        <v>10.3</v>
      </c>
      <c r="F514" s="101">
        <v>2E-3</v>
      </c>
      <c r="G514" s="104" t="s">
        <v>343</v>
      </c>
      <c r="H514" s="101">
        <v>2.5000000000000001E-2</v>
      </c>
      <c r="I514" s="101">
        <f>0+0.025</f>
        <v>2.5000000000000001E-2</v>
      </c>
      <c r="J514" s="103">
        <f>0.07-0.02</f>
        <v>0.05</v>
      </c>
      <c r="K514" s="103">
        <f t="shared" ref="K514:K523" si="239">L514-I514</f>
        <v>5.000000000000001E-2</v>
      </c>
      <c r="L514" s="101">
        <f>J514+H514</f>
        <v>7.5000000000000011E-2</v>
      </c>
      <c r="M514" s="39">
        <f t="shared" ref="M514:M515" si="240">L514/F514</f>
        <v>37.500000000000007</v>
      </c>
      <c r="N514" s="37">
        <v>1.1000000000000001</v>
      </c>
      <c r="O514" s="95"/>
    </row>
    <row r="515" spans="1:15" ht="15.75" customHeight="1" x14ac:dyDescent="0.2">
      <c r="A515" s="85"/>
      <c r="B515" s="99" t="s">
        <v>85</v>
      </c>
      <c r="C515" s="100">
        <f>DATE(95,3,23)</f>
        <v>34781</v>
      </c>
      <c r="D515" s="37">
        <v>11.7</v>
      </c>
      <c r="E515" s="37">
        <v>7</v>
      </c>
      <c r="F515" s="101">
        <v>5.0000000000000001E-3</v>
      </c>
      <c r="G515" s="101">
        <f>0.028-0.02</f>
        <v>8.0000000000000002E-3</v>
      </c>
      <c r="H515" s="101">
        <v>2.1000000000000001E-2</v>
      </c>
      <c r="I515" s="101">
        <f>G515+H515</f>
        <v>2.9000000000000001E-2</v>
      </c>
      <c r="J515" s="102" t="s">
        <v>341</v>
      </c>
      <c r="K515" s="103">
        <f t="shared" si="239"/>
        <v>3.2000000000000001E-2</v>
      </c>
      <c r="L515" s="101">
        <f>0.04+0.021</f>
        <v>6.0999999999999999E-2</v>
      </c>
      <c r="M515" s="39">
        <f t="shared" si="240"/>
        <v>12.2</v>
      </c>
      <c r="N515" s="37">
        <v>3</v>
      </c>
      <c r="O515" s="95"/>
    </row>
    <row r="516" spans="1:15" ht="15.75" customHeight="1" x14ac:dyDescent="0.2">
      <c r="A516" s="85"/>
      <c r="B516" s="99" t="s">
        <v>83</v>
      </c>
      <c r="C516" s="100">
        <f>DATE(95,4,13)</f>
        <v>34802</v>
      </c>
      <c r="D516" s="37">
        <v>10.9</v>
      </c>
      <c r="E516" s="37">
        <v>6.3</v>
      </c>
      <c r="F516" s="104" t="s">
        <v>390</v>
      </c>
      <c r="G516" s="104" t="s">
        <v>343</v>
      </c>
      <c r="H516" s="104" t="s">
        <v>343</v>
      </c>
      <c r="I516" s="101">
        <f>0.003+0.0025</f>
        <v>5.4999999999999997E-3</v>
      </c>
      <c r="J516" s="103">
        <f>0.15-0.02</f>
        <v>0.13</v>
      </c>
      <c r="K516" s="103">
        <f t="shared" si="239"/>
        <v>0.127</v>
      </c>
      <c r="L516" s="101">
        <f>0.13+0.0025</f>
        <v>0.13250000000000001</v>
      </c>
      <c r="M516" s="39">
        <f>L516/0.001</f>
        <v>132.5</v>
      </c>
      <c r="N516" s="37">
        <v>1.6</v>
      </c>
      <c r="O516" s="95"/>
    </row>
    <row r="517" spans="1:15" ht="15.75" customHeight="1" x14ac:dyDescent="0.2">
      <c r="A517" s="85"/>
      <c r="B517" s="99" t="s">
        <v>85</v>
      </c>
      <c r="C517" s="100">
        <f>DATE(95,5,4)</f>
        <v>34823</v>
      </c>
      <c r="D517" s="37">
        <v>11.4</v>
      </c>
      <c r="E517" s="37">
        <v>7.7</v>
      </c>
      <c r="F517" s="101">
        <v>4.0000000000000001E-3</v>
      </c>
      <c r="G517" s="101">
        <f>0.034-0.02</f>
        <v>1.4000000000000002E-2</v>
      </c>
      <c r="H517" s="101">
        <v>6.0000000000000001E-3</v>
      </c>
      <c r="I517" s="101">
        <f>G517+H517</f>
        <v>2.0000000000000004E-2</v>
      </c>
      <c r="J517" s="103">
        <f t="shared" ref="J517:J518" si="241">0.13-0.02</f>
        <v>0.11</v>
      </c>
      <c r="K517" s="103">
        <f t="shared" si="239"/>
        <v>9.6000000000000002E-2</v>
      </c>
      <c r="L517" s="101">
        <f t="shared" ref="L517:L518" si="242">J517+H517</f>
        <v>0.11600000000000001</v>
      </c>
      <c r="M517" s="39">
        <f t="shared" ref="M517:M523" si="243">L517/F517</f>
        <v>29</v>
      </c>
      <c r="N517" s="37">
        <v>3.8</v>
      </c>
      <c r="O517" s="95"/>
    </row>
    <row r="518" spans="1:15" ht="15.75" customHeight="1" x14ac:dyDescent="0.2">
      <c r="A518" s="85"/>
      <c r="B518" s="99" t="s">
        <v>85</v>
      </c>
      <c r="C518" s="100">
        <f>DATE(95,5,23)</f>
        <v>34842</v>
      </c>
      <c r="D518" s="37">
        <v>11.7</v>
      </c>
      <c r="E518" s="37">
        <v>6.6</v>
      </c>
      <c r="F518" s="101">
        <v>2E-3</v>
      </c>
      <c r="G518" s="104" t="s">
        <v>343</v>
      </c>
      <c r="H518" s="101">
        <v>5.0000000000000001E-3</v>
      </c>
      <c r="I518" s="101">
        <f>0+0.005</f>
        <v>5.0000000000000001E-3</v>
      </c>
      <c r="J518" s="103">
        <f t="shared" si="241"/>
        <v>0.11</v>
      </c>
      <c r="K518" s="103">
        <f t="shared" si="239"/>
        <v>0.11</v>
      </c>
      <c r="L518" s="101">
        <f t="shared" si="242"/>
        <v>0.115</v>
      </c>
      <c r="M518" s="39">
        <f t="shared" si="243"/>
        <v>57.5</v>
      </c>
      <c r="N518" s="37">
        <v>2.2000000000000002</v>
      </c>
      <c r="O518" s="95"/>
    </row>
    <row r="519" spans="1:15" ht="15.75" customHeight="1" x14ac:dyDescent="0.2">
      <c r="A519" s="85"/>
      <c r="B519" s="99" t="s">
        <v>85</v>
      </c>
      <c r="C519" s="100">
        <f>DATE(95,6,13)</f>
        <v>34863</v>
      </c>
      <c r="D519" s="37">
        <v>11.2</v>
      </c>
      <c r="E519" s="37">
        <v>5.8</v>
      </c>
      <c r="F519" s="101">
        <v>2E-3</v>
      </c>
      <c r="G519" s="104" t="s">
        <v>343</v>
      </c>
      <c r="H519" s="104" t="s">
        <v>343</v>
      </c>
      <c r="I519" s="101">
        <f>0+0.0025</f>
        <v>2.5000000000000001E-3</v>
      </c>
      <c r="J519" s="103">
        <f>0.08-0.02</f>
        <v>0.06</v>
      </c>
      <c r="K519" s="103">
        <f t="shared" si="239"/>
        <v>0.06</v>
      </c>
      <c r="L519" s="101">
        <f>0.06+0.0025</f>
        <v>6.25E-2</v>
      </c>
      <c r="M519" s="39">
        <f t="shared" si="243"/>
        <v>31.25</v>
      </c>
      <c r="N519" s="37">
        <v>1.6</v>
      </c>
      <c r="O519" s="95"/>
    </row>
    <row r="520" spans="1:15" ht="15.75" customHeight="1" x14ac:dyDescent="0.2">
      <c r="A520" s="85"/>
      <c r="B520" s="99" t="s">
        <v>85</v>
      </c>
      <c r="C520" s="100">
        <f>DATE(95,7,6)</f>
        <v>34886</v>
      </c>
      <c r="D520" s="37">
        <v>11.4</v>
      </c>
      <c r="E520" s="37">
        <v>8</v>
      </c>
      <c r="F520" s="101">
        <v>4.0000000000000001E-3</v>
      </c>
      <c r="G520" s="101">
        <f>0.035-0.03</f>
        <v>5.0000000000000044E-3</v>
      </c>
      <c r="H520" s="101">
        <v>7.0000000000000001E-3</v>
      </c>
      <c r="I520" s="101">
        <f t="shared" ref="I520:I521" si="244">G520+H520</f>
        <v>1.2000000000000004E-2</v>
      </c>
      <c r="J520" s="103">
        <f>0.1-0.03</f>
        <v>7.0000000000000007E-2</v>
      </c>
      <c r="K520" s="103">
        <f t="shared" si="239"/>
        <v>6.5000000000000002E-2</v>
      </c>
      <c r="L520" s="101">
        <f t="shared" ref="L520:L521" si="245">J520+H520</f>
        <v>7.7000000000000013E-2</v>
      </c>
      <c r="M520" s="39">
        <f t="shared" si="243"/>
        <v>19.250000000000004</v>
      </c>
      <c r="N520" s="37">
        <v>1.3</v>
      </c>
      <c r="O520" s="95"/>
    </row>
    <row r="521" spans="1:15" ht="15.75" customHeight="1" x14ac:dyDescent="0.2">
      <c r="A521" s="85"/>
      <c r="B521" s="99" t="s">
        <v>80</v>
      </c>
      <c r="C521" s="100">
        <f>DATE(95,7,27)</f>
        <v>34907</v>
      </c>
      <c r="D521" s="37">
        <v>13.4</v>
      </c>
      <c r="E521" s="37">
        <v>10</v>
      </c>
      <c r="F521" s="101">
        <v>5.0000000000000001E-3</v>
      </c>
      <c r="G521" s="101">
        <f>0.047-0.03</f>
        <v>1.7000000000000001E-2</v>
      </c>
      <c r="H521" s="101">
        <v>8.9999999999999993E-3</v>
      </c>
      <c r="I521" s="101">
        <f t="shared" si="244"/>
        <v>2.6000000000000002E-2</v>
      </c>
      <c r="J521" s="103">
        <f>0.18-0.03</f>
        <v>0.15</v>
      </c>
      <c r="K521" s="103">
        <f t="shared" si="239"/>
        <v>0.13300000000000001</v>
      </c>
      <c r="L521" s="101">
        <f t="shared" si="245"/>
        <v>0.159</v>
      </c>
      <c r="M521" s="39">
        <f t="shared" si="243"/>
        <v>31.8</v>
      </c>
      <c r="N521" s="37">
        <v>1.3</v>
      </c>
      <c r="O521" s="95"/>
    </row>
    <row r="522" spans="1:15" ht="15.75" customHeight="1" x14ac:dyDescent="0.2">
      <c r="A522" s="85"/>
      <c r="B522" s="99" t="s">
        <v>85</v>
      </c>
      <c r="C522" s="100">
        <f>DATE(95,8,22)</f>
        <v>34933</v>
      </c>
      <c r="D522" s="37">
        <v>11.5</v>
      </c>
      <c r="E522" s="37">
        <v>10.3</v>
      </c>
      <c r="F522" s="101">
        <v>2E-3</v>
      </c>
      <c r="G522" s="101">
        <f>0.04-0.024</f>
        <v>1.6E-2</v>
      </c>
      <c r="H522" s="104" t="s">
        <v>343</v>
      </c>
      <c r="I522" s="101">
        <f>0.016+0.0025</f>
        <v>1.8499999999999999E-2</v>
      </c>
      <c r="J522" s="103">
        <f>0.08-0.02</f>
        <v>0.06</v>
      </c>
      <c r="K522" s="103">
        <f t="shared" si="239"/>
        <v>4.3999999999999997E-2</v>
      </c>
      <c r="L522" s="101">
        <f>0.06+0.0025</f>
        <v>6.25E-2</v>
      </c>
      <c r="M522" s="39">
        <f t="shared" si="243"/>
        <v>31.25</v>
      </c>
      <c r="N522" s="37">
        <v>1.1000000000000001</v>
      </c>
      <c r="O522" s="95"/>
    </row>
    <row r="523" spans="1:15" ht="15.75" customHeight="1" x14ac:dyDescent="0.2">
      <c r="A523" s="85"/>
      <c r="B523" s="99" t="s">
        <v>79</v>
      </c>
      <c r="C523" s="100">
        <f>DATE(95,9,20)</f>
        <v>34962</v>
      </c>
      <c r="D523" s="37">
        <v>12.4</v>
      </c>
      <c r="E523" s="37">
        <v>12.9</v>
      </c>
      <c r="F523" s="101">
        <v>2E-3</v>
      </c>
      <c r="G523" s="101">
        <f>0.035-0.02</f>
        <v>1.5000000000000003E-2</v>
      </c>
      <c r="H523" s="101">
        <v>6.0000000000000001E-3</v>
      </c>
      <c r="I523" s="101">
        <f>G523+H523</f>
        <v>2.1000000000000005E-2</v>
      </c>
      <c r="J523" s="103">
        <f>0.07-0.02</f>
        <v>0.05</v>
      </c>
      <c r="K523" s="103">
        <f t="shared" si="239"/>
        <v>3.4999999999999996E-2</v>
      </c>
      <c r="L523" s="101">
        <f>J523+H523</f>
        <v>5.6000000000000001E-2</v>
      </c>
      <c r="M523" s="39">
        <f t="shared" si="243"/>
        <v>28</v>
      </c>
      <c r="N523" s="37">
        <v>0.74</v>
      </c>
      <c r="O523" s="95"/>
    </row>
    <row r="524" spans="1:15" ht="15.75" customHeight="1" x14ac:dyDescent="0.2">
      <c r="A524" s="85"/>
      <c r="B524" s="38"/>
      <c r="C524" s="36"/>
      <c r="D524" s="37"/>
      <c r="E524" s="37"/>
      <c r="F524" s="101"/>
      <c r="G524" s="101"/>
      <c r="H524" s="101"/>
      <c r="I524" s="101"/>
      <c r="J524" s="103"/>
      <c r="K524" s="103"/>
      <c r="L524" s="101"/>
      <c r="M524" s="39"/>
      <c r="N524" s="37"/>
      <c r="O524" s="98"/>
    </row>
    <row r="525" spans="1:15" ht="15.75" customHeight="1" x14ac:dyDescent="0.2">
      <c r="A525" s="85"/>
      <c r="B525" s="90" t="s">
        <v>539</v>
      </c>
      <c r="C525" s="38"/>
      <c r="D525" s="37"/>
      <c r="E525" s="37"/>
      <c r="F525" s="101"/>
      <c r="G525" s="101"/>
      <c r="H525" s="101"/>
      <c r="I525" s="101"/>
      <c r="J525" s="103"/>
      <c r="K525" s="103"/>
      <c r="L525" s="101"/>
      <c r="M525" s="39"/>
      <c r="N525" s="37"/>
      <c r="O525" s="98"/>
    </row>
    <row r="526" spans="1:15" ht="15.75" customHeight="1" x14ac:dyDescent="0.2">
      <c r="A526" s="85"/>
      <c r="B526" s="38"/>
      <c r="C526" s="38"/>
      <c r="D526" s="37"/>
      <c r="E526" s="37"/>
      <c r="F526" s="101"/>
      <c r="G526" s="101"/>
      <c r="H526" s="101"/>
      <c r="I526" s="101"/>
      <c r="J526" s="103"/>
      <c r="K526" s="103"/>
      <c r="L526" s="101"/>
      <c r="M526" s="39"/>
      <c r="N526" s="37"/>
      <c r="O526" s="98"/>
    </row>
    <row r="527" spans="1:15" ht="15.75" customHeight="1" x14ac:dyDescent="0.2">
      <c r="A527" s="85"/>
      <c r="B527" s="99" t="s">
        <v>540</v>
      </c>
      <c r="C527" s="100">
        <f>DATE(93,5,18)</f>
        <v>34107</v>
      </c>
      <c r="D527" s="37">
        <v>44.2</v>
      </c>
      <c r="E527" s="37">
        <v>7.5</v>
      </c>
      <c r="F527" s="101">
        <v>6.0000000000000001E-3</v>
      </c>
      <c r="G527" s="104" t="s">
        <v>84</v>
      </c>
      <c r="H527" s="104" t="s">
        <v>84</v>
      </c>
      <c r="I527" s="104" t="s">
        <v>84</v>
      </c>
      <c r="J527" s="102" t="s">
        <v>84</v>
      </c>
      <c r="K527" s="102" t="s">
        <v>84</v>
      </c>
      <c r="L527" s="104" t="s">
        <v>84</v>
      </c>
      <c r="M527" s="107" t="s">
        <v>84</v>
      </c>
      <c r="N527" s="37">
        <v>1.7</v>
      </c>
      <c r="O527" s="98"/>
    </row>
    <row r="528" spans="1:15" ht="15.75" customHeight="1" x14ac:dyDescent="0.2">
      <c r="A528" s="85"/>
      <c r="B528" s="99" t="s">
        <v>540</v>
      </c>
      <c r="C528" s="100">
        <f>DATE(93,6,16)</f>
        <v>34136</v>
      </c>
      <c r="D528" s="37">
        <v>62</v>
      </c>
      <c r="E528" s="37">
        <v>7.5</v>
      </c>
      <c r="F528" s="101">
        <v>6.0000000000000001E-3</v>
      </c>
      <c r="G528" s="101">
        <f>0.02-0.01</f>
        <v>0.01</v>
      </c>
      <c r="H528" s="104" t="s">
        <v>343</v>
      </c>
      <c r="I528" s="101">
        <f>0.01+0.0025</f>
        <v>1.2500000000000001E-2</v>
      </c>
      <c r="J528" s="103">
        <f>0.06-0.01</f>
        <v>4.9999999999999996E-2</v>
      </c>
      <c r="K528" s="103">
        <f t="shared" ref="K528:K533" si="246">L528-I528</f>
        <v>4.0000000000000008E-2</v>
      </c>
      <c r="L528" s="101">
        <f>0.05+0.0025</f>
        <v>5.2500000000000005E-2</v>
      </c>
      <c r="M528" s="39">
        <f t="shared" ref="M528:M533" si="247">L528/F528</f>
        <v>8.75</v>
      </c>
      <c r="N528" s="37">
        <v>1.4</v>
      </c>
      <c r="O528" s="98"/>
    </row>
    <row r="529" spans="1:15" ht="15.75" customHeight="1" x14ac:dyDescent="0.2">
      <c r="A529" s="85"/>
      <c r="B529" s="99" t="s">
        <v>92</v>
      </c>
      <c r="C529" s="100">
        <f>DATE(93,7,8)</f>
        <v>34158</v>
      </c>
      <c r="D529" s="37">
        <f>150*0.3048</f>
        <v>45.72</v>
      </c>
      <c r="E529" s="37">
        <v>8</v>
      </c>
      <c r="F529" s="101">
        <v>4.0000000000000001E-3</v>
      </c>
      <c r="G529" s="104" t="s">
        <v>343</v>
      </c>
      <c r="H529" s="101">
        <v>6.0000000000000001E-3</v>
      </c>
      <c r="I529" s="101">
        <v>6.0000000000000001E-3</v>
      </c>
      <c r="J529" s="102" t="s">
        <v>341</v>
      </c>
      <c r="K529" s="103">
        <f t="shared" si="246"/>
        <v>2.0000000000000004E-2</v>
      </c>
      <c r="L529" s="101">
        <f>0.02+0.006</f>
        <v>2.6000000000000002E-2</v>
      </c>
      <c r="M529" s="39">
        <f t="shared" si="247"/>
        <v>6.5</v>
      </c>
      <c r="N529" s="37">
        <v>0.49</v>
      </c>
      <c r="O529" s="98"/>
    </row>
    <row r="530" spans="1:15" ht="15.75" customHeight="1" x14ac:dyDescent="0.2">
      <c r="A530" s="85"/>
      <c r="B530" s="99" t="s">
        <v>541</v>
      </c>
      <c r="C530" s="100">
        <f>DATE(93,7,28)</f>
        <v>34178</v>
      </c>
      <c r="D530" s="37">
        <v>105</v>
      </c>
      <c r="E530" s="37">
        <v>12.5</v>
      </c>
      <c r="F530" s="101">
        <v>6.0000000000000001E-3</v>
      </c>
      <c r="G530" s="104" t="s">
        <v>343</v>
      </c>
      <c r="H530" s="104" t="s">
        <v>343</v>
      </c>
      <c r="I530" s="101">
        <v>2.5000000000000001E-3</v>
      </c>
      <c r="J530" s="102" t="s">
        <v>341</v>
      </c>
      <c r="K530" s="103">
        <f t="shared" si="246"/>
        <v>0.02</v>
      </c>
      <c r="L530" s="101">
        <f t="shared" ref="L530:L532" si="248">0.02+0.0025</f>
        <v>2.2499999999999999E-2</v>
      </c>
      <c r="M530" s="39">
        <f t="shared" si="247"/>
        <v>3.75</v>
      </c>
      <c r="N530" s="37">
        <v>0.59</v>
      </c>
      <c r="O530" s="98"/>
    </row>
    <row r="531" spans="1:15" ht="15.75" customHeight="1" x14ac:dyDescent="0.2">
      <c r="A531" s="85"/>
      <c r="B531" s="99" t="s">
        <v>92</v>
      </c>
      <c r="C531" s="100">
        <f>DATE(93,8,18)</f>
        <v>34199</v>
      </c>
      <c r="D531" s="37">
        <v>98.5</v>
      </c>
      <c r="E531" s="37">
        <v>13.9</v>
      </c>
      <c r="F531" s="101">
        <v>4.0000000000000001E-3</v>
      </c>
      <c r="G531" s="101">
        <f>0.034-0.027</f>
        <v>7.0000000000000027E-3</v>
      </c>
      <c r="H531" s="104" t="s">
        <v>343</v>
      </c>
      <c r="I531" s="101">
        <f>0.007+0.0025</f>
        <v>9.4999999999999998E-3</v>
      </c>
      <c r="J531" s="102" t="s">
        <v>341</v>
      </c>
      <c r="K531" s="103">
        <f t="shared" si="246"/>
        <v>1.2999999999999999E-2</v>
      </c>
      <c r="L531" s="101">
        <f t="shared" si="248"/>
        <v>2.2499999999999999E-2</v>
      </c>
      <c r="M531" s="39">
        <f t="shared" si="247"/>
        <v>5.625</v>
      </c>
      <c r="N531" s="37">
        <v>0.91</v>
      </c>
      <c r="O531" s="98"/>
    </row>
    <row r="532" spans="1:15" ht="15.75" customHeight="1" x14ac:dyDescent="0.2">
      <c r="A532" s="85"/>
      <c r="B532" s="99" t="s">
        <v>541</v>
      </c>
      <c r="C532" s="100">
        <f>DATE(93,9,15)</f>
        <v>34227</v>
      </c>
      <c r="D532" s="37">
        <f>345*0.3048</f>
        <v>105.15600000000001</v>
      </c>
      <c r="E532" s="37">
        <v>11</v>
      </c>
      <c r="F532" s="101">
        <v>2E-3</v>
      </c>
      <c r="G532" s="104" t="s">
        <v>343</v>
      </c>
      <c r="H532" s="104" t="s">
        <v>343</v>
      </c>
      <c r="I532" s="101">
        <f>0+0.0025</f>
        <v>2.5000000000000001E-3</v>
      </c>
      <c r="J532" s="102" t="s">
        <v>341</v>
      </c>
      <c r="K532" s="103">
        <f t="shared" si="246"/>
        <v>0.02</v>
      </c>
      <c r="L532" s="101">
        <f t="shared" si="248"/>
        <v>2.2499999999999999E-2</v>
      </c>
      <c r="M532" s="39">
        <f t="shared" si="247"/>
        <v>11.25</v>
      </c>
      <c r="N532" s="37">
        <v>0.8</v>
      </c>
      <c r="O532" s="98"/>
    </row>
    <row r="533" spans="1:15" ht="15.75" customHeight="1" x14ac:dyDescent="0.2">
      <c r="A533" s="85"/>
      <c r="B533" s="99" t="s">
        <v>93</v>
      </c>
      <c r="C533" s="100">
        <f>DATE(93,10,13)</f>
        <v>34255</v>
      </c>
      <c r="D533" s="37">
        <v>104</v>
      </c>
      <c r="E533" s="37">
        <v>13.4</v>
      </c>
      <c r="F533" s="101">
        <v>4.0000000000000001E-3</v>
      </c>
      <c r="G533" s="104" t="s">
        <v>343</v>
      </c>
      <c r="H533" s="101">
        <v>5.0000000000000001E-3</v>
      </c>
      <c r="I533" s="101">
        <f>0.003+0.005</f>
        <v>8.0000000000000002E-3</v>
      </c>
      <c r="J533" s="102" t="s">
        <v>341</v>
      </c>
      <c r="K533" s="103">
        <f t="shared" si="246"/>
        <v>1.7000000000000001E-2</v>
      </c>
      <c r="L533" s="101">
        <f>0.02+0.005</f>
        <v>2.5000000000000001E-2</v>
      </c>
      <c r="M533" s="39">
        <f t="shared" si="247"/>
        <v>6.25</v>
      </c>
      <c r="N533" s="37">
        <v>0.6</v>
      </c>
      <c r="O533" s="98"/>
    </row>
    <row r="534" spans="1:15" ht="15.75" customHeight="1" x14ac:dyDescent="0.2">
      <c r="A534" s="85"/>
      <c r="B534" s="38"/>
      <c r="C534" s="36"/>
      <c r="D534" s="37"/>
      <c r="E534" s="37"/>
      <c r="F534" s="101"/>
      <c r="G534" s="101"/>
      <c r="H534" s="101"/>
      <c r="I534" s="101"/>
      <c r="J534" s="103"/>
      <c r="K534" s="103"/>
      <c r="L534" s="101"/>
      <c r="M534" s="39"/>
      <c r="N534" s="37"/>
      <c r="O534" s="98"/>
    </row>
    <row r="535" spans="1:15" ht="15.75" customHeight="1" x14ac:dyDescent="0.2">
      <c r="A535" s="85"/>
      <c r="B535" s="99" t="s">
        <v>542</v>
      </c>
      <c r="C535" s="100">
        <f>DATE(94,3,30)</f>
        <v>34423</v>
      </c>
      <c r="D535" s="37">
        <v>85</v>
      </c>
      <c r="E535" s="37">
        <v>12.4</v>
      </c>
      <c r="F535" s="101">
        <v>5.0000000000000001E-3</v>
      </c>
      <c r="G535" s="104" t="s">
        <v>343</v>
      </c>
      <c r="H535" s="101">
        <v>3.4000000000000002E-2</v>
      </c>
      <c r="I535" s="101">
        <f>0.004+0.034</f>
        <v>3.8000000000000006E-2</v>
      </c>
      <c r="J535" s="102" t="s">
        <v>341</v>
      </c>
      <c r="K535" s="103">
        <f t="shared" ref="K535:K543" si="249">L535-I535</f>
        <v>1.6E-2</v>
      </c>
      <c r="L535" s="101">
        <f>0.02+0.034</f>
        <v>5.4000000000000006E-2</v>
      </c>
      <c r="M535" s="39">
        <f t="shared" ref="M535:M542" si="250">L535/F535</f>
        <v>10.8</v>
      </c>
      <c r="N535" s="37">
        <v>1.7</v>
      </c>
      <c r="O535" s="98"/>
    </row>
    <row r="536" spans="1:15" ht="15.75" customHeight="1" x14ac:dyDescent="0.2">
      <c r="A536" s="85"/>
      <c r="B536" s="99" t="s">
        <v>367</v>
      </c>
      <c r="C536" s="100">
        <f>DATE(94,4,27)</f>
        <v>34451</v>
      </c>
      <c r="D536" s="37">
        <v>98</v>
      </c>
      <c r="E536" s="37">
        <v>9</v>
      </c>
      <c r="F536" s="101">
        <v>6.0000000000000001E-3</v>
      </c>
      <c r="G536" s="101">
        <f>0.015-0.008</f>
        <v>6.9999999999999993E-3</v>
      </c>
      <c r="H536" s="101">
        <v>0.02</v>
      </c>
      <c r="I536" s="101">
        <f>0.007+0.02</f>
        <v>2.7E-2</v>
      </c>
      <c r="J536" s="102" t="s">
        <v>341</v>
      </c>
      <c r="K536" s="103">
        <f t="shared" si="249"/>
        <v>3.3000000000000002E-2</v>
      </c>
      <c r="L536" s="101">
        <f>0.04+0.02</f>
        <v>0.06</v>
      </c>
      <c r="M536" s="39">
        <f t="shared" si="250"/>
        <v>10</v>
      </c>
      <c r="N536" s="37">
        <v>2.4</v>
      </c>
      <c r="O536" s="98"/>
    </row>
    <row r="537" spans="1:15" ht="15.75" customHeight="1" x14ac:dyDescent="0.2">
      <c r="A537" s="85"/>
      <c r="B537" s="99" t="s">
        <v>431</v>
      </c>
      <c r="C537" s="100">
        <f>DATE(94,5,19)</f>
        <v>34473</v>
      </c>
      <c r="D537" s="37">
        <v>78</v>
      </c>
      <c r="E537" s="37">
        <v>8.3000000000000007</v>
      </c>
      <c r="F537" s="101">
        <v>4.0000000000000001E-3</v>
      </c>
      <c r="G537" s="104" t="s">
        <v>343</v>
      </c>
      <c r="H537" s="101">
        <v>1.4E-2</v>
      </c>
      <c r="I537" s="101">
        <f>0+0.014</f>
        <v>1.4E-2</v>
      </c>
      <c r="J537" s="103">
        <f>0.08-0.01</f>
        <v>7.0000000000000007E-2</v>
      </c>
      <c r="K537" s="103">
        <f t="shared" si="249"/>
        <v>7.0000000000000007E-2</v>
      </c>
      <c r="L537" s="101">
        <f>J537+H537</f>
        <v>8.4000000000000005E-2</v>
      </c>
      <c r="M537" s="39">
        <f t="shared" si="250"/>
        <v>21</v>
      </c>
      <c r="N537" s="37">
        <v>2</v>
      </c>
      <c r="O537" s="98"/>
    </row>
    <row r="538" spans="1:15" ht="15.75" customHeight="1" x14ac:dyDescent="0.2">
      <c r="A538" s="85"/>
      <c r="B538" s="99" t="s">
        <v>367</v>
      </c>
      <c r="C538" s="100">
        <f>DATE(94,6,3)</f>
        <v>34488</v>
      </c>
      <c r="D538" s="37">
        <v>91.4</v>
      </c>
      <c r="E538" s="37">
        <v>8.9</v>
      </c>
      <c r="F538" s="101">
        <v>5.0000000000000001E-3</v>
      </c>
      <c r="G538" s="101">
        <f>0.024-0.008</f>
        <v>1.6E-2</v>
      </c>
      <c r="H538" s="101">
        <v>1.4999999999999999E-2</v>
      </c>
      <c r="I538" s="101">
        <f>0.016+0.015</f>
        <v>3.1E-2</v>
      </c>
      <c r="J538" s="102" t="s">
        <v>341</v>
      </c>
      <c r="K538" s="103">
        <f t="shared" si="249"/>
        <v>4.0000000000000036E-3</v>
      </c>
      <c r="L538" s="101">
        <f>0.02+0.015</f>
        <v>3.5000000000000003E-2</v>
      </c>
      <c r="M538" s="39">
        <f t="shared" si="250"/>
        <v>7.0000000000000009</v>
      </c>
      <c r="N538" s="37">
        <v>1.6</v>
      </c>
      <c r="O538" s="98"/>
    </row>
    <row r="539" spans="1:15" ht="15.75" customHeight="1" x14ac:dyDescent="0.2">
      <c r="A539" s="108"/>
      <c r="B539" s="109" t="s">
        <v>543</v>
      </c>
      <c r="C539" s="110">
        <f>DATE(94,6,22)</f>
        <v>34507</v>
      </c>
      <c r="D539" s="117">
        <v>83.6</v>
      </c>
      <c r="E539" s="117">
        <v>9.6</v>
      </c>
      <c r="F539" s="112">
        <v>5.0000000000000001E-3</v>
      </c>
      <c r="G539" s="112">
        <f>0.017-0.008</f>
        <v>9.0000000000000011E-3</v>
      </c>
      <c r="H539" s="112">
        <v>1.4999999999999999E-2</v>
      </c>
      <c r="I539" s="112">
        <f>0.009+0.015</f>
        <v>2.4E-2</v>
      </c>
      <c r="J539" s="113">
        <f>0.24-0.01</f>
        <v>0.22999999999999998</v>
      </c>
      <c r="K539" s="113">
        <f t="shared" si="249"/>
        <v>0.221</v>
      </c>
      <c r="L539" s="112">
        <f>J539+H539</f>
        <v>0.245</v>
      </c>
      <c r="M539" s="119">
        <f t="shared" si="250"/>
        <v>49</v>
      </c>
      <c r="N539" s="117">
        <v>1.5</v>
      </c>
      <c r="O539" s="115"/>
    </row>
    <row r="540" spans="1:15" ht="15.75" customHeight="1" x14ac:dyDescent="0.2">
      <c r="A540" s="85" t="s">
        <v>354</v>
      </c>
      <c r="B540" s="99" t="s">
        <v>92</v>
      </c>
      <c r="C540" s="100">
        <f t="shared" ref="C540:C541" si="251">DATE(94,7,12)</f>
        <v>34527</v>
      </c>
      <c r="D540" s="37">
        <v>81.400000000000006</v>
      </c>
      <c r="E540" s="37">
        <v>12.2</v>
      </c>
      <c r="F540" s="101">
        <v>3.0000000000000001E-3</v>
      </c>
      <c r="G540" s="104" t="s">
        <v>84</v>
      </c>
      <c r="H540" s="101">
        <v>6.0000000000000001E-3</v>
      </c>
      <c r="I540" s="101">
        <v>6.0000000000000001E-3</v>
      </c>
      <c r="J540" s="102" t="s">
        <v>341</v>
      </c>
      <c r="K540" s="103">
        <f t="shared" si="249"/>
        <v>2.0000000000000004E-2</v>
      </c>
      <c r="L540" s="101">
        <f>0.02+0.006</f>
        <v>2.6000000000000002E-2</v>
      </c>
      <c r="M540" s="39">
        <f t="shared" si="250"/>
        <v>8.6666666666666679</v>
      </c>
      <c r="N540" s="37">
        <v>0.5</v>
      </c>
      <c r="O540" s="98"/>
    </row>
    <row r="541" spans="1:15" ht="15.75" customHeight="1" x14ac:dyDescent="0.2">
      <c r="A541" s="85" t="s">
        <v>354</v>
      </c>
      <c r="B541" s="109" t="s">
        <v>544</v>
      </c>
      <c r="C541" s="110">
        <f t="shared" si="251"/>
        <v>34527</v>
      </c>
      <c r="D541" s="111" t="s">
        <v>84</v>
      </c>
      <c r="E541" s="111" t="s">
        <v>84</v>
      </c>
      <c r="F541" s="112">
        <v>4.0000000000000001E-3</v>
      </c>
      <c r="G541" s="116" t="s">
        <v>84</v>
      </c>
      <c r="H541" s="112">
        <v>1.9E-2</v>
      </c>
      <c r="I541" s="112">
        <v>1.9E-2</v>
      </c>
      <c r="J541" s="118" t="s">
        <v>341</v>
      </c>
      <c r="K541" s="113">
        <f t="shared" si="249"/>
        <v>0.02</v>
      </c>
      <c r="L541" s="112">
        <f>0.02+0.019</f>
        <v>3.9E-2</v>
      </c>
      <c r="M541" s="119">
        <f t="shared" si="250"/>
        <v>9.75</v>
      </c>
      <c r="N541" s="117">
        <v>1.9</v>
      </c>
      <c r="O541" s="115"/>
    </row>
    <row r="542" spans="1:15" ht="15.75" customHeight="1" x14ac:dyDescent="0.2">
      <c r="A542" s="85"/>
      <c r="B542" s="99" t="s">
        <v>545</v>
      </c>
      <c r="C542" s="100">
        <f t="shared" ref="C542:C543" si="252">DATE(94,8,9)</f>
        <v>34555</v>
      </c>
      <c r="D542" s="37">
        <v>90.9</v>
      </c>
      <c r="E542" s="37">
        <v>11.5</v>
      </c>
      <c r="F542" s="101">
        <v>4.0000000000000001E-3</v>
      </c>
      <c r="G542" s="104" t="s">
        <v>84</v>
      </c>
      <c r="H542" s="101">
        <v>0.01</v>
      </c>
      <c r="I542" s="101">
        <v>0.01</v>
      </c>
      <c r="J542" s="102" t="s">
        <v>341</v>
      </c>
      <c r="K542" s="103">
        <f t="shared" si="249"/>
        <v>1.9999999999999997E-2</v>
      </c>
      <c r="L542" s="101">
        <f>0.02+0.01</f>
        <v>0.03</v>
      </c>
      <c r="M542" s="39">
        <f t="shared" si="250"/>
        <v>7.5</v>
      </c>
      <c r="N542" s="37">
        <v>1</v>
      </c>
      <c r="O542" s="98"/>
    </row>
    <row r="543" spans="1:15" ht="15.75" customHeight="1" x14ac:dyDescent="0.2">
      <c r="A543" s="85"/>
      <c r="B543" s="99" t="s">
        <v>546</v>
      </c>
      <c r="C543" s="100">
        <f t="shared" si="252"/>
        <v>34555</v>
      </c>
      <c r="D543" s="106" t="s">
        <v>84</v>
      </c>
      <c r="E543" s="106" t="s">
        <v>84</v>
      </c>
      <c r="F543" s="101">
        <v>4.0000000000000001E-3</v>
      </c>
      <c r="G543" s="104" t="s">
        <v>343</v>
      </c>
      <c r="H543" s="101">
        <v>4.4999999999999998E-2</v>
      </c>
      <c r="I543" s="101">
        <f>0.002+0.045</f>
        <v>4.7E-2</v>
      </c>
      <c r="J543" s="102" t="s">
        <v>341</v>
      </c>
      <c r="K543" s="103">
        <f t="shared" si="249"/>
        <v>1.8000000000000002E-2</v>
      </c>
      <c r="L543" s="101">
        <f>0.02+0.045</f>
        <v>6.5000000000000002E-2</v>
      </c>
      <c r="M543" s="107" t="s">
        <v>84</v>
      </c>
      <c r="N543" s="106" t="s">
        <v>84</v>
      </c>
      <c r="O543" s="98"/>
    </row>
    <row r="544" spans="1:15" ht="15.75" customHeight="1" x14ac:dyDescent="0.2">
      <c r="A544" s="96"/>
      <c r="B544" s="157"/>
      <c r="C544" s="157"/>
      <c r="D544" s="158"/>
      <c r="E544" s="158"/>
      <c r="F544" s="159"/>
      <c r="G544" s="159"/>
      <c r="H544" s="159"/>
      <c r="I544" s="159"/>
      <c r="J544" s="179"/>
      <c r="K544" s="179"/>
      <c r="L544" s="159"/>
      <c r="M544" s="180"/>
      <c r="N544" s="158"/>
      <c r="O544" s="128"/>
    </row>
    <row r="545" spans="1:15" ht="15.75" customHeight="1" x14ac:dyDescent="0.2">
      <c r="A545" s="38"/>
      <c r="D545" s="13"/>
      <c r="E545" s="13"/>
      <c r="F545" s="153"/>
      <c r="G545" s="153"/>
      <c r="H545" s="153"/>
      <c r="I545" s="153"/>
      <c r="J545" s="14"/>
      <c r="K545" s="14"/>
      <c r="L545" s="153"/>
      <c r="M545" s="33"/>
      <c r="N545" s="13"/>
    </row>
    <row r="546" spans="1:15" ht="15.75" customHeight="1" x14ac:dyDescent="0.2">
      <c r="A546" s="38"/>
      <c r="D546" s="13"/>
      <c r="E546" s="13"/>
      <c r="F546" s="153"/>
      <c r="G546" s="153"/>
      <c r="H546" s="153"/>
      <c r="I546" s="153"/>
      <c r="J546" s="14"/>
      <c r="K546" s="14"/>
      <c r="L546" s="153"/>
      <c r="M546" s="33"/>
      <c r="N546" s="13"/>
    </row>
    <row r="547" spans="1:15" ht="15.75" customHeight="1" x14ac:dyDescent="0.2">
      <c r="A547" s="164"/>
      <c r="B547" s="87"/>
      <c r="C547" s="86"/>
      <c r="D547" s="131"/>
      <c r="E547" s="131"/>
      <c r="F547" s="132"/>
      <c r="G547" s="132"/>
      <c r="H547" s="133" t="s">
        <v>319</v>
      </c>
      <c r="I547" s="132"/>
      <c r="J547" s="134"/>
      <c r="K547" s="134"/>
      <c r="L547" s="132"/>
      <c r="M547" s="135"/>
      <c r="N547" s="131"/>
      <c r="O547" s="89"/>
    </row>
    <row r="548" spans="1:15" ht="15.75" customHeight="1" x14ac:dyDescent="0.25">
      <c r="A548" s="85"/>
      <c r="B548" s="90" t="s">
        <v>320</v>
      </c>
      <c r="C548" s="91"/>
      <c r="D548" s="136" t="s">
        <v>321</v>
      </c>
      <c r="E548" s="136" t="s">
        <v>322</v>
      </c>
      <c r="F548" s="137"/>
      <c r="G548" s="138" t="s">
        <v>323</v>
      </c>
      <c r="H548" s="139" t="s">
        <v>547</v>
      </c>
      <c r="I548" s="138" t="s">
        <v>323</v>
      </c>
      <c r="J548" s="140"/>
      <c r="K548" s="141" t="s">
        <v>323</v>
      </c>
      <c r="L548" s="137"/>
      <c r="M548" s="142"/>
      <c r="N548" s="143"/>
      <c r="O548" s="95"/>
    </row>
    <row r="549" spans="1:15" ht="15.75" customHeight="1" x14ac:dyDescent="0.25">
      <c r="A549" s="85"/>
      <c r="B549" s="90" t="s">
        <v>325</v>
      </c>
      <c r="C549" s="91"/>
      <c r="D549" s="136" t="s">
        <v>52</v>
      </c>
      <c r="E549" s="136" t="s">
        <v>52</v>
      </c>
      <c r="F549" s="138" t="s">
        <v>326</v>
      </c>
      <c r="G549" s="138" t="s">
        <v>548</v>
      </c>
      <c r="H549" s="139" t="s">
        <v>549</v>
      </c>
      <c r="I549" s="138" t="s">
        <v>329</v>
      </c>
      <c r="J549" s="141" t="s">
        <v>330</v>
      </c>
      <c r="K549" s="141" t="s">
        <v>331</v>
      </c>
      <c r="L549" s="138" t="s">
        <v>332</v>
      </c>
      <c r="M549" s="142"/>
      <c r="N549" s="136" t="s">
        <v>333</v>
      </c>
      <c r="O549" s="95"/>
    </row>
    <row r="550" spans="1:15" ht="15.75" customHeight="1" x14ac:dyDescent="0.2">
      <c r="A550" s="96"/>
      <c r="B550" s="97" t="s">
        <v>334</v>
      </c>
      <c r="C550" s="165" t="s">
        <v>335</v>
      </c>
      <c r="D550" s="166" t="s">
        <v>336</v>
      </c>
      <c r="E550" s="166" t="s">
        <v>336</v>
      </c>
      <c r="F550" s="167" t="s">
        <v>337</v>
      </c>
      <c r="G550" s="167" t="s">
        <v>337</v>
      </c>
      <c r="H550" s="167" t="s">
        <v>337</v>
      </c>
      <c r="I550" s="167" t="s">
        <v>337</v>
      </c>
      <c r="J550" s="168" t="s">
        <v>337</v>
      </c>
      <c r="K550" s="168" t="s">
        <v>337</v>
      </c>
      <c r="L550" s="167" t="s">
        <v>337</v>
      </c>
      <c r="M550" s="169" t="s">
        <v>338</v>
      </c>
      <c r="N550" s="166" t="s">
        <v>339</v>
      </c>
      <c r="O550" s="160"/>
    </row>
    <row r="551" spans="1:15" ht="15.75" customHeight="1" x14ac:dyDescent="0.2">
      <c r="A551" s="85"/>
      <c r="B551" s="38"/>
      <c r="C551" s="36"/>
      <c r="D551" s="37"/>
      <c r="E551" s="37"/>
      <c r="F551" s="101"/>
      <c r="G551" s="101"/>
      <c r="H551" s="101"/>
      <c r="I551" s="101"/>
      <c r="J551" s="103"/>
      <c r="K551" s="103"/>
      <c r="L551" s="101"/>
      <c r="M551" s="39"/>
      <c r="N551" s="37"/>
      <c r="O551" s="98"/>
    </row>
    <row r="552" spans="1:15" ht="15.75" customHeight="1" x14ac:dyDescent="0.2">
      <c r="A552" s="85"/>
      <c r="B552" s="90" t="s">
        <v>550</v>
      </c>
      <c r="C552" s="36"/>
      <c r="D552" s="37"/>
      <c r="E552" s="37"/>
      <c r="F552" s="101"/>
      <c r="G552" s="101"/>
      <c r="H552" s="101"/>
      <c r="I552" s="101"/>
      <c r="J552" s="103"/>
      <c r="K552" s="103"/>
      <c r="L552" s="101"/>
      <c r="M552" s="39"/>
      <c r="N552" s="37"/>
      <c r="O552" s="98"/>
    </row>
    <row r="553" spans="1:15" ht="15.75" customHeight="1" x14ac:dyDescent="0.2">
      <c r="A553" s="85" t="s">
        <v>354</v>
      </c>
      <c r="B553" s="99" t="s">
        <v>347</v>
      </c>
      <c r="C553" s="100">
        <f t="shared" ref="C553:C555" si="253">DATE(94,9,8)</f>
        <v>34585</v>
      </c>
      <c r="D553" s="37">
        <v>92</v>
      </c>
      <c r="E553" s="37">
        <v>12.2</v>
      </c>
      <c r="F553" s="101">
        <v>7.0000000000000001E-3</v>
      </c>
      <c r="G553" s="104" t="s">
        <v>343</v>
      </c>
      <c r="H553" s="104" t="s">
        <v>343</v>
      </c>
      <c r="I553" s="101">
        <f>0.004+0.0025</f>
        <v>6.5000000000000006E-3</v>
      </c>
      <c r="J553" s="103">
        <f>0.07-0.01</f>
        <v>6.0000000000000005E-2</v>
      </c>
      <c r="K553" s="103">
        <f t="shared" ref="K553:K555" si="254">L553-I553</f>
        <v>5.6000000000000001E-2</v>
      </c>
      <c r="L553" s="101">
        <f>0.06+0.0025</f>
        <v>6.25E-2</v>
      </c>
      <c r="M553" s="39">
        <f t="shared" ref="M553:M555" si="255">L553/F553</f>
        <v>8.9285714285714288</v>
      </c>
      <c r="N553" s="37">
        <v>1.2</v>
      </c>
      <c r="O553" s="98"/>
    </row>
    <row r="554" spans="1:15" ht="15.75" customHeight="1" x14ac:dyDescent="0.2">
      <c r="A554" s="85" t="s">
        <v>354</v>
      </c>
      <c r="B554" s="99" t="s">
        <v>551</v>
      </c>
      <c r="C554" s="100">
        <f t="shared" si="253"/>
        <v>34585</v>
      </c>
      <c r="D554" s="106" t="s">
        <v>84</v>
      </c>
      <c r="E554" s="106" t="s">
        <v>84</v>
      </c>
      <c r="F554" s="101">
        <v>7.0000000000000001E-3</v>
      </c>
      <c r="G554" s="104" t="s">
        <v>343</v>
      </c>
      <c r="H554" s="101">
        <v>7.0000000000000001E-3</v>
      </c>
      <c r="I554" s="101">
        <f>0.002+0.007</f>
        <v>9.0000000000000011E-3</v>
      </c>
      <c r="J554" s="103">
        <f>0.06-0.01</f>
        <v>4.9999999999999996E-2</v>
      </c>
      <c r="K554" s="103">
        <f t="shared" si="254"/>
        <v>4.7999999999999994E-2</v>
      </c>
      <c r="L554" s="101">
        <f>J554+H554</f>
        <v>5.6999999999999995E-2</v>
      </c>
      <c r="M554" s="39">
        <f t="shared" si="255"/>
        <v>8.1428571428571423</v>
      </c>
      <c r="N554" s="106" t="s">
        <v>492</v>
      </c>
      <c r="O554" s="98"/>
    </row>
    <row r="555" spans="1:15" ht="15.75" customHeight="1" x14ac:dyDescent="0.2">
      <c r="A555" s="85" t="s">
        <v>354</v>
      </c>
      <c r="B555" s="109" t="s">
        <v>552</v>
      </c>
      <c r="C555" s="110">
        <f t="shared" si="253"/>
        <v>34585</v>
      </c>
      <c r="D555" s="111" t="s">
        <v>84</v>
      </c>
      <c r="E555" s="111" t="s">
        <v>84</v>
      </c>
      <c r="F555" s="112">
        <v>8.0000000000000002E-3</v>
      </c>
      <c r="G555" s="116" t="s">
        <v>343</v>
      </c>
      <c r="H555" s="112">
        <v>1.2999999999999999E-2</v>
      </c>
      <c r="I555" s="112">
        <f>0.001+0.013</f>
        <v>1.3999999999999999E-2</v>
      </c>
      <c r="J555" s="118" t="s">
        <v>341</v>
      </c>
      <c r="K555" s="113">
        <f t="shared" si="254"/>
        <v>1.9000000000000003E-2</v>
      </c>
      <c r="L555" s="112">
        <f>0.02+0.013</f>
        <v>3.3000000000000002E-2</v>
      </c>
      <c r="M555" s="119">
        <f t="shared" si="255"/>
        <v>4.125</v>
      </c>
      <c r="N555" s="117">
        <v>1.7</v>
      </c>
      <c r="O555" s="115"/>
    </row>
    <row r="556" spans="1:15" ht="15.75" customHeight="1" x14ac:dyDescent="0.2">
      <c r="A556" s="85" t="s">
        <v>354</v>
      </c>
      <c r="B556" s="99" t="s">
        <v>94</v>
      </c>
      <c r="C556" s="100">
        <f t="shared" ref="C556:C559" si="256">DATE(94,10,5)</f>
        <v>34612</v>
      </c>
      <c r="D556" s="37">
        <v>95.5</v>
      </c>
      <c r="E556" s="37">
        <v>11.2</v>
      </c>
      <c r="F556" s="104" t="s">
        <v>84</v>
      </c>
      <c r="G556" s="104" t="s">
        <v>84</v>
      </c>
      <c r="H556" s="104" t="s">
        <v>84</v>
      </c>
      <c r="I556" s="104" t="s">
        <v>84</v>
      </c>
      <c r="J556" s="102" t="s">
        <v>84</v>
      </c>
      <c r="K556" s="102" t="s">
        <v>84</v>
      </c>
      <c r="L556" s="104" t="s">
        <v>84</v>
      </c>
      <c r="M556" s="107" t="s">
        <v>84</v>
      </c>
      <c r="N556" s="37">
        <v>0.6</v>
      </c>
      <c r="O556" s="98"/>
    </row>
    <row r="557" spans="1:15" ht="15.75" customHeight="1" x14ac:dyDescent="0.2">
      <c r="A557" s="85" t="s">
        <v>354</v>
      </c>
      <c r="B557" s="99" t="s">
        <v>361</v>
      </c>
      <c r="C557" s="100">
        <f t="shared" si="256"/>
        <v>34612</v>
      </c>
      <c r="D557" s="106" t="s">
        <v>84</v>
      </c>
      <c r="E557" s="106" t="s">
        <v>84</v>
      </c>
      <c r="F557" s="104" t="s">
        <v>84</v>
      </c>
      <c r="G557" s="104" t="s">
        <v>84</v>
      </c>
      <c r="H557" s="104" t="s">
        <v>84</v>
      </c>
      <c r="I557" s="104" t="s">
        <v>84</v>
      </c>
      <c r="J557" s="102" t="s">
        <v>84</v>
      </c>
      <c r="K557" s="102" t="s">
        <v>84</v>
      </c>
      <c r="L557" s="104" t="s">
        <v>84</v>
      </c>
      <c r="M557" s="107" t="s">
        <v>84</v>
      </c>
      <c r="N557" s="37">
        <v>1.1000000000000001</v>
      </c>
      <c r="O557" s="98"/>
    </row>
    <row r="558" spans="1:15" ht="15.75" customHeight="1" x14ac:dyDescent="0.2">
      <c r="A558" s="85"/>
      <c r="B558" s="99" t="s">
        <v>428</v>
      </c>
      <c r="C558" s="100">
        <f t="shared" si="256"/>
        <v>34612</v>
      </c>
      <c r="D558" s="106" t="s">
        <v>84</v>
      </c>
      <c r="E558" s="106" t="s">
        <v>84</v>
      </c>
      <c r="F558" s="101">
        <v>3.0000000000000001E-3</v>
      </c>
      <c r="G558" s="104" t="s">
        <v>84</v>
      </c>
      <c r="H558" s="101">
        <v>0.01</v>
      </c>
      <c r="I558" s="101">
        <v>0.01</v>
      </c>
      <c r="J558" s="103">
        <f>0.11-0.01</f>
        <v>0.1</v>
      </c>
      <c r="K558" s="103">
        <f t="shared" ref="K558:K559" si="257">L558-I558</f>
        <v>0.1</v>
      </c>
      <c r="L558" s="101">
        <f t="shared" ref="L558:L559" si="258">J558+H558</f>
        <v>0.11</v>
      </c>
      <c r="M558" s="39">
        <f t="shared" ref="M558:M559" si="259">L558/F558</f>
        <v>36.666666666666664</v>
      </c>
      <c r="N558" s="106" t="s">
        <v>84</v>
      </c>
      <c r="O558" s="98"/>
    </row>
    <row r="559" spans="1:15" ht="15.75" customHeight="1" x14ac:dyDescent="0.2">
      <c r="A559" s="108"/>
      <c r="B559" s="109" t="s">
        <v>546</v>
      </c>
      <c r="C559" s="110">
        <f t="shared" si="256"/>
        <v>34612</v>
      </c>
      <c r="D559" s="111" t="s">
        <v>84</v>
      </c>
      <c r="E559" s="111" t="s">
        <v>84</v>
      </c>
      <c r="F559" s="112">
        <v>4.0000000000000001E-3</v>
      </c>
      <c r="G559" s="116" t="s">
        <v>84</v>
      </c>
      <c r="H559" s="112">
        <v>5.5E-2</v>
      </c>
      <c r="I559" s="112">
        <v>5.5E-2</v>
      </c>
      <c r="J559" s="113">
        <f>0.08-0.01</f>
        <v>7.0000000000000007E-2</v>
      </c>
      <c r="K559" s="113">
        <f t="shared" si="257"/>
        <v>7.0000000000000007E-2</v>
      </c>
      <c r="L559" s="112">
        <f t="shared" si="258"/>
        <v>0.125</v>
      </c>
      <c r="M559" s="119">
        <f t="shared" si="259"/>
        <v>31.25</v>
      </c>
      <c r="N559" s="111" t="s">
        <v>84</v>
      </c>
      <c r="O559" s="115"/>
    </row>
    <row r="560" spans="1:15" ht="15.75" customHeight="1" x14ac:dyDescent="0.2">
      <c r="A560" s="85"/>
      <c r="B560" s="38"/>
      <c r="C560" s="38"/>
      <c r="D560" s="37"/>
      <c r="E560" s="37"/>
      <c r="F560" s="101"/>
      <c r="G560" s="101"/>
      <c r="H560" s="101"/>
      <c r="I560" s="101"/>
      <c r="J560" s="103"/>
      <c r="K560" s="103"/>
      <c r="L560" s="101"/>
      <c r="M560" s="39"/>
      <c r="N560" s="37"/>
      <c r="O560" s="95"/>
    </row>
    <row r="561" spans="1:15" ht="15.75" customHeight="1" x14ac:dyDescent="0.2">
      <c r="A561" s="85"/>
      <c r="B561" s="99" t="s">
        <v>553</v>
      </c>
      <c r="C561" s="100">
        <f t="shared" ref="C561:C564" si="260">DATE(95,2,27)</f>
        <v>34757</v>
      </c>
      <c r="D561" s="37">
        <f>297*0.3048</f>
        <v>90.525600000000011</v>
      </c>
      <c r="E561" s="37">
        <v>13</v>
      </c>
      <c r="F561" s="101">
        <v>3.0000000000000001E-3</v>
      </c>
      <c r="G561" s="101">
        <f>0.028-0.021</f>
        <v>6.9999999999999993E-3</v>
      </c>
      <c r="H561" s="101">
        <v>0.03</v>
      </c>
      <c r="I561" s="101">
        <f>G561+H561</f>
        <v>3.6999999999999998E-2</v>
      </c>
      <c r="J561" s="102" t="s">
        <v>341</v>
      </c>
      <c r="K561" s="103">
        <f>L561-I561</f>
        <v>1.3000000000000005E-2</v>
      </c>
      <c r="L561" s="101">
        <f>0.02+0.03</f>
        <v>0.05</v>
      </c>
      <c r="M561" s="39">
        <f>L561/F561</f>
        <v>16.666666666666668</v>
      </c>
      <c r="N561" s="106" t="s">
        <v>84</v>
      </c>
      <c r="O561" s="95"/>
    </row>
    <row r="562" spans="1:15" ht="15.75" customHeight="1" x14ac:dyDescent="0.2">
      <c r="A562" s="85" t="s">
        <v>354</v>
      </c>
      <c r="B562" s="99" t="s">
        <v>81</v>
      </c>
      <c r="C562" s="100">
        <f t="shared" si="260"/>
        <v>34757</v>
      </c>
      <c r="D562" s="106" t="s">
        <v>84</v>
      </c>
      <c r="E562" s="106" t="s">
        <v>84</v>
      </c>
      <c r="F562" s="104" t="s">
        <v>84</v>
      </c>
      <c r="G562" s="104" t="s">
        <v>84</v>
      </c>
      <c r="H562" s="104" t="s">
        <v>84</v>
      </c>
      <c r="I562" s="104" t="s">
        <v>84</v>
      </c>
      <c r="J562" s="102" t="s">
        <v>84</v>
      </c>
      <c r="K562" s="102" t="s">
        <v>84</v>
      </c>
      <c r="L562" s="104" t="s">
        <v>84</v>
      </c>
      <c r="M562" s="107" t="s">
        <v>84</v>
      </c>
      <c r="N562" s="37">
        <v>1.6</v>
      </c>
      <c r="O562" s="95"/>
    </row>
    <row r="563" spans="1:15" ht="15.75" customHeight="1" x14ac:dyDescent="0.2">
      <c r="A563" s="85" t="s">
        <v>354</v>
      </c>
      <c r="B563" s="99" t="s">
        <v>554</v>
      </c>
      <c r="C563" s="100">
        <f t="shared" si="260"/>
        <v>34757</v>
      </c>
      <c r="D563" s="106" t="s">
        <v>84</v>
      </c>
      <c r="E563" s="106" t="s">
        <v>84</v>
      </c>
      <c r="F563" s="104" t="s">
        <v>84</v>
      </c>
      <c r="G563" s="104" t="s">
        <v>84</v>
      </c>
      <c r="H563" s="104" t="s">
        <v>84</v>
      </c>
      <c r="I563" s="104" t="s">
        <v>84</v>
      </c>
      <c r="J563" s="102" t="s">
        <v>84</v>
      </c>
      <c r="K563" s="102" t="s">
        <v>84</v>
      </c>
      <c r="L563" s="104" t="s">
        <v>84</v>
      </c>
      <c r="M563" s="107" t="s">
        <v>84</v>
      </c>
      <c r="N563" s="37">
        <v>1.4</v>
      </c>
      <c r="O563" s="95"/>
    </row>
    <row r="564" spans="1:15" ht="15.75" customHeight="1" x14ac:dyDescent="0.2">
      <c r="A564" s="108"/>
      <c r="B564" s="109" t="s">
        <v>555</v>
      </c>
      <c r="C564" s="110">
        <f t="shared" si="260"/>
        <v>34757</v>
      </c>
      <c r="D564" s="111" t="s">
        <v>84</v>
      </c>
      <c r="E564" s="111" t="s">
        <v>84</v>
      </c>
      <c r="F564" s="116" t="s">
        <v>390</v>
      </c>
      <c r="G564" s="116" t="s">
        <v>343</v>
      </c>
      <c r="H564" s="112">
        <v>4.2999999999999997E-2</v>
      </c>
      <c r="I564" s="112">
        <f>0+0.043</f>
        <v>4.2999999999999997E-2</v>
      </c>
      <c r="J564" s="118" t="s">
        <v>341</v>
      </c>
      <c r="K564" s="113">
        <f t="shared" ref="K564:K565" si="261">L564-I564</f>
        <v>2.0000000000000004E-2</v>
      </c>
      <c r="L564" s="112">
        <f>0.02+0.043</f>
        <v>6.3E-2</v>
      </c>
      <c r="M564" s="114" t="s">
        <v>84</v>
      </c>
      <c r="N564" s="111" t="s">
        <v>84</v>
      </c>
      <c r="O564" s="154"/>
    </row>
    <row r="565" spans="1:15" ht="15.75" customHeight="1" x14ac:dyDescent="0.2">
      <c r="A565" s="85"/>
      <c r="B565" s="99" t="s">
        <v>556</v>
      </c>
      <c r="C565" s="100">
        <f t="shared" ref="C565:C568" si="262">DATE(95,3,23)</f>
        <v>34781</v>
      </c>
      <c r="D565" s="37">
        <v>93.6</v>
      </c>
      <c r="E565" s="37">
        <v>11.5</v>
      </c>
      <c r="F565" s="101">
        <v>3.0000000000000001E-3</v>
      </c>
      <c r="G565" s="104" t="s">
        <v>343</v>
      </c>
      <c r="H565" s="101">
        <v>2.8000000000000001E-2</v>
      </c>
      <c r="I565" s="101">
        <f>0+0.028</f>
        <v>2.8000000000000001E-2</v>
      </c>
      <c r="J565" s="102" t="s">
        <v>341</v>
      </c>
      <c r="K565" s="103">
        <f t="shared" si="261"/>
        <v>0.02</v>
      </c>
      <c r="L565" s="101">
        <f>0.02+0.028</f>
        <v>4.8000000000000001E-2</v>
      </c>
      <c r="M565" s="39">
        <f>L565/F565</f>
        <v>16</v>
      </c>
      <c r="N565" s="106" t="s">
        <v>84</v>
      </c>
      <c r="O565" s="95"/>
    </row>
    <row r="566" spans="1:15" ht="15.75" customHeight="1" x14ac:dyDescent="0.2">
      <c r="A566" s="85" t="s">
        <v>354</v>
      </c>
      <c r="B566" s="99" t="s">
        <v>79</v>
      </c>
      <c r="C566" s="100">
        <f t="shared" si="262"/>
        <v>34781</v>
      </c>
      <c r="D566" s="106" t="s">
        <v>84</v>
      </c>
      <c r="E566" s="106" t="s">
        <v>84</v>
      </c>
      <c r="F566" s="104" t="s">
        <v>84</v>
      </c>
      <c r="G566" s="104" t="s">
        <v>84</v>
      </c>
      <c r="H566" s="104" t="s">
        <v>84</v>
      </c>
      <c r="I566" s="104" t="s">
        <v>84</v>
      </c>
      <c r="J566" s="102" t="s">
        <v>84</v>
      </c>
      <c r="K566" s="102" t="s">
        <v>84</v>
      </c>
      <c r="L566" s="104" t="s">
        <v>84</v>
      </c>
      <c r="M566" s="107" t="s">
        <v>84</v>
      </c>
      <c r="N566" s="37">
        <v>1.4</v>
      </c>
      <c r="O566" s="95"/>
    </row>
    <row r="567" spans="1:15" ht="15.75" customHeight="1" x14ac:dyDescent="0.2">
      <c r="A567" s="85" t="s">
        <v>354</v>
      </c>
      <c r="B567" s="99" t="s">
        <v>557</v>
      </c>
      <c r="C567" s="100">
        <f t="shared" si="262"/>
        <v>34781</v>
      </c>
      <c r="D567" s="106" t="s">
        <v>84</v>
      </c>
      <c r="E567" s="106" t="s">
        <v>84</v>
      </c>
      <c r="F567" s="104" t="s">
        <v>84</v>
      </c>
      <c r="G567" s="104" t="s">
        <v>84</v>
      </c>
      <c r="H567" s="104" t="s">
        <v>84</v>
      </c>
      <c r="I567" s="104" t="s">
        <v>84</v>
      </c>
      <c r="J567" s="102" t="s">
        <v>84</v>
      </c>
      <c r="K567" s="102" t="s">
        <v>84</v>
      </c>
      <c r="L567" s="104" t="s">
        <v>84</v>
      </c>
      <c r="M567" s="107" t="s">
        <v>84</v>
      </c>
      <c r="N567" s="37">
        <v>1.6</v>
      </c>
      <c r="O567" s="95"/>
    </row>
    <row r="568" spans="1:15" ht="15.75" customHeight="1" x14ac:dyDescent="0.2">
      <c r="A568" s="108"/>
      <c r="B568" s="109" t="s">
        <v>555</v>
      </c>
      <c r="C568" s="110">
        <f t="shared" si="262"/>
        <v>34781</v>
      </c>
      <c r="D568" s="111" t="s">
        <v>84</v>
      </c>
      <c r="E568" s="111" t="s">
        <v>84</v>
      </c>
      <c r="F568" s="112">
        <v>3.0000000000000001E-3</v>
      </c>
      <c r="G568" s="116" t="s">
        <v>343</v>
      </c>
      <c r="H568" s="112">
        <v>3.9E-2</v>
      </c>
      <c r="I568" s="112">
        <f>0+0.039</f>
        <v>3.9E-2</v>
      </c>
      <c r="J568" s="113">
        <f>0.07-0.02</f>
        <v>0.05</v>
      </c>
      <c r="K568" s="113">
        <f t="shared" ref="K568:K570" si="263">L568-I568</f>
        <v>4.9999999999999996E-2</v>
      </c>
      <c r="L568" s="112">
        <f>J568+H568</f>
        <v>8.8999999999999996E-2</v>
      </c>
      <c r="M568" s="114" t="s">
        <v>84</v>
      </c>
      <c r="N568" s="111" t="s">
        <v>84</v>
      </c>
      <c r="O568" s="154"/>
    </row>
    <row r="569" spans="1:15" ht="15.75" customHeight="1" x14ac:dyDescent="0.2">
      <c r="A569" s="108"/>
      <c r="B569" s="109" t="s">
        <v>558</v>
      </c>
      <c r="C569" s="110">
        <f>DATE(95,4,13)</f>
        <v>34802</v>
      </c>
      <c r="D569" s="117">
        <v>80</v>
      </c>
      <c r="E569" s="117">
        <v>7.5</v>
      </c>
      <c r="F569" s="112">
        <v>2E-3</v>
      </c>
      <c r="G569" s="112">
        <f>0.036-0.023</f>
        <v>1.2999999999999998E-2</v>
      </c>
      <c r="H569" s="112">
        <v>3.3000000000000002E-2</v>
      </c>
      <c r="I569" s="112">
        <f t="shared" ref="I569:I570" si="264">G569+H569</f>
        <v>4.5999999999999999E-2</v>
      </c>
      <c r="J569" s="118" t="s">
        <v>341</v>
      </c>
      <c r="K569" s="113">
        <f t="shared" si="263"/>
        <v>7.0000000000000062E-3</v>
      </c>
      <c r="L569" s="112">
        <f>0.02+0.033</f>
        <v>5.3000000000000005E-2</v>
      </c>
      <c r="M569" s="119">
        <f t="shared" ref="M569:M570" si="265">L569/F569</f>
        <v>26.500000000000004</v>
      </c>
      <c r="N569" s="117">
        <v>0.85</v>
      </c>
      <c r="O569" s="154"/>
    </row>
    <row r="570" spans="1:15" ht="15.75" customHeight="1" x14ac:dyDescent="0.2">
      <c r="A570" s="85"/>
      <c r="B570" s="99" t="s">
        <v>559</v>
      </c>
      <c r="C570" s="100">
        <f t="shared" ref="C570:C573" si="266">DATE(95,5,4)</f>
        <v>34823</v>
      </c>
      <c r="D570" s="37">
        <f>301*0.3048</f>
        <v>91.744799999999998</v>
      </c>
      <c r="E570" s="37">
        <v>8.5</v>
      </c>
      <c r="F570" s="101">
        <v>3.0000000000000001E-3</v>
      </c>
      <c r="G570" s="101">
        <f>0.025-0.02</f>
        <v>5.000000000000001E-3</v>
      </c>
      <c r="H570" s="101">
        <v>8.0000000000000002E-3</v>
      </c>
      <c r="I570" s="101">
        <f t="shared" si="264"/>
        <v>1.3000000000000001E-2</v>
      </c>
      <c r="J570" s="103">
        <f>0.1-0.02</f>
        <v>0.08</v>
      </c>
      <c r="K570" s="103">
        <f t="shared" si="263"/>
        <v>7.4999999999999997E-2</v>
      </c>
      <c r="L570" s="101">
        <f>J570+H570</f>
        <v>8.7999999999999995E-2</v>
      </c>
      <c r="M570" s="39">
        <f t="shared" si="265"/>
        <v>29.333333333333332</v>
      </c>
      <c r="N570" s="106" t="s">
        <v>84</v>
      </c>
      <c r="O570" s="95"/>
    </row>
    <row r="571" spans="1:15" ht="15.75" customHeight="1" x14ac:dyDescent="0.2">
      <c r="A571" s="85" t="s">
        <v>354</v>
      </c>
      <c r="B571" s="99" t="s">
        <v>463</v>
      </c>
      <c r="C571" s="100">
        <f t="shared" si="266"/>
        <v>34823</v>
      </c>
      <c r="D571" s="106" t="s">
        <v>84</v>
      </c>
      <c r="E571" s="106" t="s">
        <v>84</v>
      </c>
      <c r="F571" s="104" t="s">
        <v>84</v>
      </c>
      <c r="G571" s="104" t="s">
        <v>84</v>
      </c>
      <c r="H571" s="104" t="s">
        <v>84</v>
      </c>
      <c r="I571" s="104" t="s">
        <v>84</v>
      </c>
      <c r="J571" s="102" t="s">
        <v>84</v>
      </c>
      <c r="K571" s="102" t="s">
        <v>84</v>
      </c>
      <c r="L571" s="104" t="s">
        <v>84</v>
      </c>
      <c r="M571" s="107" t="s">
        <v>84</v>
      </c>
      <c r="N571" s="37">
        <v>2.6</v>
      </c>
      <c r="O571" s="95"/>
    </row>
    <row r="572" spans="1:15" ht="15.75" customHeight="1" x14ac:dyDescent="0.2">
      <c r="A572" s="85" t="s">
        <v>354</v>
      </c>
      <c r="B572" s="99" t="s">
        <v>464</v>
      </c>
      <c r="C572" s="100">
        <f t="shared" si="266"/>
        <v>34823</v>
      </c>
      <c r="D572" s="106" t="s">
        <v>84</v>
      </c>
      <c r="E572" s="106" t="s">
        <v>84</v>
      </c>
      <c r="F572" s="104" t="s">
        <v>84</v>
      </c>
      <c r="G572" s="104" t="s">
        <v>84</v>
      </c>
      <c r="H572" s="104" t="s">
        <v>84</v>
      </c>
      <c r="I572" s="104" t="s">
        <v>84</v>
      </c>
      <c r="J572" s="102" t="s">
        <v>84</v>
      </c>
      <c r="K572" s="102" t="s">
        <v>84</v>
      </c>
      <c r="L572" s="104" t="s">
        <v>84</v>
      </c>
      <c r="M572" s="107" t="s">
        <v>84</v>
      </c>
      <c r="N572" s="37">
        <v>2.9</v>
      </c>
      <c r="O572" s="95"/>
    </row>
    <row r="573" spans="1:15" ht="15.75" customHeight="1" x14ac:dyDescent="0.2">
      <c r="A573" s="108"/>
      <c r="B573" s="109" t="s">
        <v>555</v>
      </c>
      <c r="C573" s="110">
        <f t="shared" si="266"/>
        <v>34823</v>
      </c>
      <c r="D573" s="111" t="s">
        <v>84</v>
      </c>
      <c r="E573" s="111" t="s">
        <v>84</v>
      </c>
      <c r="F573" s="112">
        <v>3.0000000000000001E-3</v>
      </c>
      <c r="G573" s="112">
        <f>0.032-0.02</f>
        <v>1.2E-2</v>
      </c>
      <c r="H573" s="112">
        <v>3.3000000000000002E-2</v>
      </c>
      <c r="I573" s="112">
        <f>G573+H573</f>
        <v>4.4999999999999998E-2</v>
      </c>
      <c r="J573" s="113">
        <f t="shared" ref="J573:J574" si="267">0.12-0.02</f>
        <v>9.9999999999999992E-2</v>
      </c>
      <c r="K573" s="113">
        <f t="shared" ref="K573:K574" si="268">L573-I573</f>
        <v>8.8000000000000009E-2</v>
      </c>
      <c r="L573" s="112">
        <f>J573+H573</f>
        <v>0.13300000000000001</v>
      </c>
      <c r="M573" s="114" t="s">
        <v>84</v>
      </c>
      <c r="N573" s="111" t="s">
        <v>84</v>
      </c>
      <c r="O573" s="154"/>
    </row>
    <row r="574" spans="1:15" ht="15.75" customHeight="1" x14ac:dyDescent="0.2">
      <c r="A574" s="85"/>
      <c r="B574" s="99" t="s">
        <v>487</v>
      </c>
      <c r="C574" s="100">
        <f t="shared" ref="C574:C577" si="269">DATE(95,5,23)</f>
        <v>34842</v>
      </c>
      <c r="D574" s="37">
        <v>92</v>
      </c>
      <c r="E574" s="37">
        <v>6.5</v>
      </c>
      <c r="F574" s="101">
        <v>4.0000000000000001E-3</v>
      </c>
      <c r="G574" s="101">
        <f>0.034-0.023</f>
        <v>1.1000000000000003E-2</v>
      </c>
      <c r="H574" s="104" t="s">
        <v>343</v>
      </c>
      <c r="I574" s="101">
        <f>0.011+0.0025</f>
        <v>1.35E-2</v>
      </c>
      <c r="J574" s="103">
        <f t="shared" si="267"/>
        <v>9.9999999999999992E-2</v>
      </c>
      <c r="K574" s="103">
        <f t="shared" si="268"/>
        <v>8.900000000000001E-2</v>
      </c>
      <c r="L574" s="101">
        <f>0.1+0.0025</f>
        <v>0.10250000000000001</v>
      </c>
      <c r="M574" s="39">
        <f>L574/F574</f>
        <v>25.625</v>
      </c>
      <c r="N574" s="106" t="s">
        <v>84</v>
      </c>
      <c r="O574" s="95"/>
    </row>
    <row r="575" spans="1:15" ht="15.75" customHeight="1" x14ac:dyDescent="0.2">
      <c r="A575" s="85" t="s">
        <v>354</v>
      </c>
      <c r="B575" s="99" t="s">
        <v>396</v>
      </c>
      <c r="C575" s="100">
        <f t="shared" si="269"/>
        <v>34842</v>
      </c>
      <c r="D575" s="106" t="s">
        <v>84</v>
      </c>
      <c r="E575" s="106" t="s">
        <v>84</v>
      </c>
      <c r="F575" s="104" t="s">
        <v>84</v>
      </c>
      <c r="G575" s="104" t="s">
        <v>84</v>
      </c>
      <c r="H575" s="104" t="s">
        <v>84</v>
      </c>
      <c r="I575" s="104" t="s">
        <v>84</v>
      </c>
      <c r="J575" s="102" t="s">
        <v>84</v>
      </c>
      <c r="K575" s="102" t="s">
        <v>84</v>
      </c>
      <c r="L575" s="104" t="s">
        <v>84</v>
      </c>
      <c r="M575" s="107" t="s">
        <v>84</v>
      </c>
      <c r="N575" s="37">
        <v>2.4</v>
      </c>
      <c r="O575" s="95"/>
    </row>
    <row r="576" spans="1:15" ht="15.75" customHeight="1" x14ac:dyDescent="0.2">
      <c r="A576" s="85" t="s">
        <v>354</v>
      </c>
      <c r="B576" s="99" t="s">
        <v>560</v>
      </c>
      <c r="C576" s="100">
        <f t="shared" si="269"/>
        <v>34842</v>
      </c>
      <c r="D576" s="106" t="s">
        <v>84</v>
      </c>
      <c r="E576" s="106" t="s">
        <v>84</v>
      </c>
      <c r="F576" s="104" t="s">
        <v>84</v>
      </c>
      <c r="G576" s="104" t="s">
        <v>84</v>
      </c>
      <c r="H576" s="104" t="s">
        <v>84</v>
      </c>
      <c r="I576" s="104" t="s">
        <v>84</v>
      </c>
      <c r="J576" s="102" t="s">
        <v>84</v>
      </c>
      <c r="K576" s="102" t="s">
        <v>84</v>
      </c>
      <c r="L576" s="104" t="s">
        <v>84</v>
      </c>
      <c r="M576" s="107" t="s">
        <v>84</v>
      </c>
      <c r="N576" s="37">
        <v>2.2000000000000002</v>
      </c>
      <c r="O576" s="95"/>
    </row>
    <row r="577" spans="1:15" ht="15.75" customHeight="1" x14ac:dyDescent="0.2">
      <c r="A577" s="108"/>
      <c r="B577" s="109" t="s">
        <v>555</v>
      </c>
      <c r="C577" s="110">
        <f t="shared" si="269"/>
        <v>34842</v>
      </c>
      <c r="D577" s="111" t="s">
        <v>84</v>
      </c>
      <c r="E577" s="111" t="s">
        <v>84</v>
      </c>
      <c r="F577" s="116" t="s">
        <v>390</v>
      </c>
      <c r="G577" s="112">
        <f>0.034-0.023</f>
        <v>1.1000000000000003E-2</v>
      </c>
      <c r="H577" s="112">
        <v>2.8000000000000001E-2</v>
      </c>
      <c r="I577" s="112">
        <f t="shared" ref="I577:I578" si="270">G577+H577</f>
        <v>3.9000000000000007E-2</v>
      </c>
      <c r="J577" s="113">
        <f>0.11-0.02</f>
        <v>0.09</v>
      </c>
      <c r="K577" s="113">
        <f t="shared" ref="K577:K578" si="271">L577-I577</f>
        <v>7.8999999999999987E-2</v>
      </c>
      <c r="L577" s="112">
        <f t="shared" ref="L577:L578" si="272">J577+H577</f>
        <v>0.11799999999999999</v>
      </c>
      <c r="M577" s="114" t="s">
        <v>84</v>
      </c>
      <c r="N577" s="111" t="s">
        <v>84</v>
      </c>
      <c r="O577" s="154"/>
    </row>
    <row r="578" spans="1:15" ht="15.75" customHeight="1" x14ac:dyDescent="0.2">
      <c r="A578" s="85"/>
      <c r="B578" s="99" t="s">
        <v>86</v>
      </c>
      <c r="C578" s="100">
        <f t="shared" ref="C578:C581" si="273">DATE(95,6,13)</f>
        <v>34863</v>
      </c>
      <c r="D578" s="37">
        <v>82.8</v>
      </c>
      <c r="E578" s="37">
        <v>6</v>
      </c>
      <c r="F578" s="101">
        <v>3.0000000000000001E-3</v>
      </c>
      <c r="G578" s="101">
        <f>0.069-0.026</f>
        <v>4.300000000000001E-2</v>
      </c>
      <c r="H578" s="101">
        <v>8.9999999999999993E-3</v>
      </c>
      <c r="I578" s="101">
        <f t="shared" si="270"/>
        <v>5.2000000000000011E-2</v>
      </c>
      <c r="J578" s="103">
        <f>0.13-0.02</f>
        <v>0.11</v>
      </c>
      <c r="K578" s="103">
        <f t="shared" si="271"/>
        <v>6.6999999999999976E-2</v>
      </c>
      <c r="L578" s="101">
        <f t="shared" si="272"/>
        <v>0.11899999999999999</v>
      </c>
      <c r="M578" s="39">
        <f>L578/F578</f>
        <v>39.666666666666664</v>
      </c>
      <c r="N578" s="106" t="s">
        <v>84</v>
      </c>
      <c r="O578" s="95"/>
    </row>
    <row r="579" spans="1:15" ht="15.75" customHeight="1" x14ac:dyDescent="0.2">
      <c r="A579" s="85" t="s">
        <v>354</v>
      </c>
      <c r="B579" s="99" t="s">
        <v>369</v>
      </c>
      <c r="C579" s="100">
        <f t="shared" si="273"/>
        <v>34863</v>
      </c>
      <c r="D579" s="106" t="s">
        <v>84</v>
      </c>
      <c r="E579" s="106" t="s">
        <v>84</v>
      </c>
      <c r="F579" s="104" t="s">
        <v>84</v>
      </c>
      <c r="G579" s="104" t="s">
        <v>84</v>
      </c>
      <c r="H579" s="104" t="s">
        <v>84</v>
      </c>
      <c r="I579" s="104" t="s">
        <v>84</v>
      </c>
      <c r="J579" s="102" t="s">
        <v>84</v>
      </c>
      <c r="K579" s="102" t="s">
        <v>84</v>
      </c>
      <c r="L579" s="104" t="s">
        <v>84</v>
      </c>
      <c r="M579" s="107" t="s">
        <v>84</v>
      </c>
      <c r="N579" s="37">
        <v>1.2</v>
      </c>
      <c r="O579" s="95"/>
    </row>
    <row r="580" spans="1:15" ht="15.75" customHeight="1" x14ac:dyDescent="0.2">
      <c r="A580" s="85" t="s">
        <v>354</v>
      </c>
      <c r="B580" s="99" t="s">
        <v>561</v>
      </c>
      <c r="C580" s="100">
        <f t="shared" si="273"/>
        <v>34863</v>
      </c>
      <c r="D580" s="106" t="s">
        <v>84</v>
      </c>
      <c r="E580" s="106" t="s">
        <v>84</v>
      </c>
      <c r="F580" s="104" t="s">
        <v>84</v>
      </c>
      <c r="G580" s="104" t="s">
        <v>84</v>
      </c>
      <c r="H580" s="104" t="s">
        <v>84</v>
      </c>
      <c r="I580" s="104" t="s">
        <v>84</v>
      </c>
      <c r="J580" s="102" t="s">
        <v>84</v>
      </c>
      <c r="K580" s="102" t="s">
        <v>84</v>
      </c>
      <c r="L580" s="104" t="s">
        <v>84</v>
      </c>
      <c r="M580" s="107" t="s">
        <v>84</v>
      </c>
      <c r="N580" s="37">
        <v>2.2000000000000002</v>
      </c>
      <c r="O580" s="95"/>
    </row>
    <row r="581" spans="1:15" ht="15.75" customHeight="1" x14ac:dyDescent="0.2">
      <c r="A581" s="108"/>
      <c r="B581" s="109" t="s">
        <v>555</v>
      </c>
      <c r="C581" s="110">
        <f t="shared" si="273"/>
        <v>34863</v>
      </c>
      <c r="D581" s="111" t="s">
        <v>84</v>
      </c>
      <c r="E581" s="111" t="s">
        <v>84</v>
      </c>
      <c r="F581" s="112">
        <v>5.0000000000000001E-3</v>
      </c>
      <c r="G581" s="112">
        <f>0.037-0.026</f>
        <v>1.0999999999999999E-2</v>
      </c>
      <c r="H581" s="112">
        <v>2.5999999999999999E-2</v>
      </c>
      <c r="I581" s="112">
        <f>G581+H581</f>
        <v>3.6999999999999998E-2</v>
      </c>
      <c r="J581" s="113">
        <f>0.08-0.02</f>
        <v>0.06</v>
      </c>
      <c r="K581" s="113">
        <f t="shared" ref="K581:K584" si="274">L581-I581</f>
        <v>4.8999999999999995E-2</v>
      </c>
      <c r="L581" s="112">
        <f t="shared" ref="L581:L582" si="275">J581+H581</f>
        <v>8.5999999999999993E-2</v>
      </c>
      <c r="M581" s="114" t="s">
        <v>84</v>
      </c>
      <c r="N581" s="111" t="s">
        <v>84</v>
      </c>
      <c r="O581" s="154"/>
    </row>
    <row r="582" spans="1:15" ht="15.75" customHeight="1" x14ac:dyDescent="0.2">
      <c r="A582" s="85" t="s">
        <v>354</v>
      </c>
      <c r="B582" s="99" t="s">
        <v>463</v>
      </c>
      <c r="C582" s="100">
        <f t="shared" ref="C582:C584" si="276">DATE(95,7,6)</f>
        <v>34886</v>
      </c>
      <c r="D582" s="37">
        <f>301*0.3048</f>
        <v>91.744799999999998</v>
      </c>
      <c r="E582" s="37">
        <v>8.3000000000000007</v>
      </c>
      <c r="F582" s="101">
        <v>4.0000000000000001E-3</v>
      </c>
      <c r="G582" s="104" t="s">
        <v>343</v>
      </c>
      <c r="H582" s="101">
        <v>5.0000000000000001E-3</v>
      </c>
      <c r="I582" s="101">
        <f>0+0.005</f>
        <v>5.0000000000000001E-3</v>
      </c>
      <c r="J582" s="103">
        <f>0.09-0.03</f>
        <v>0.06</v>
      </c>
      <c r="K582" s="103">
        <f t="shared" si="274"/>
        <v>6.0000000000000005E-2</v>
      </c>
      <c r="L582" s="101">
        <f t="shared" si="275"/>
        <v>6.5000000000000002E-2</v>
      </c>
      <c r="M582" s="39">
        <f t="shared" ref="M582:M583" si="277">L582/F582</f>
        <v>16.25</v>
      </c>
      <c r="N582" s="37">
        <v>1.1000000000000001</v>
      </c>
      <c r="O582" s="95"/>
    </row>
    <row r="583" spans="1:15" ht="15.75" customHeight="1" x14ac:dyDescent="0.2">
      <c r="A583" s="85" t="s">
        <v>354</v>
      </c>
      <c r="B583" s="99" t="s">
        <v>464</v>
      </c>
      <c r="C583" s="100">
        <f t="shared" si="276"/>
        <v>34886</v>
      </c>
      <c r="D583" s="106" t="s">
        <v>84</v>
      </c>
      <c r="E583" s="106" t="s">
        <v>84</v>
      </c>
      <c r="F583" s="101">
        <v>5.0000000000000001E-3</v>
      </c>
      <c r="G583" s="104" t="s">
        <v>343</v>
      </c>
      <c r="H583" s="101">
        <v>8.9999999999999993E-3</v>
      </c>
      <c r="I583" s="101">
        <f>0.004+0.009</f>
        <v>1.2999999999999999E-2</v>
      </c>
      <c r="J583" s="102" t="s">
        <v>341</v>
      </c>
      <c r="K583" s="103">
        <f t="shared" si="274"/>
        <v>3.6000000000000004E-2</v>
      </c>
      <c r="L583" s="101">
        <f>0.04+0.009</f>
        <v>4.9000000000000002E-2</v>
      </c>
      <c r="M583" s="39">
        <f t="shared" si="277"/>
        <v>9.8000000000000007</v>
      </c>
      <c r="N583" s="37">
        <v>2.5</v>
      </c>
      <c r="O583" s="95"/>
    </row>
    <row r="584" spans="1:15" ht="15.75" customHeight="1" x14ac:dyDescent="0.2">
      <c r="A584" s="96"/>
      <c r="B584" s="120" t="s">
        <v>555</v>
      </c>
      <c r="C584" s="121">
        <f t="shared" si="276"/>
        <v>34886</v>
      </c>
      <c r="D584" s="122" t="s">
        <v>84</v>
      </c>
      <c r="E584" s="122" t="s">
        <v>84</v>
      </c>
      <c r="F584" s="123">
        <v>3.0000000000000001E-3</v>
      </c>
      <c r="G584" s="123">
        <f>0.051-0.03</f>
        <v>2.0999999999999998E-2</v>
      </c>
      <c r="H584" s="123">
        <v>3.5000000000000003E-2</v>
      </c>
      <c r="I584" s="123">
        <f>G584+H584</f>
        <v>5.6000000000000001E-2</v>
      </c>
      <c r="J584" s="125">
        <f>0.09-0.03</f>
        <v>0.06</v>
      </c>
      <c r="K584" s="125">
        <f t="shared" si="274"/>
        <v>3.9E-2</v>
      </c>
      <c r="L584" s="123">
        <f>J584+H584</f>
        <v>9.5000000000000001E-2</v>
      </c>
      <c r="M584" s="147" t="s">
        <v>84</v>
      </c>
      <c r="N584" s="122" t="s">
        <v>84</v>
      </c>
      <c r="O584" s="160"/>
    </row>
    <row r="585" spans="1:15" ht="15.75" customHeight="1" x14ac:dyDescent="0.2">
      <c r="A585" s="38"/>
      <c r="B585" s="99"/>
      <c r="C585" s="100"/>
      <c r="D585" s="106"/>
      <c r="E585" s="106"/>
      <c r="F585" s="101"/>
      <c r="G585" s="101"/>
      <c r="H585" s="101"/>
      <c r="I585" s="101"/>
      <c r="J585" s="103"/>
      <c r="K585" s="103"/>
      <c r="L585" s="101"/>
      <c r="M585" s="107"/>
      <c r="N585" s="106"/>
      <c r="O585" s="38"/>
    </row>
    <row r="586" spans="1:15" ht="15.75" customHeight="1" x14ac:dyDescent="0.2">
      <c r="A586" s="164"/>
      <c r="B586" s="87"/>
      <c r="C586" s="86"/>
      <c r="D586" s="131"/>
      <c r="E586" s="131"/>
      <c r="F586" s="132"/>
      <c r="G586" s="132"/>
      <c r="H586" s="133" t="s">
        <v>319</v>
      </c>
      <c r="I586" s="132"/>
      <c r="J586" s="134"/>
      <c r="K586" s="134"/>
      <c r="L586" s="132"/>
      <c r="M586" s="135"/>
      <c r="N586" s="131"/>
      <c r="O586" s="89"/>
    </row>
    <row r="587" spans="1:15" ht="15.75" customHeight="1" x14ac:dyDescent="0.25">
      <c r="A587" s="85"/>
      <c r="B587" s="90" t="s">
        <v>320</v>
      </c>
      <c r="C587" s="91"/>
      <c r="D587" s="136" t="s">
        <v>321</v>
      </c>
      <c r="E587" s="136" t="s">
        <v>322</v>
      </c>
      <c r="F587" s="137"/>
      <c r="G587" s="138" t="s">
        <v>323</v>
      </c>
      <c r="H587" s="139" t="s">
        <v>562</v>
      </c>
      <c r="I587" s="138" t="s">
        <v>323</v>
      </c>
      <c r="J587" s="140"/>
      <c r="K587" s="141" t="s">
        <v>323</v>
      </c>
      <c r="L587" s="137"/>
      <c r="M587" s="142"/>
      <c r="N587" s="143"/>
      <c r="O587" s="95"/>
    </row>
    <row r="588" spans="1:15" ht="15.75" customHeight="1" x14ac:dyDescent="0.25">
      <c r="A588" s="85"/>
      <c r="B588" s="90" t="s">
        <v>325</v>
      </c>
      <c r="C588" s="91"/>
      <c r="D588" s="136" t="s">
        <v>52</v>
      </c>
      <c r="E588" s="136" t="s">
        <v>52</v>
      </c>
      <c r="F588" s="138" t="s">
        <v>326</v>
      </c>
      <c r="G588" s="138" t="s">
        <v>563</v>
      </c>
      <c r="H588" s="139" t="s">
        <v>564</v>
      </c>
      <c r="I588" s="138" t="s">
        <v>329</v>
      </c>
      <c r="J588" s="141" t="s">
        <v>330</v>
      </c>
      <c r="K588" s="141" t="s">
        <v>331</v>
      </c>
      <c r="L588" s="138" t="s">
        <v>332</v>
      </c>
      <c r="M588" s="142"/>
      <c r="N588" s="136" t="s">
        <v>333</v>
      </c>
      <c r="O588" s="95"/>
    </row>
    <row r="589" spans="1:15" ht="15.75" customHeight="1" x14ac:dyDescent="0.2">
      <c r="A589" s="96"/>
      <c r="B589" s="97" t="s">
        <v>334</v>
      </c>
      <c r="C589" s="165" t="s">
        <v>335</v>
      </c>
      <c r="D589" s="166" t="s">
        <v>336</v>
      </c>
      <c r="E589" s="166" t="s">
        <v>336</v>
      </c>
      <c r="F589" s="167" t="s">
        <v>337</v>
      </c>
      <c r="G589" s="167" t="s">
        <v>337</v>
      </c>
      <c r="H589" s="167" t="s">
        <v>337</v>
      </c>
      <c r="I589" s="167" t="s">
        <v>337</v>
      </c>
      <c r="J589" s="168" t="s">
        <v>337</v>
      </c>
      <c r="K589" s="168" t="s">
        <v>337</v>
      </c>
      <c r="L589" s="167" t="s">
        <v>337</v>
      </c>
      <c r="M589" s="169" t="s">
        <v>338</v>
      </c>
      <c r="N589" s="166" t="s">
        <v>339</v>
      </c>
      <c r="O589" s="160"/>
    </row>
    <row r="590" spans="1:15" ht="15.75" customHeight="1" x14ac:dyDescent="0.2">
      <c r="A590" s="85"/>
      <c r="B590" s="38"/>
      <c r="C590" s="36"/>
      <c r="D590" s="37"/>
      <c r="E590" s="37"/>
      <c r="F590" s="101"/>
      <c r="G590" s="101"/>
      <c r="H590" s="101"/>
      <c r="I590" s="101"/>
      <c r="J590" s="103"/>
      <c r="K590" s="103"/>
      <c r="L590" s="101"/>
      <c r="M590" s="39"/>
      <c r="N590" s="37"/>
      <c r="O590" s="98"/>
    </row>
    <row r="591" spans="1:15" ht="15.75" customHeight="1" x14ac:dyDescent="0.2">
      <c r="A591" s="85"/>
      <c r="B591" s="90" t="s">
        <v>550</v>
      </c>
      <c r="C591" s="36"/>
      <c r="D591" s="37"/>
      <c r="E591" s="37"/>
      <c r="F591" s="101"/>
      <c r="G591" s="101"/>
      <c r="H591" s="101"/>
      <c r="I591" s="101"/>
      <c r="J591" s="103"/>
      <c r="K591" s="103"/>
      <c r="L591" s="101"/>
      <c r="M591" s="39"/>
      <c r="N591" s="37"/>
      <c r="O591" s="98"/>
    </row>
    <row r="592" spans="1:15" ht="15.75" customHeight="1" x14ac:dyDescent="0.2">
      <c r="A592" s="85" t="s">
        <v>354</v>
      </c>
      <c r="B592" s="99" t="s">
        <v>79</v>
      </c>
      <c r="C592" s="100">
        <f t="shared" ref="C592:C594" si="278">DATE(95,7,27)</f>
        <v>34907</v>
      </c>
      <c r="D592" s="37">
        <v>95</v>
      </c>
      <c r="E592" s="37">
        <v>11.5</v>
      </c>
      <c r="F592" s="101">
        <v>3.4000000000000002E-2</v>
      </c>
      <c r="G592" s="104" t="s">
        <v>343</v>
      </c>
      <c r="H592" s="101">
        <v>0.01</v>
      </c>
      <c r="I592" s="101">
        <f>0.003+0.01</f>
        <v>1.3000000000000001E-2</v>
      </c>
      <c r="J592" s="103">
        <f>0.14-0.03</f>
        <v>0.11000000000000001</v>
      </c>
      <c r="K592" s="103">
        <f t="shared" ref="K592:K605" si="279">L592-I592</f>
        <v>0.10700000000000001</v>
      </c>
      <c r="L592" s="101">
        <f t="shared" ref="L592:L594" si="280">J592+H592</f>
        <v>0.12000000000000001</v>
      </c>
      <c r="M592" s="39">
        <f t="shared" ref="M592:M593" si="281">L592/F592</f>
        <v>3.5294117647058822</v>
      </c>
      <c r="N592" s="37">
        <v>1</v>
      </c>
      <c r="O592" s="95"/>
    </row>
    <row r="593" spans="1:15" ht="15.75" customHeight="1" x14ac:dyDescent="0.2">
      <c r="A593" s="85" t="s">
        <v>354</v>
      </c>
      <c r="B593" s="99" t="s">
        <v>557</v>
      </c>
      <c r="C593" s="100">
        <f t="shared" si="278"/>
        <v>34907</v>
      </c>
      <c r="D593" s="106" t="s">
        <v>84</v>
      </c>
      <c r="E593" s="106" t="s">
        <v>84</v>
      </c>
      <c r="F593" s="101">
        <v>4.7E-2</v>
      </c>
      <c r="G593" s="104" t="s">
        <v>343</v>
      </c>
      <c r="H593" s="101">
        <v>2.7E-2</v>
      </c>
      <c r="I593" s="101">
        <f>0+0.027</f>
        <v>2.7E-2</v>
      </c>
      <c r="J593" s="103">
        <f>0.09-0.03</f>
        <v>0.06</v>
      </c>
      <c r="K593" s="103">
        <f t="shared" si="279"/>
        <v>0.06</v>
      </c>
      <c r="L593" s="101">
        <f t="shared" si="280"/>
        <v>8.6999999999999994E-2</v>
      </c>
      <c r="M593" s="39">
        <f t="shared" si="281"/>
        <v>1.8510638297872339</v>
      </c>
      <c r="N593" s="37">
        <v>1.9</v>
      </c>
      <c r="O593" s="95"/>
    </row>
    <row r="594" spans="1:15" ht="15.75" customHeight="1" x14ac:dyDescent="0.2">
      <c r="A594" s="108"/>
      <c r="B594" s="109" t="s">
        <v>555</v>
      </c>
      <c r="C594" s="110">
        <f t="shared" si="278"/>
        <v>34907</v>
      </c>
      <c r="D594" s="111" t="s">
        <v>84</v>
      </c>
      <c r="E594" s="111" t="s">
        <v>84</v>
      </c>
      <c r="F594" s="112">
        <v>0.01</v>
      </c>
      <c r="G594" s="116" t="s">
        <v>343</v>
      </c>
      <c r="H594" s="112">
        <v>5.8999999999999997E-2</v>
      </c>
      <c r="I594" s="112">
        <f>0.002+0.059</f>
        <v>6.0999999999999999E-2</v>
      </c>
      <c r="J594" s="113">
        <f>0.1-0.03</f>
        <v>7.0000000000000007E-2</v>
      </c>
      <c r="K594" s="113">
        <f t="shared" si="279"/>
        <v>6.8000000000000005E-2</v>
      </c>
      <c r="L594" s="112">
        <f t="shared" si="280"/>
        <v>0.129</v>
      </c>
      <c r="M594" s="114" t="s">
        <v>84</v>
      </c>
      <c r="N594" s="111" t="s">
        <v>84</v>
      </c>
      <c r="O594" s="154"/>
    </row>
    <row r="595" spans="1:15" ht="15.75" customHeight="1" x14ac:dyDescent="0.2">
      <c r="A595" s="85" t="s">
        <v>354</v>
      </c>
      <c r="B595" s="99" t="s">
        <v>80</v>
      </c>
      <c r="C595" s="100">
        <f t="shared" ref="C595:C598" si="282">DATE(95,8,22)</f>
        <v>34933</v>
      </c>
      <c r="D595" s="37">
        <v>82.7</v>
      </c>
      <c r="E595" s="37">
        <v>12.5</v>
      </c>
      <c r="F595" s="104" t="s">
        <v>390</v>
      </c>
      <c r="G595" s="101">
        <f>0.038-0.024</f>
        <v>1.3999999999999999E-2</v>
      </c>
      <c r="H595" s="104" t="s">
        <v>343</v>
      </c>
      <c r="I595" s="101">
        <f>0.014+0.0025</f>
        <v>1.6500000000000001E-2</v>
      </c>
      <c r="J595" s="103">
        <f>0.09-0.02</f>
        <v>6.9999999999999993E-2</v>
      </c>
      <c r="K595" s="103">
        <f t="shared" si="279"/>
        <v>5.6000000000000008E-2</v>
      </c>
      <c r="L595" s="101">
        <f>0.07+0.0025</f>
        <v>7.2500000000000009E-2</v>
      </c>
      <c r="M595" s="39">
        <f>L595/0.001</f>
        <v>72.500000000000014</v>
      </c>
      <c r="N595" s="37">
        <v>0.98</v>
      </c>
      <c r="O595" s="95"/>
    </row>
    <row r="596" spans="1:15" ht="15.75" customHeight="1" x14ac:dyDescent="0.2">
      <c r="A596" s="85" t="s">
        <v>354</v>
      </c>
      <c r="B596" s="99" t="s">
        <v>565</v>
      </c>
      <c r="C596" s="100">
        <f t="shared" si="282"/>
        <v>34933</v>
      </c>
      <c r="D596" s="106" t="s">
        <v>84</v>
      </c>
      <c r="E596" s="106" t="s">
        <v>84</v>
      </c>
      <c r="F596" s="101">
        <v>5.0000000000000001E-3</v>
      </c>
      <c r="G596" s="104" t="s">
        <v>343</v>
      </c>
      <c r="H596" s="101">
        <v>5.0000000000000001E-3</v>
      </c>
      <c r="I596" s="101">
        <f>0+0.005</f>
        <v>5.0000000000000001E-3</v>
      </c>
      <c r="J596" s="103">
        <f>0.07-0.02</f>
        <v>0.05</v>
      </c>
      <c r="K596" s="103">
        <f t="shared" si="279"/>
        <v>0.05</v>
      </c>
      <c r="L596" s="101">
        <f t="shared" ref="L596:L598" si="283">J596+H596</f>
        <v>5.5E-2</v>
      </c>
      <c r="M596" s="39">
        <f t="shared" ref="M596:M597" si="284">L596/F596</f>
        <v>11</v>
      </c>
      <c r="N596" s="37">
        <v>1.6</v>
      </c>
      <c r="O596" s="95"/>
    </row>
    <row r="597" spans="1:15" ht="15.75" customHeight="1" x14ac:dyDescent="0.2">
      <c r="A597" s="85" t="s">
        <v>354</v>
      </c>
      <c r="B597" s="99" t="s">
        <v>566</v>
      </c>
      <c r="C597" s="100">
        <f t="shared" si="282"/>
        <v>34933</v>
      </c>
      <c r="D597" s="106" t="s">
        <v>84</v>
      </c>
      <c r="E597" s="106" t="s">
        <v>84</v>
      </c>
      <c r="F597" s="101">
        <v>2E-3</v>
      </c>
      <c r="G597" s="101">
        <f>0.03-0.024</f>
        <v>5.9999999999999984E-3</v>
      </c>
      <c r="H597" s="101">
        <v>2.4E-2</v>
      </c>
      <c r="I597" s="101">
        <f t="shared" ref="I597:I598" si="285">G597+H597</f>
        <v>0.03</v>
      </c>
      <c r="J597" s="103">
        <f>0.19-0.02</f>
        <v>0.17</v>
      </c>
      <c r="K597" s="103">
        <f t="shared" si="279"/>
        <v>0.16400000000000001</v>
      </c>
      <c r="L597" s="101">
        <f t="shared" si="283"/>
        <v>0.19400000000000001</v>
      </c>
      <c r="M597" s="39">
        <f t="shared" si="284"/>
        <v>97</v>
      </c>
      <c r="N597" s="37">
        <v>1.5</v>
      </c>
      <c r="O597" s="95"/>
    </row>
    <row r="598" spans="1:15" ht="15.75" customHeight="1" x14ac:dyDescent="0.2">
      <c r="A598" s="108"/>
      <c r="B598" s="109" t="s">
        <v>555</v>
      </c>
      <c r="C598" s="110">
        <f t="shared" si="282"/>
        <v>34933</v>
      </c>
      <c r="D598" s="111" t="s">
        <v>84</v>
      </c>
      <c r="E598" s="111" t="s">
        <v>84</v>
      </c>
      <c r="F598" s="116" t="s">
        <v>390</v>
      </c>
      <c r="G598" s="112">
        <f>0.044-0.024</f>
        <v>1.9999999999999997E-2</v>
      </c>
      <c r="H598" s="112">
        <v>5.1999999999999998E-2</v>
      </c>
      <c r="I598" s="112">
        <f t="shared" si="285"/>
        <v>7.1999999999999995E-2</v>
      </c>
      <c r="J598" s="113">
        <f>0.08-0.02</f>
        <v>0.06</v>
      </c>
      <c r="K598" s="113">
        <f t="shared" si="279"/>
        <v>3.9999999999999994E-2</v>
      </c>
      <c r="L598" s="112">
        <f t="shared" si="283"/>
        <v>0.11199999999999999</v>
      </c>
      <c r="M598" s="114" t="s">
        <v>84</v>
      </c>
      <c r="N598" s="111" t="s">
        <v>84</v>
      </c>
      <c r="O598" s="154"/>
    </row>
    <row r="599" spans="1:15" ht="15.75" customHeight="1" x14ac:dyDescent="0.2">
      <c r="A599" s="85" t="s">
        <v>354</v>
      </c>
      <c r="B599" s="99" t="s">
        <v>80</v>
      </c>
      <c r="C599" s="100">
        <f t="shared" ref="C599:C602" si="286">DATE(95,9,20)</f>
        <v>34962</v>
      </c>
      <c r="D599" s="37">
        <v>76</v>
      </c>
      <c r="E599" s="37">
        <v>12.5</v>
      </c>
      <c r="F599" s="101">
        <v>2E-3</v>
      </c>
      <c r="G599" s="101">
        <f>0.028-0.02</f>
        <v>8.0000000000000002E-3</v>
      </c>
      <c r="H599" s="104" t="s">
        <v>343</v>
      </c>
      <c r="I599" s="101">
        <f>0.008+0.0025</f>
        <v>1.0500000000000001E-2</v>
      </c>
      <c r="J599" s="103">
        <f>0.09-0.02</f>
        <v>6.9999999999999993E-2</v>
      </c>
      <c r="K599" s="103">
        <f t="shared" si="279"/>
        <v>6.2000000000000006E-2</v>
      </c>
      <c r="L599" s="101">
        <f>0.07+0.0025</f>
        <v>7.2500000000000009E-2</v>
      </c>
      <c r="M599" s="39">
        <f t="shared" ref="M599:M601" si="287">L599/F599</f>
        <v>36.250000000000007</v>
      </c>
      <c r="N599" s="37">
        <v>1.2</v>
      </c>
      <c r="O599" s="95"/>
    </row>
    <row r="600" spans="1:15" ht="15.75" customHeight="1" x14ac:dyDescent="0.2">
      <c r="A600" s="85" t="s">
        <v>354</v>
      </c>
      <c r="B600" s="99" t="s">
        <v>567</v>
      </c>
      <c r="C600" s="100">
        <f t="shared" si="286"/>
        <v>34962</v>
      </c>
      <c r="D600" s="106" t="s">
        <v>84</v>
      </c>
      <c r="E600" s="106" t="s">
        <v>84</v>
      </c>
      <c r="F600" s="101">
        <v>4.0000000000000001E-3</v>
      </c>
      <c r="G600" s="101">
        <f>0.03-0.02</f>
        <v>9.9999999999999985E-3</v>
      </c>
      <c r="H600" s="104" t="s">
        <v>343</v>
      </c>
      <c r="I600" s="101">
        <f>0.01+0.0025</f>
        <v>1.2500000000000001E-2</v>
      </c>
      <c r="J600" s="102" t="s">
        <v>341</v>
      </c>
      <c r="K600" s="103">
        <f t="shared" si="279"/>
        <v>3.0000000000000002E-2</v>
      </c>
      <c r="L600" s="101">
        <f>0.04+0.0025</f>
        <v>4.2500000000000003E-2</v>
      </c>
      <c r="M600" s="39">
        <f t="shared" si="287"/>
        <v>10.625</v>
      </c>
      <c r="N600" s="37">
        <v>2.2999999999999998</v>
      </c>
      <c r="O600" s="95"/>
    </row>
    <row r="601" spans="1:15" ht="15.75" customHeight="1" x14ac:dyDescent="0.2">
      <c r="A601" s="85" t="s">
        <v>354</v>
      </c>
      <c r="B601" s="99" t="s">
        <v>568</v>
      </c>
      <c r="C601" s="100">
        <f t="shared" si="286"/>
        <v>34962</v>
      </c>
      <c r="D601" s="106" t="s">
        <v>84</v>
      </c>
      <c r="E601" s="106" t="s">
        <v>84</v>
      </c>
      <c r="F601" s="101">
        <v>2E-3</v>
      </c>
      <c r="G601" s="101">
        <f t="shared" ref="G601:G602" si="288">0.027-0.02</f>
        <v>6.9999999999999993E-3</v>
      </c>
      <c r="H601" s="101">
        <v>2.7E-2</v>
      </c>
      <c r="I601" s="101">
        <f t="shared" ref="I601:I602" si="289">G601+H601</f>
        <v>3.4000000000000002E-2</v>
      </c>
      <c r="J601" s="102" t="s">
        <v>341</v>
      </c>
      <c r="K601" s="103">
        <f t="shared" si="279"/>
        <v>3.3000000000000002E-2</v>
      </c>
      <c r="L601" s="101">
        <f>0.04+0.027</f>
        <v>6.7000000000000004E-2</v>
      </c>
      <c r="M601" s="39">
        <f t="shared" si="287"/>
        <v>33.5</v>
      </c>
      <c r="N601" s="37">
        <v>1</v>
      </c>
      <c r="O601" s="95"/>
    </row>
    <row r="602" spans="1:15" ht="15.75" customHeight="1" x14ac:dyDescent="0.2">
      <c r="A602" s="108"/>
      <c r="B602" s="109" t="s">
        <v>555</v>
      </c>
      <c r="C602" s="110">
        <f t="shared" si="286"/>
        <v>34962</v>
      </c>
      <c r="D602" s="111" t="s">
        <v>84</v>
      </c>
      <c r="E602" s="111" t="s">
        <v>84</v>
      </c>
      <c r="F602" s="112">
        <v>3.0000000000000001E-3</v>
      </c>
      <c r="G602" s="112">
        <f t="shared" si="288"/>
        <v>6.9999999999999993E-3</v>
      </c>
      <c r="H602" s="112">
        <v>5.5E-2</v>
      </c>
      <c r="I602" s="112">
        <f t="shared" si="289"/>
        <v>6.2E-2</v>
      </c>
      <c r="J602" s="118" t="s">
        <v>341</v>
      </c>
      <c r="K602" s="113">
        <f t="shared" si="279"/>
        <v>1.2999999999999998E-2</v>
      </c>
      <c r="L602" s="112">
        <f>0.02+0.055</f>
        <v>7.4999999999999997E-2</v>
      </c>
      <c r="M602" s="114" t="s">
        <v>84</v>
      </c>
      <c r="N602" s="111" t="s">
        <v>84</v>
      </c>
      <c r="O602" s="154"/>
    </row>
    <row r="603" spans="1:15" ht="15.75" customHeight="1" x14ac:dyDescent="0.2">
      <c r="A603" s="85" t="s">
        <v>354</v>
      </c>
      <c r="B603" s="99" t="s">
        <v>399</v>
      </c>
      <c r="C603" s="100">
        <f t="shared" ref="C603:C605" si="290">DATE(95,10,24)</f>
        <v>34996</v>
      </c>
      <c r="D603" s="37">
        <v>85</v>
      </c>
      <c r="E603" s="37">
        <v>12.3</v>
      </c>
      <c r="F603" s="101">
        <v>2E-3</v>
      </c>
      <c r="G603" s="104" t="s">
        <v>343</v>
      </c>
      <c r="H603" s="104" t="s">
        <v>343</v>
      </c>
      <c r="I603" s="101">
        <f>0+0.0025</f>
        <v>2.5000000000000001E-3</v>
      </c>
      <c r="J603" s="103">
        <f>0.07-0.02</f>
        <v>0.05</v>
      </c>
      <c r="K603" s="103">
        <f t="shared" si="279"/>
        <v>0.05</v>
      </c>
      <c r="L603" s="101">
        <f>0.05+0.0025</f>
        <v>5.2500000000000005E-2</v>
      </c>
      <c r="M603" s="39">
        <f t="shared" ref="M603:M604" si="291">L603/F603</f>
        <v>26.250000000000004</v>
      </c>
      <c r="N603" s="37">
        <v>1.3</v>
      </c>
      <c r="O603" s="95"/>
    </row>
    <row r="604" spans="1:15" ht="15.75" customHeight="1" x14ac:dyDescent="0.2">
      <c r="A604" s="85" t="s">
        <v>354</v>
      </c>
      <c r="B604" s="99" t="s">
        <v>521</v>
      </c>
      <c r="C604" s="100">
        <f t="shared" si="290"/>
        <v>34996</v>
      </c>
      <c r="D604" s="106" t="s">
        <v>84</v>
      </c>
      <c r="E604" s="106" t="s">
        <v>84</v>
      </c>
      <c r="F604" s="101">
        <v>4.0000000000000001E-3</v>
      </c>
      <c r="G604" s="101">
        <f>0.025-0.02</f>
        <v>5.000000000000001E-3</v>
      </c>
      <c r="H604" s="101">
        <v>6.0000000000000001E-3</v>
      </c>
      <c r="I604" s="101">
        <f>G604+H604</f>
        <v>1.1000000000000001E-2</v>
      </c>
      <c r="J604" s="103">
        <f>0.1-0.02</f>
        <v>0.08</v>
      </c>
      <c r="K604" s="103">
        <f t="shared" si="279"/>
        <v>7.5000000000000011E-2</v>
      </c>
      <c r="L604" s="101">
        <f t="shared" ref="L604:L605" si="292">J604+H604</f>
        <v>8.6000000000000007E-2</v>
      </c>
      <c r="M604" s="39">
        <f t="shared" si="291"/>
        <v>21.5</v>
      </c>
      <c r="N604" s="37">
        <v>1.4</v>
      </c>
      <c r="O604" s="95"/>
    </row>
    <row r="605" spans="1:15" ht="15.75" customHeight="1" x14ac:dyDescent="0.2">
      <c r="A605" s="108"/>
      <c r="B605" s="109" t="s">
        <v>555</v>
      </c>
      <c r="C605" s="110">
        <f t="shared" si="290"/>
        <v>34996</v>
      </c>
      <c r="D605" s="111" t="s">
        <v>84</v>
      </c>
      <c r="E605" s="111" t="s">
        <v>84</v>
      </c>
      <c r="F605" s="112">
        <v>4.0000000000000001E-3</v>
      </c>
      <c r="G605" s="116" t="s">
        <v>343</v>
      </c>
      <c r="H605" s="112">
        <v>6.0999999999999999E-2</v>
      </c>
      <c r="I605" s="112">
        <f>0.002+0.061</f>
        <v>6.3E-2</v>
      </c>
      <c r="J605" s="113">
        <f>0.09-0.02</f>
        <v>6.9999999999999993E-2</v>
      </c>
      <c r="K605" s="113">
        <f t="shared" si="279"/>
        <v>6.8000000000000005E-2</v>
      </c>
      <c r="L605" s="112">
        <f t="shared" si="292"/>
        <v>0.13100000000000001</v>
      </c>
      <c r="M605" s="114" t="s">
        <v>84</v>
      </c>
      <c r="N605" s="111" t="s">
        <v>84</v>
      </c>
      <c r="O605" s="154"/>
    </row>
    <row r="606" spans="1:15" ht="15.75" customHeight="1" x14ac:dyDescent="0.2">
      <c r="A606" s="85"/>
      <c r="B606" s="38"/>
      <c r="C606" s="36"/>
      <c r="D606" s="37"/>
      <c r="E606" s="37"/>
      <c r="F606" s="101"/>
      <c r="G606" s="101"/>
      <c r="H606" s="101"/>
      <c r="I606" s="101"/>
      <c r="J606" s="103"/>
      <c r="K606" s="103"/>
      <c r="L606" s="101"/>
      <c r="M606" s="39"/>
      <c r="N606" s="37"/>
      <c r="O606" s="98"/>
    </row>
    <row r="607" spans="1:15" ht="15.75" customHeight="1" x14ac:dyDescent="0.2">
      <c r="A607" s="85"/>
      <c r="B607" s="99" t="s">
        <v>519</v>
      </c>
      <c r="C607" s="100">
        <f t="shared" ref="C607:C608" si="293">DATE(97,4,24)</f>
        <v>35544</v>
      </c>
      <c r="D607" s="106">
        <v>74.2</v>
      </c>
      <c r="E607" s="37">
        <v>10.7</v>
      </c>
      <c r="F607" s="101">
        <v>4.0000000000000001E-3</v>
      </c>
      <c r="G607" s="104" t="s">
        <v>343</v>
      </c>
      <c r="H607" s="101">
        <v>3.5999999999999997E-2</v>
      </c>
      <c r="I607" s="101">
        <f>0.002+H607</f>
        <v>3.7999999999999999E-2</v>
      </c>
      <c r="J607" s="103">
        <f t="shared" ref="J607:J608" si="294">0.07-0.006</f>
        <v>6.4000000000000001E-2</v>
      </c>
      <c r="K607" s="103">
        <f t="shared" ref="K607:K617" si="295">L607-I607</f>
        <v>6.2000000000000006E-2</v>
      </c>
      <c r="L607" s="101">
        <f t="shared" ref="L607:L610" si="296">J607+H607</f>
        <v>0.1</v>
      </c>
      <c r="M607" s="39">
        <f>L607/F607</f>
        <v>25</v>
      </c>
      <c r="N607" s="106">
        <v>1.6</v>
      </c>
      <c r="O607" s="98"/>
    </row>
    <row r="608" spans="1:15" ht="15.75" customHeight="1" x14ac:dyDescent="0.2">
      <c r="A608" s="108"/>
      <c r="B608" s="149" t="s">
        <v>555</v>
      </c>
      <c r="C608" s="110">
        <f t="shared" si="293"/>
        <v>35544</v>
      </c>
      <c r="D608" s="111" t="s">
        <v>84</v>
      </c>
      <c r="E608" s="111" t="s">
        <v>84</v>
      </c>
      <c r="F608" s="112">
        <v>4.0000000000000001E-3</v>
      </c>
      <c r="G608" s="116" t="s">
        <v>343</v>
      </c>
      <c r="H608" s="112">
        <v>3.3000000000000002E-2</v>
      </c>
      <c r="I608" s="112">
        <f>0+H608</f>
        <v>3.3000000000000002E-2</v>
      </c>
      <c r="J608" s="113">
        <f t="shared" si="294"/>
        <v>6.4000000000000001E-2</v>
      </c>
      <c r="K608" s="113">
        <f t="shared" si="295"/>
        <v>6.4000000000000001E-2</v>
      </c>
      <c r="L608" s="112">
        <f t="shared" si="296"/>
        <v>9.7000000000000003E-2</v>
      </c>
      <c r="M608" s="114" t="s">
        <v>84</v>
      </c>
      <c r="N608" s="111" t="s">
        <v>84</v>
      </c>
      <c r="O608" s="115"/>
    </row>
    <row r="609" spans="1:15" ht="15.75" customHeight="1" x14ac:dyDescent="0.2">
      <c r="A609" s="85"/>
      <c r="B609" s="99" t="s">
        <v>400</v>
      </c>
      <c r="C609" s="100">
        <f t="shared" ref="C609:C610" si="297">DATE(97,5,12)</f>
        <v>35562</v>
      </c>
      <c r="D609" s="106">
        <v>74.599999999999994</v>
      </c>
      <c r="E609" s="106">
        <v>7.5</v>
      </c>
      <c r="F609" s="101">
        <v>6.0000000000000001E-3</v>
      </c>
      <c r="G609" s="104" t="s">
        <v>343</v>
      </c>
      <c r="H609" s="101">
        <v>7.8E-2</v>
      </c>
      <c r="I609" s="101">
        <f>0.004+H609</f>
        <v>8.2000000000000003E-2</v>
      </c>
      <c r="J609" s="103">
        <f>0.1-0.006</f>
        <v>9.4E-2</v>
      </c>
      <c r="K609" s="103">
        <f t="shared" si="295"/>
        <v>8.9999999999999983E-2</v>
      </c>
      <c r="L609" s="101">
        <f t="shared" si="296"/>
        <v>0.17199999999999999</v>
      </c>
      <c r="M609" s="39">
        <f>L609/F609</f>
        <v>28.666666666666664</v>
      </c>
      <c r="N609" s="106">
        <v>3</v>
      </c>
      <c r="O609" s="98"/>
    </row>
    <row r="610" spans="1:15" ht="15.75" customHeight="1" x14ac:dyDescent="0.2">
      <c r="A610" s="108"/>
      <c r="B610" s="149" t="s">
        <v>555</v>
      </c>
      <c r="C610" s="110">
        <f t="shared" si="297"/>
        <v>35562</v>
      </c>
      <c r="D610" s="111" t="s">
        <v>84</v>
      </c>
      <c r="E610" s="111" t="s">
        <v>84</v>
      </c>
      <c r="F610" s="112">
        <v>4.0000000000000001E-3</v>
      </c>
      <c r="G610" s="112">
        <v>6.0000000000000001E-3</v>
      </c>
      <c r="H610" s="112">
        <v>3.5000000000000003E-2</v>
      </c>
      <c r="I610" s="112">
        <f>G610+H610</f>
        <v>4.1000000000000002E-2</v>
      </c>
      <c r="J610" s="113">
        <f>0.07-0.006</f>
        <v>6.4000000000000001E-2</v>
      </c>
      <c r="K610" s="113">
        <f t="shared" si="295"/>
        <v>5.8000000000000003E-2</v>
      </c>
      <c r="L610" s="112">
        <f t="shared" si="296"/>
        <v>9.9000000000000005E-2</v>
      </c>
      <c r="M610" s="114" t="s">
        <v>84</v>
      </c>
      <c r="N610" s="111" t="s">
        <v>84</v>
      </c>
      <c r="O610" s="115"/>
    </row>
    <row r="611" spans="1:15" ht="15.75" customHeight="1" x14ac:dyDescent="0.2">
      <c r="A611" s="108"/>
      <c r="B611" s="109" t="s">
        <v>79</v>
      </c>
      <c r="C611" s="110">
        <f>DATE(97,6,3)</f>
        <v>35584</v>
      </c>
      <c r="D611" s="111">
        <v>75.900000000000006</v>
      </c>
      <c r="E611" s="111">
        <v>5.6</v>
      </c>
      <c r="F611" s="112">
        <v>4.0000000000000001E-3</v>
      </c>
      <c r="G611" s="116" t="s">
        <v>343</v>
      </c>
      <c r="H611" s="151" t="s">
        <v>398</v>
      </c>
      <c r="I611" s="112">
        <f>0+0.005</f>
        <v>5.0000000000000001E-3</v>
      </c>
      <c r="J611" s="113">
        <f>0.14-0.006</f>
        <v>0.13400000000000001</v>
      </c>
      <c r="K611" s="113">
        <f t="shared" si="295"/>
        <v>0.13400000000000001</v>
      </c>
      <c r="L611" s="112">
        <f>J611+0.005</f>
        <v>0.13900000000000001</v>
      </c>
      <c r="M611" s="119">
        <f t="shared" ref="M611:M612" si="298">L611/F611</f>
        <v>34.75</v>
      </c>
      <c r="N611" s="150" t="s">
        <v>569</v>
      </c>
      <c r="O611" s="115"/>
    </row>
    <row r="612" spans="1:15" ht="15.75" customHeight="1" x14ac:dyDescent="0.2">
      <c r="A612" s="85"/>
      <c r="B612" s="99" t="s">
        <v>79</v>
      </c>
      <c r="C612" s="100">
        <f t="shared" ref="C612:C613" si="299">DATE(97,6,24)</f>
        <v>35605</v>
      </c>
      <c r="D612" s="106">
        <v>75.599999999999994</v>
      </c>
      <c r="E612" s="106">
        <v>5.2</v>
      </c>
      <c r="F612" s="101">
        <v>7.0000000000000001E-3</v>
      </c>
      <c r="G612" s="101">
        <v>8.9999999999999993E-3</v>
      </c>
      <c r="H612" s="101">
        <v>0.06</v>
      </c>
      <c r="I612" s="101">
        <f t="shared" ref="I612:I613" si="300">G612+H612</f>
        <v>6.8999999999999992E-2</v>
      </c>
      <c r="J612" s="103">
        <f>0.1-0.006</f>
        <v>9.4E-2</v>
      </c>
      <c r="K612" s="103">
        <f t="shared" si="295"/>
        <v>8.5000000000000006E-2</v>
      </c>
      <c r="L612" s="101">
        <f t="shared" ref="L612:L615" si="301">J612+H612</f>
        <v>0.154</v>
      </c>
      <c r="M612" s="39">
        <f t="shared" si="298"/>
        <v>22</v>
      </c>
      <c r="N612" s="106">
        <v>2.5</v>
      </c>
      <c r="O612" s="98"/>
    </row>
    <row r="613" spans="1:15" ht="15.75" customHeight="1" x14ac:dyDescent="0.2">
      <c r="A613" s="108"/>
      <c r="B613" s="149" t="s">
        <v>555</v>
      </c>
      <c r="C613" s="110">
        <f t="shared" si="299"/>
        <v>35605</v>
      </c>
      <c r="D613" s="111" t="s">
        <v>84</v>
      </c>
      <c r="E613" s="111" t="s">
        <v>84</v>
      </c>
      <c r="F613" s="112">
        <v>6.0000000000000001E-3</v>
      </c>
      <c r="G613" s="112">
        <v>7.0000000000000001E-3</v>
      </c>
      <c r="H613" s="112">
        <v>4.5999999999999999E-2</v>
      </c>
      <c r="I613" s="112">
        <f t="shared" si="300"/>
        <v>5.2999999999999999E-2</v>
      </c>
      <c r="J613" s="113">
        <f>0.11-0.006</f>
        <v>0.104</v>
      </c>
      <c r="K613" s="113">
        <f t="shared" si="295"/>
        <v>9.7000000000000003E-2</v>
      </c>
      <c r="L613" s="112">
        <f t="shared" si="301"/>
        <v>0.15</v>
      </c>
      <c r="M613" s="114" t="s">
        <v>84</v>
      </c>
      <c r="N613" s="111" t="s">
        <v>84</v>
      </c>
      <c r="O613" s="115"/>
    </row>
    <row r="614" spans="1:15" ht="15.75" customHeight="1" x14ac:dyDescent="0.2">
      <c r="A614" s="85"/>
      <c r="B614" s="99" t="s">
        <v>79</v>
      </c>
      <c r="C614" s="100">
        <f t="shared" ref="C614:C615" si="302">DATE(97,7,16)</f>
        <v>35627</v>
      </c>
      <c r="D614" s="106">
        <v>77.7</v>
      </c>
      <c r="E614" s="106">
        <v>8</v>
      </c>
      <c r="F614" s="101">
        <v>3.0000000000000001E-3</v>
      </c>
      <c r="G614" s="104" t="s">
        <v>343</v>
      </c>
      <c r="H614" s="101">
        <v>1.2E-2</v>
      </c>
      <c r="I614" s="101">
        <f>0.001+H614</f>
        <v>1.3000000000000001E-2</v>
      </c>
      <c r="J614" s="103">
        <f>0.1-0.006</f>
        <v>9.4E-2</v>
      </c>
      <c r="K614" s="103">
        <f t="shared" si="295"/>
        <v>9.2999999999999999E-2</v>
      </c>
      <c r="L614" s="101">
        <f t="shared" si="301"/>
        <v>0.106</v>
      </c>
      <c r="M614" s="39">
        <f>L614/F614</f>
        <v>35.333333333333329</v>
      </c>
      <c r="N614" s="106">
        <v>2.2000000000000002</v>
      </c>
      <c r="O614" s="98"/>
    </row>
    <row r="615" spans="1:15" ht="15.75" customHeight="1" x14ac:dyDescent="0.2">
      <c r="A615" s="108"/>
      <c r="B615" s="149" t="s">
        <v>555</v>
      </c>
      <c r="C615" s="110">
        <f t="shared" si="302"/>
        <v>35627</v>
      </c>
      <c r="D615" s="111" t="s">
        <v>84</v>
      </c>
      <c r="E615" s="111" t="s">
        <v>84</v>
      </c>
      <c r="F615" s="112">
        <v>3.0000000000000001E-3</v>
      </c>
      <c r="G615" s="116" t="s">
        <v>343</v>
      </c>
      <c r="H615" s="112">
        <v>5.5E-2</v>
      </c>
      <c r="I615" s="112">
        <f>0+H615</f>
        <v>5.5E-2</v>
      </c>
      <c r="J615" s="113">
        <f>0.06-0.006</f>
        <v>5.3999999999999999E-2</v>
      </c>
      <c r="K615" s="113">
        <f t="shared" si="295"/>
        <v>5.3999999999999999E-2</v>
      </c>
      <c r="L615" s="112">
        <f t="shared" si="301"/>
        <v>0.109</v>
      </c>
      <c r="M615" s="114" t="s">
        <v>84</v>
      </c>
      <c r="N615" s="111" t="s">
        <v>84</v>
      </c>
      <c r="O615" s="115"/>
    </row>
    <row r="616" spans="1:15" ht="15.75" customHeight="1" x14ac:dyDescent="0.2">
      <c r="A616" s="85"/>
      <c r="B616" s="99" t="s">
        <v>400</v>
      </c>
      <c r="C616" s="100">
        <f t="shared" ref="C616:C617" si="303">DATE(97,9,10)</f>
        <v>35683</v>
      </c>
      <c r="D616" s="106" t="s">
        <v>84</v>
      </c>
      <c r="E616" s="106">
        <v>9.6</v>
      </c>
      <c r="F616" s="101">
        <v>8.0000000000000002E-3</v>
      </c>
      <c r="G616" s="101">
        <v>8.0000000000000002E-3</v>
      </c>
      <c r="H616" s="148" t="s">
        <v>398</v>
      </c>
      <c r="I616" s="101">
        <f>G616+0.005</f>
        <v>1.3000000000000001E-2</v>
      </c>
      <c r="J616" s="103">
        <f>0.1-0.006</f>
        <v>9.4E-2</v>
      </c>
      <c r="K616" s="103">
        <f t="shared" si="295"/>
        <v>8.6000000000000007E-2</v>
      </c>
      <c r="L616" s="101">
        <f>J616+0.005</f>
        <v>9.9000000000000005E-2</v>
      </c>
      <c r="M616" s="39">
        <f>L616/F616</f>
        <v>12.375</v>
      </c>
      <c r="N616" s="106">
        <v>1.1000000000000001</v>
      </c>
      <c r="O616" s="98"/>
    </row>
    <row r="617" spans="1:15" ht="15.75" customHeight="1" x14ac:dyDescent="0.2">
      <c r="A617" s="108"/>
      <c r="B617" s="149" t="s">
        <v>555</v>
      </c>
      <c r="C617" s="110">
        <f t="shared" si="303"/>
        <v>35683</v>
      </c>
      <c r="D617" s="111" t="s">
        <v>84</v>
      </c>
      <c r="E617" s="111" t="s">
        <v>84</v>
      </c>
      <c r="F617" s="112">
        <v>8.0000000000000002E-3</v>
      </c>
      <c r="G617" s="116" t="s">
        <v>343</v>
      </c>
      <c r="H617" s="112">
        <v>5.8000000000000003E-2</v>
      </c>
      <c r="I617" s="112">
        <f>0.003+H617</f>
        <v>6.1000000000000006E-2</v>
      </c>
      <c r="J617" s="118" t="s">
        <v>341</v>
      </c>
      <c r="K617" s="113">
        <f t="shared" si="295"/>
        <v>4.1000000000000002E-2</v>
      </c>
      <c r="L617" s="112">
        <f>0.044+H617</f>
        <v>0.10200000000000001</v>
      </c>
      <c r="M617" s="114" t="s">
        <v>84</v>
      </c>
      <c r="N617" s="111" t="s">
        <v>84</v>
      </c>
      <c r="O617" s="115"/>
    </row>
    <row r="618" spans="1:15" ht="15.75" customHeight="1" x14ac:dyDescent="0.2">
      <c r="A618" s="85"/>
      <c r="B618" s="38"/>
      <c r="C618" s="36"/>
      <c r="D618" s="37"/>
      <c r="E618" s="37"/>
      <c r="F618" s="101"/>
      <c r="G618" s="101"/>
      <c r="H618" s="101"/>
      <c r="I618" s="101"/>
      <c r="J618" s="103"/>
      <c r="K618" s="103"/>
      <c r="L618" s="101"/>
      <c r="M618" s="39"/>
      <c r="N618" s="37"/>
      <c r="O618" s="98"/>
    </row>
    <row r="619" spans="1:15" ht="15.75" customHeight="1" x14ac:dyDescent="0.2">
      <c r="A619" s="85"/>
      <c r="B619" s="99" t="s">
        <v>516</v>
      </c>
      <c r="C619" s="100">
        <f t="shared" ref="C619:C620" si="304">DATE(98,4,8)</f>
        <v>35893</v>
      </c>
      <c r="D619" s="106">
        <v>84</v>
      </c>
      <c r="E619" s="106">
        <v>9</v>
      </c>
      <c r="F619" s="101">
        <v>5.0000000000000001E-3</v>
      </c>
      <c r="G619" s="104" t="s">
        <v>343</v>
      </c>
      <c r="H619" s="101">
        <v>3.9E-2</v>
      </c>
      <c r="I619" s="101">
        <f>0.0025+H619</f>
        <v>4.1500000000000002E-2</v>
      </c>
      <c r="J619" s="181" t="s">
        <v>492</v>
      </c>
      <c r="K619" s="178" t="s">
        <v>84</v>
      </c>
      <c r="L619" s="148" t="s">
        <v>84</v>
      </c>
      <c r="M619" s="178" t="s">
        <v>84</v>
      </c>
      <c r="N619" s="106">
        <v>1.4</v>
      </c>
      <c r="O619" s="98"/>
    </row>
    <row r="620" spans="1:15" ht="15.75" customHeight="1" x14ac:dyDescent="0.2">
      <c r="A620" s="108"/>
      <c r="B620" s="149" t="s">
        <v>283</v>
      </c>
      <c r="C620" s="110">
        <f t="shared" si="304"/>
        <v>35893</v>
      </c>
      <c r="D620" s="150" t="s">
        <v>84</v>
      </c>
      <c r="E620" s="150" t="s">
        <v>84</v>
      </c>
      <c r="F620" s="112">
        <v>4.0000000000000001E-3</v>
      </c>
      <c r="G620" s="112">
        <v>1.4E-2</v>
      </c>
      <c r="H620" s="112">
        <v>4.2000000000000003E-2</v>
      </c>
      <c r="I620" s="112">
        <f t="shared" ref="I620:I622" si="305">G620+H620</f>
        <v>5.6000000000000001E-2</v>
      </c>
      <c r="J620" s="113">
        <v>0.09</v>
      </c>
      <c r="K620" s="113">
        <f t="shared" ref="K620:K622" si="306">L620-I620</f>
        <v>7.6000000000000012E-2</v>
      </c>
      <c r="L620" s="112">
        <f t="shared" ref="L620:L622" si="307">J620+H620</f>
        <v>0.13200000000000001</v>
      </c>
      <c r="M620" s="172" t="s">
        <v>84</v>
      </c>
      <c r="N620" s="150" t="s">
        <v>84</v>
      </c>
      <c r="O620" s="115"/>
    </row>
    <row r="621" spans="1:15" ht="15.75" customHeight="1" x14ac:dyDescent="0.2">
      <c r="A621" s="85"/>
      <c r="B621" s="99" t="s">
        <v>570</v>
      </c>
      <c r="C621" s="100">
        <f t="shared" ref="C621:C622" si="308">DATE(98,4,28)</f>
        <v>35913</v>
      </c>
      <c r="D621" s="106">
        <v>79.5</v>
      </c>
      <c r="E621" s="106">
        <v>9.3000000000000007</v>
      </c>
      <c r="F621" s="101">
        <v>4.0000000000000001E-3</v>
      </c>
      <c r="G621" s="101">
        <v>8.9999999999999993E-3</v>
      </c>
      <c r="H621" s="101">
        <v>2.5000000000000001E-2</v>
      </c>
      <c r="I621" s="101">
        <f t="shared" si="305"/>
        <v>3.4000000000000002E-2</v>
      </c>
      <c r="J621" s="103">
        <v>0.15</v>
      </c>
      <c r="K621" s="103">
        <f t="shared" si="306"/>
        <v>0.14099999999999999</v>
      </c>
      <c r="L621" s="101">
        <f t="shared" si="307"/>
        <v>0.17499999999999999</v>
      </c>
      <c r="M621" s="39">
        <f>L621/F621</f>
        <v>43.749999999999993</v>
      </c>
      <c r="N621" s="106">
        <v>1.8</v>
      </c>
      <c r="O621" s="98"/>
    </row>
    <row r="622" spans="1:15" ht="15.75" customHeight="1" x14ac:dyDescent="0.2">
      <c r="A622" s="96"/>
      <c r="B622" s="182" t="s">
        <v>283</v>
      </c>
      <c r="C622" s="121">
        <f t="shared" si="308"/>
        <v>35913</v>
      </c>
      <c r="D622" s="183" t="s">
        <v>84</v>
      </c>
      <c r="E622" s="183" t="s">
        <v>84</v>
      </c>
      <c r="F622" s="123">
        <v>3.0000000000000001E-3</v>
      </c>
      <c r="G622" s="123">
        <v>1.2E-2</v>
      </c>
      <c r="H622" s="123">
        <v>4.2000000000000003E-2</v>
      </c>
      <c r="I622" s="123">
        <f t="shared" si="305"/>
        <v>5.4000000000000006E-2</v>
      </c>
      <c r="J622" s="125">
        <v>0.06</v>
      </c>
      <c r="K622" s="125">
        <f t="shared" si="306"/>
        <v>4.8000000000000001E-2</v>
      </c>
      <c r="L622" s="123">
        <f t="shared" si="307"/>
        <v>0.10200000000000001</v>
      </c>
      <c r="M622" s="184" t="s">
        <v>84</v>
      </c>
      <c r="N622" s="183" t="s">
        <v>84</v>
      </c>
      <c r="O622" s="128"/>
    </row>
    <row r="623" spans="1:15" ht="15.75" customHeight="1" x14ac:dyDescent="0.2">
      <c r="A623" s="38"/>
      <c r="B623" s="38"/>
      <c r="C623" s="36"/>
      <c r="D623" s="37"/>
      <c r="E623" s="37"/>
      <c r="F623" s="101"/>
      <c r="H623" s="101"/>
      <c r="I623" s="101"/>
      <c r="J623" s="103"/>
      <c r="K623" s="103"/>
      <c r="L623" s="101"/>
      <c r="M623" s="39"/>
      <c r="N623" s="37"/>
    </row>
    <row r="624" spans="1:15" ht="15.75" customHeight="1" x14ac:dyDescent="0.2">
      <c r="A624" s="38"/>
      <c r="B624" s="38"/>
      <c r="C624" s="36"/>
      <c r="D624" s="37"/>
      <c r="E624" s="37"/>
      <c r="F624" s="101"/>
      <c r="G624" s="157"/>
      <c r="H624" s="101"/>
      <c r="I624" s="101"/>
      <c r="J624" s="103"/>
      <c r="K624" s="103"/>
      <c r="L624" s="101"/>
      <c r="M624" s="39"/>
      <c r="N624" s="37"/>
    </row>
    <row r="625" spans="1:15" ht="15.75" customHeight="1" x14ac:dyDescent="0.2">
      <c r="A625" s="164"/>
      <c r="B625" s="87"/>
      <c r="C625" s="86"/>
      <c r="D625" s="131"/>
      <c r="E625" s="131"/>
      <c r="F625" s="132"/>
      <c r="H625" s="133" t="s">
        <v>319</v>
      </c>
      <c r="I625" s="132"/>
      <c r="J625" s="134"/>
      <c r="K625" s="134"/>
      <c r="L625" s="132"/>
      <c r="M625" s="135"/>
      <c r="N625" s="131"/>
      <c r="O625" s="89"/>
    </row>
    <row r="626" spans="1:15" ht="15.75" customHeight="1" x14ac:dyDescent="0.25">
      <c r="A626" s="85"/>
      <c r="B626" s="90" t="s">
        <v>320</v>
      </c>
      <c r="C626" s="91"/>
      <c r="D626" s="136" t="s">
        <v>321</v>
      </c>
      <c r="E626" s="136" t="s">
        <v>322</v>
      </c>
      <c r="F626" s="137"/>
      <c r="G626" s="138" t="s">
        <v>323</v>
      </c>
      <c r="H626" s="139" t="s">
        <v>571</v>
      </c>
      <c r="I626" s="138" t="s">
        <v>323</v>
      </c>
      <c r="J626" s="140"/>
      <c r="K626" s="141" t="s">
        <v>323</v>
      </c>
      <c r="L626" s="137"/>
      <c r="M626" s="142"/>
      <c r="N626" s="143"/>
      <c r="O626" s="95"/>
    </row>
    <row r="627" spans="1:15" ht="15.75" customHeight="1" x14ac:dyDescent="0.25">
      <c r="A627" s="85"/>
      <c r="B627" s="90" t="s">
        <v>325</v>
      </c>
      <c r="C627" s="91"/>
      <c r="D627" s="136" t="s">
        <v>52</v>
      </c>
      <c r="E627" s="136" t="s">
        <v>52</v>
      </c>
      <c r="F627" s="138" t="s">
        <v>326</v>
      </c>
      <c r="G627" s="138" t="s">
        <v>572</v>
      </c>
      <c r="H627" s="139" t="s">
        <v>573</v>
      </c>
      <c r="I627" s="138" t="s">
        <v>329</v>
      </c>
      <c r="J627" s="141" t="s">
        <v>330</v>
      </c>
      <c r="K627" s="141" t="s">
        <v>331</v>
      </c>
      <c r="L627" s="138" t="s">
        <v>332</v>
      </c>
      <c r="M627" s="142"/>
      <c r="N627" s="136" t="s">
        <v>333</v>
      </c>
      <c r="O627" s="95"/>
    </row>
    <row r="628" spans="1:15" ht="15.75" customHeight="1" x14ac:dyDescent="0.2">
      <c r="A628" s="96"/>
      <c r="B628" s="97" t="s">
        <v>334</v>
      </c>
      <c r="C628" s="165" t="s">
        <v>335</v>
      </c>
      <c r="D628" s="166" t="s">
        <v>336</v>
      </c>
      <c r="E628" s="166" t="s">
        <v>336</v>
      </c>
      <c r="F628" s="167" t="s">
        <v>337</v>
      </c>
      <c r="G628" s="167" t="s">
        <v>337</v>
      </c>
      <c r="H628" s="167" t="s">
        <v>337</v>
      </c>
      <c r="I628" s="167" t="s">
        <v>337</v>
      </c>
      <c r="J628" s="168" t="s">
        <v>337</v>
      </c>
      <c r="K628" s="168" t="s">
        <v>337</v>
      </c>
      <c r="L628" s="167" t="s">
        <v>337</v>
      </c>
      <c r="M628" s="169" t="s">
        <v>338</v>
      </c>
      <c r="N628" s="166" t="s">
        <v>339</v>
      </c>
      <c r="O628" s="160"/>
    </row>
    <row r="629" spans="1:15" ht="15.75" customHeight="1" x14ac:dyDescent="0.2">
      <c r="A629" s="85"/>
      <c r="B629" s="38"/>
      <c r="C629" s="36"/>
      <c r="D629" s="37"/>
      <c r="E629" s="37"/>
      <c r="F629" s="101"/>
      <c r="G629" s="101"/>
      <c r="H629" s="101"/>
      <c r="I629" s="101"/>
      <c r="J629" s="103"/>
      <c r="K629" s="103"/>
      <c r="L629" s="101"/>
      <c r="M629" s="39"/>
      <c r="N629" s="37"/>
      <c r="O629" s="98"/>
    </row>
    <row r="630" spans="1:15" ht="15.75" customHeight="1" x14ac:dyDescent="0.2">
      <c r="A630" s="85"/>
      <c r="B630" s="90" t="s">
        <v>550</v>
      </c>
      <c r="C630" s="36"/>
      <c r="D630" s="37"/>
      <c r="E630" s="37"/>
      <c r="F630" s="101"/>
      <c r="G630" s="101"/>
      <c r="H630" s="101"/>
      <c r="I630" s="101"/>
      <c r="J630" s="103"/>
      <c r="K630" s="103"/>
      <c r="L630" s="101"/>
      <c r="M630" s="39"/>
      <c r="N630" s="37"/>
      <c r="O630" s="98"/>
    </row>
    <row r="631" spans="1:15" ht="15.75" customHeight="1" x14ac:dyDescent="0.2">
      <c r="A631" s="85"/>
      <c r="B631" s="99" t="s">
        <v>81</v>
      </c>
      <c r="C631" s="100">
        <f t="shared" ref="C631:C632" si="309">DATE(98,5,19)</f>
        <v>35934</v>
      </c>
      <c r="D631" s="106">
        <v>80.5</v>
      </c>
      <c r="E631" s="106">
        <v>7</v>
      </c>
      <c r="F631" s="101">
        <v>5.0000000000000001E-3</v>
      </c>
      <c r="G631" s="104" t="s">
        <v>343</v>
      </c>
      <c r="H631" s="101">
        <v>1.2999999999999999E-2</v>
      </c>
      <c r="I631" s="101">
        <f>0.0025+H631</f>
        <v>1.55E-2</v>
      </c>
      <c r="J631" s="103">
        <v>0.11</v>
      </c>
      <c r="K631" s="103">
        <f t="shared" ref="K631:K642" si="310">L631-I631</f>
        <v>0.1075</v>
      </c>
      <c r="L631" s="101">
        <f t="shared" ref="L631:L632" si="311">J631+H631</f>
        <v>0.123</v>
      </c>
      <c r="M631" s="39">
        <f>L631/F631</f>
        <v>24.599999999999998</v>
      </c>
      <c r="N631" s="106">
        <v>2.2999999999999998</v>
      </c>
      <c r="O631" s="98"/>
    </row>
    <row r="632" spans="1:15" ht="15.75" customHeight="1" x14ac:dyDescent="0.2">
      <c r="A632" s="108"/>
      <c r="B632" s="149" t="s">
        <v>283</v>
      </c>
      <c r="C632" s="110">
        <f t="shared" si="309"/>
        <v>35934</v>
      </c>
      <c r="D632" s="150" t="s">
        <v>84</v>
      </c>
      <c r="E632" s="150" t="s">
        <v>84</v>
      </c>
      <c r="F632" s="112">
        <v>6.0000000000000001E-3</v>
      </c>
      <c r="G632" s="112">
        <v>5.0000000000000001E-3</v>
      </c>
      <c r="H632" s="112">
        <v>4.7E-2</v>
      </c>
      <c r="I632" s="112">
        <f>G632+H632</f>
        <v>5.1999999999999998E-2</v>
      </c>
      <c r="J632" s="113">
        <v>0.11</v>
      </c>
      <c r="K632" s="113">
        <f t="shared" si="310"/>
        <v>0.10500000000000001</v>
      </c>
      <c r="L632" s="112">
        <f t="shared" si="311"/>
        <v>0.157</v>
      </c>
      <c r="M632" s="172" t="s">
        <v>84</v>
      </c>
      <c r="N632" s="150" t="s">
        <v>84</v>
      </c>
      <c r="O632" s="115"/>
    </row>
    <row r="633" spans="1:15" ht="15.75" customHeight="1" x14ac:dyDescent="0.2">
      <c r="A633" s="85"/>
      <c r="B633" s="99" t="s">
        <v>80</v>
      </c>
      <c r="C633" s="100">
        <f t="shared" ref="C633:C634" si="312">DATE(98,6,9)</f>
        <v>35955</v>
      </c>
      <c r="D633" s="106">
        <v>86</v>
      </c>
      <c r="E633" s="106">
        <v>7</v>
      </c>
      <c r="F633" s="101">
        <v>4.0000000000000001E-3</v>
      </c>
      <c r="G633" s="101">
        <v>6.0000000000000001E-3</v>
      </c>
      <c r="H633" s="148" t="s">
        <v>398</v>
      </c>
      <c r="I633" s="101">
        <f>G633+0.005</f>
        <v>1.0999999999999999E-2</v>
      </c>
      <c r="J633" s="103">
        <v>0.11</v>
      </c>
      <c r="K633" s="103">
        <f t="shared" si="310"/>
        <v>0.10400000000000001</v>
      </c>
      <c r="L633" s="101">
        <f>J633+0.005</f>
        <v>0.115</v>
      </c>
      <c r="M633" s="39">
        <f>L633/F633</f>
        <v>28.75</v>
      </c>
      <c r="N633" s="106">
        <v>2.4</v>
      </c>
      <c r="O633" s="98"/>
    </row>
    <row r="634" spans="1:15" ht="15.75" customHeight="1" x14ac:dyDescent="0.2">
      <c r="A634" s="108"/>
      <c r="B634" s="149" t="s">
        <v>283</v>
      </c>
      <c r="C634" s="110">
        <f t="shared" si="312"/>
        <v>35955</v>
      </c>
      <c r="D634" s="150" t="s">
        <v>84</v>
      </c>
      <c r="E634" s="150" t="s">
        <v>84</v>
      </c>
      <c r="F634" s="112">
        <v>3.0000000000000001E-3</v>
      </c>
      <c r="G634" s="116" t="s">
        <v>343</v>
      </c>
      <c r="H634" s="112">
        <v>4.4999999999999998E-2</v>
      </c>
      <c r="I634" s="112">
        <f>0.0025+H634</f>
        <v>4.7500000000000001E-2</v>
      </c>
      <c r="J634" s="113">
        <v>0.09</v>
      </c>
      <c r="K634" s="113">
        <f t="shared" si="310"/>
        <v>8.7500000000000008E-2</v>
      </c>
      <c r="L634" s="112">
        <f>J634+H634</f>
        <v>0.13500000000000001</v>
      </c>
      <c r="M634" s="172" t="s">
        <v>84</v>
      </c>
      <c r="N634" s="150" t="s">
        <v>84</v>
      </c>
      <c r="O634" s="115"/>
    </row>
    <row r="635" spans="1:15" ht="15.75" customHeight="1" x14ac:dyDescent="0.2">
      <c r="A635" s="85"/>
      <c r="B635" s="99" t="s">
        <v>81</v>
      </c>
      <c r="C635" s="100">
        <f t="shared" ref="C635:C636" si="313">DATE(98,7,7)</f>
        <v>35983</v>
      </c>
      <c r="D635" s="106">
        <v>88</v>
      </c>
      <c r="E635" s="106">
        <v>10</v>
      </c>
      <c r="F635" s="101">
        <v>5.0000000000000001E-3</v>
      </c>
      <c r="G635" s="101">
        <v>8.9999999999999993E-3</v>
      </c>
      <c r="H635" s="148" t="s">
        <v>398</v>
      </c>
      <c r="I635" s="101">
        <f>G635+0.005</f>
        <v>1.3999999999999999E-2</v>
      </c>
      <c r="J635" s="103">
        <v>0.24</v>
      </c>
      <c r="K635" s="103">
        <f t="shared" si="310"/>
        <v>0.23099999999999998</v>
      </c>
      <c r="L635" s="101">
        <f>J635+0.005</f>
        <v>0.245</v>
      </c>
      <c r="M635" s="39">
        <f>L635/F635</f>
        <v>49</v>
      </c>
      <c r="N635" s="106">
        <v>1.6</v>
      </c>
      <c r="O635" s="98"/>
    </row>
    <row r="636" spans="1:15" ht="15.75" customHeight="1" x14ac:dyDescent="0.2">
      <c r="A636" s="108"/>
      <c r="B636" s="149" t="s">
        <v>283</v>
      </c>
      <c r="C636" s="110">
        <f t="shared" si="313"/>
        <v>35983</v>
      </c>
      <c r="D636" s="150" t="s">
        <v>84</v>
      </c>
      <c r="E636" s="150" t="s">
        <v>84</v>
      </c>
      <c r="F636" s="112">
        <v>2E-3</v>
      </c>
      <c r="G636" s="112">
        <v>7.0000000000000001E-3</v>
      </c>
      <c r="H636" s="112">
        <v>4.8000000000000001E-2</v>
      </c>
      <c r="I636" s="112">
        <f>G636+H636</f>
        <v>5.5E-2</v>
      </c>
      <c r="J636" s="113">
        <v>0.11</v>
      </c>
      <c r="K636" s="113">
        <f t="shared" si="310"/>
        <v>0.10300000000000001</v>
      </c>
      <c r="L636" s="112">
        <f t="shared" ref="L636:L638" si="314">J636+H636</f>
        <v>0.158</v>
      </c>
      <c r="M636" s="172" t="s">
        <v>84</v>
      </c>
      <c r="N636" s="150" t="s">
        <v>84</v>
      </c>
      <c r="O636" s="115"/>
    </row>
    <row r="637" spans="1:15" ht="15.75" customHeight="1" x14ac:dyDescent="0.2">
      <c r="A637" s="85"/>
      <c r="B637" s="99" t="s">
        <v>86</v>
      </c>
      <c r="C637" s="100">
        <f t="shared" ref="C637:C638" si="315">DATE(98,7,28)</f>
        <v>36004</v>
      </c>
      <c r="D637" s="106">
        <v>85</v>
      </c>
      <c r="E637" s="106">
        <v>10</v>
      </c>
      <c r="F637" s="101">
        <v>4.0000000000000001E-3</v>
      </c>
      <c r="G637" s="104" t="s">
        <v>343</v>
      </c>
      <c r="H637" s="101">
        <v>0.01</v>
      </c>
      <c r="I637" s="101">
        <f>0.0025+H637</f>
        <v>1.2500000000000001E-2</v>
      </c>
      <c r="J637" s="103">
        <v>0.12</v>
      </c>
      <c r="K637" s="103">
        <f t="shared" si="310"/>
        <v>0.11750000000000001</v>
      </c>
      <c r="L637" s="101">
        <f t="shared" si="314"/>
        <v>0.13</v>
      </c>
      <c r="M637" s="39">
        <f>L637/F637</f>
        <v>32.5</v>
      </c>
      <c r="N637" s="106">
        <v>1.4</v>
      </c>
      <c r="O637" s="98"/>
    </row>
    <row r="638" spans="1:15" ht="15.75" customHeight="1" x14ac:dyDescent="0.2">
      <c r="A638" s="108"/>
      <c r="B638" s="149" t="s">
        <v>283</v>
      </c>
      <c r="C638" s="110">
        <f t="shared" si="315"/>
        <v>36004</v>
      </c>
      <c r="D638" s="150" t="s">
        <v>84</v>
      </c>
      <c r="E638" s="150" t="s">
        <v>84</v>
      </c>
      <c r="F638" s="112">
        <v>4.0000000000000001E-3</v>
      </c>
      <c r="G638" s="112">
        <v>2.9000000000000001E-2</v>
      </c>
      <c r="H638" s="112">
        <v>6.2E-2</v>
      </c>
      <c r="I638" s="112">
        <f>G638+H638</f>
        <v>9.0999999999999998E-2</v>
      </c>
      <c r="J638" s="113">
        <v>0.13</v>
      </c>
      <c r="K638" s="113">
        <f t="shared" si="310"/>
        <v>0.10100000000000001</v>
      </c>
      <c r="L638" s="112">
        <f t="shared" si="314"/>
        <v>0.192</v>
      </c>
      <c r="M638" s="172" t="s">
        <v>84</v>
      </c>
      <c r="N638" s="150" t="s">
        <v>84</v>
      </c>
      <c r="O638" s="115"/>
    </row>
    <row r="639" spans="1:15" ht="15.75" customHeight="1" x14ac:dyDescent="0.2">
      <c r="A639" s="85"/>
      <c r="B639" s="99" t="s">
        <v>86</v>
      </c>
      <c r="C639" s="100">
        <f t="shared" ref="C639:C640" si="316">DATE(98,8,25)</f>
        <v>36032</v>
      </c>
      <c r="D639" s="106">
        <v>82.5</v>
      </c>
      <c r="E639" s="106">
        <v>11.8</v>
      </c>
      <c r="F639" s="101">
        <v>5.0000000000000001E-3</v>
      </c>
      <c r="G639" s="101">
        <v>1.4999999999999999E-2</v>
      </c>
      <c r="H639" s="148" t="s">
        <v>398</v>
      </c>
      <c r="I639" s="101">
        <f>G639+0.005</f>
        <v>0.02</v>
      </c>
      <c r="J639" s="103">
        <v>0.1</v>
      </c>
      <c r="K639" s="103">
        <f t="shared" si="310"/>
        <v>8.5000000000000006E-2</v>
      </c>
      <c r="L639" s="101">
        <f>J639+0.005</f>
        <v>0.10500000000000001</v>
      </c>
      <c r="M639" s="39">
        <f>L639/F639</f>
        <v>21</v>
      </c>
      <c r="N639" s="106">
        <v>1.7</v>
      </c>
      <c r="O639" s="98"/>
    </row>
    <row r="640" spans="1:15" ht="15.75" customHeight="1" x14ac:dyDescent="0.2">
      <c r="A640" s="108"/>
      <c r="B640" s="149" t="s">
        <v>283</v>
      </c>
      <c r="C640" s="110">
        <f t="shared" si="316"/>
        <v>36032</v>
      </c>
      <c r="D640" s="150" t="s">
        <v>84</v>
      </c>
      <c r="E640" s="150" t="s">
        <v>84</v>
      </c>
      <c r="F640" s="112">
        <v>3.0000000000000001E-3</v>
      </c>
      <c r="G640" s="116" t="s">
        <v>343</v>
      </c>
      <c r="H640" s="112">
        <v>6.7000000000000004E-2</v>
      </c>
      <c r="I640" s="112">
        <f>0.0025+H640</f>
        <v>6.9500000000000006E-2</v>
      </c>
      <c r="J640" s="113">
        <v>7.0000000000000007E-2</v>
      </c>
      <c r="K640" s="113">
        <f t="shared" si="310"/>
        <v>6.7500000000000004E-2</v>
      </c>
      <c r="L640" s="112">
        <f>J640+H640</f>
        <v>0.13700000000000001</v>
      </c>
      <c r="M640" s="172" t="s">
        <v>84</v>
      </c>
      <c r="N640" s="150" t="s">
        <v>84</v>
      </c>
      <c r="O640" s="115"/>
    </row>
    <row r="641" spans="1:15" ht="15.75" customHeight="1" x14ac:dyDescent="0.2">
      <c r="A641" s="85"/>
      <c r="B641" s="99" t="s">
        <v>368</v>
      </c>
      <c r="C641" s="100">
        <f t="shared" ref="C641:C642" si="317">DATE(98,9,22)</f>
        <v>36060</v>
      </c>
      <c r="D641" s="106">
        <v>83.8</v>
      </c>
      <c r="E641" s="106">
        <v>12.2</v>
      </c>
      <c r="F641" s="101">
        <v>4.0000000000000001E-3</v>
      </c>
      <c r="G641" s="101">
        <v>8.9999999999999993E-3</v>
      </c>
      <c r="H641" s="148" t="s">
        <v>398</v>
      </c>
      <c r="I641" s="101">
        <f>G641+0.005</f>
        <v>1.3999999999999999E-2</v>
      </c>
      <c r="J641" s="103">
        <v>7.0000000000000007E-2</v>
      </c>
      <c r="K641" s="113">
        <f t="shared" si="310"/>
        <v>6.1000000000000013E-2</v>
      </c>
      <c r="L641" s="101">
        <f>J641+0.005</f>
        <v>7.5000000000000011E-2</v>
      </c>
      <c r="M641" s="39">
        <f>L641/F641</f>
        <v>18.750000000000004</v>
      </c>
      <c r="N641" s="37">
        <v>1.4</v>
      </c>
      <c r="O641" s="98"/>
    </row>
    <row r="642" spans="1:15" ht="15.75" customHeight="1" x14ac:dyDescent="0.2">
      <c r="A642" s="108"/>
      <c r="B642" s="149" t="s">
        <v>283</v>
      </c>
      <c r="C642" s="110">
        <f t="shared" si="317"/>
        <v>36060</v>
      </c>
      <c r="D642" s="150" t="s">
        <v>84</v>
      </c>
      <c r="E642" s="150" t="s">
        <v>84</v>
      </c>
      <c r="F642" s="112">
        <v>4.0000000000000001E-3</v>
      </c>
      <c r="G642" s="112">
        <v>7.0000000000000001E-3</v>
      </c>
      <c r="H642" s="112">
        <v>6.8000000000000005E-2</v>
      </c>
      <c r="I642" s="112">
        <f>G642+H642</f>
        <v>7.5000000000000011E-2</v>
      </c>
      <c r="J642" s="151" t="s">
        <v>341</v>
      </c>
      <c r="K642" s="113">
        <f t="shared" si="310"/>
        <v>1.7999999999999988E-2</v>
      </c>
      <c r="L642" s="112">
        <f>0.025+H642</f>
        <v>9.2999999999999999E-2</v>
      </c>
      <c r="M642" s="172" t="s">
        <v>84</v>
      </c>
      <c r="N642" s="172" t="s">
        <v>84</v>
      </c>
      <c r="O642" s="115"/>
    </row>
    <row r="643" spans="1:15" ht="15.75" customHeight="1" x14ac:dyDescent="0.2">
      <c r="A643" s="38"/>
      <c r="B643" s="38"/>
      <c r="C643" s="36"/>
      <c r="D643" s="37"/>
      <c r="E643" s="37"/>
      <c r="F643" s="101"/>
      <c r="G643" s="101"/>
      <c r="H643" s="101"/>
      <c r="I643" s="101"/>
      <c r="J643" s="103"/>
      <c r="K643" s="103"/>
      <c r="L643" s="101"/>
      <c r="M643" s="39"/>
      <c r="N643" s="37"/>
    </row>
    <row r="644" spans="1:15" ht="15.75" customHeight="1" x14ac:dyDescent="0.2">
      <c r="A644" s="38"/>
      <c r="B644" s="161" t="s">
        <v>368</v>
      </c>
      <c r="C644" s="110">
        <f>DATE(2,4,30)</f>
        <v>851</v>
      </c>
      <c r="D644" s="117">
        <f>233*0.3048</f>
        <v>71.0184</v>
      </c>
      <c r="E644" s="161">
        <v>8.5</v>
      </c>
      <c r="F644" s="161">
        <v>4.0000000000000001E-3</v>
      </c>
      <c r="G644" s="161">
        <v>8.0000000000000002E-3</v>
      </c>
      <c r="H644" s="112">
        <v>3.3000000000000002E-2</v>
      </c>
      <c r="I644" s="112">
        <f>G644+H644</f>
        <v>4.1000000000000002E-2</v>
      </c>
      <c r="J644" s="161">
        <v>0.16</v>
      </c>
      <c r="K644" s="113">
        <f t="shared" ref="K644:K645" si="318">L644-I644</f>
        <v>0.152</v>
      </c>
      <c r="L644" s="112">
        <f>J644+H644</f>
        <v>0.193</v>
      </c>
      <c r="M644" s="119">
        <f t="shared" ref="M644:M645" si="319">L644/F644</f>
        <v>48.25</v>
      </c>
      <c r="N644" s="117">
        <v>2.4</v>
      </c>
    </row>
    <row r="645" spans="1:15" ht="15.75" customHeight="1" x14ac:dyDescent="0.2">
      <c r="A645" s="38"/>
      <c r="B645" s="38" t="s">
        <v>487</v>
      </c>
      <c r="C645" s="100">
        <f>DATE(2,9,26)</f>
        <v>1000</v>
      </c>
      <c r="D645" s="37">
        <v>89.2</v>
      </c>
      <c r="E645" s="38">
        <v>12.7</v>
      </c>
      <c r="F645" s="101">
        <v>0.01</v>
      </c>
      <c r="G645" s="104">
        <v>0.01</v>
      </c>
      <c r="H645" s="163" t="s">
        <v>343</v>
      </c>
      <c r="I645" s="101">
        <f>0.01+0.003</f>
        <v>1.3000000000000001E-2</v>
      </c>
      <c r="J645" s="38">
        <v>0.09</v>
      </c>
      <c r="K645" s="103">
        <f t="shared" si="318"/>
        <v>0.08</v>
      </c>
      <c r="L645" s="101">
        <f>0.09+0.003</f>
        <v>9.2999999999999999E-2</v>
      </c>
      <c r="M645" s="39">
        <f t="shared" si="319"/>
        <v>9.2999999999999989</v>
      </c>
      <c r="N645" s="37">
        <v>1.5</v>
      </c>
    </row>
    <row r="646" spans="1:15" ht="15.75" customHeight="1" x14ac:dyDescent="0.2">
      <c r="A646" s="38"/>
      <c r="B646" s="38"/>
      <c r="C646" s="36"/>
      <c r="D646" s="37"/>
      <c r="E646" s="37"/>
      <c r="F646" s="101"/>
      <c r="G646" s="101"/>
      <c r="H646" s="101"/>
      <c r="I646" s="101"/>
      <c r="J646" s="103"/>
      <c r="K646" s="103"/>
      <c r="L646" s="101"/>
      <c r="M646" s="39"/>
      <c r="N646" s="37"/>
    </row>
    <row r="647" spans="1:15" ht="15.75" customHeight="1" x14ac:dyDescent="0.2">
      <c r="A647" s="38"/>
      <c r="B647" s="38"/>
      <c r="C647" s="36"/>
      <c r="D647" s="37"/>
      <c r="E647" s="37"/>
      <c r="F647" s="101"/>
      <c r="G647" s="101"/>
      <c r="H647" s="101"/>
      <c r="I647" s="101"/>
      <c r="J647" s="103"/>
      <c r="K647" s="103"/>
      <c r="L647" s="101"/>
      <c r="M647" s="39"/>
      <c r="N647" s="37"/>
    </row>
    <row r="648" spans="1:15" ht="15.75" customHeight="1" x14ac:dyDescent="0.2">
      <c r="A648" s="38"/>
      <c r="B648" s="38"/>
      <c r="C648" s="36"/>
      <c r="D648" s="37"/>
      <c r="E648" s="37"/>
      <c r="F648" s="101"/>
      <c r="G648" s="101"/>
      <c r="H648" s="101"/>
      <c r="I648" s="101"/>
      <c r="J648" s="103"/>
      <c r="K648" s="103"/>
      <c r="L648" s="101"/>
      <c r="M648" s="39"/>
      <c r="N648" s="37"/>
    </row>
    <row r="649" spans="1:15" ht="15.75" customHeight="1" x14ac:dyDescent="0.2">
      <c r="A649" s="38"/>
      <c r="B649" s="38"/>
      <c r="C649" s="36"/>
      <c r="D649" s="37"/>
      <c r="E649" s="37"/>
      <c r="F649" s="101"/>
      <c r="G649" s="101"/>
      <c r="H649" s="101"/>
      <c r="I649" s="101"/>
      <c r="J649" s="103"/>
      <c r="K649" s="103"/>
      <c r="L649" s="101"/>
      <c r="M649" s="39"/>
      <c r="N649" s="37"/>
    </row>
    <row r="650" spans="1:15" ht="15.75" customHeight="1" x14ac:dyDescent="0.2">
      <c r="A650" s="38"/>
      <c r="B650" s="38"/>
      <c r="C650" s="36"/>
      <c r="D650" s="37"/>
      <c r="E650" s="37"/>
      <c r="F650" s="101"/>
      <c r="G650" s="101"/>
      <c r="H650" s="101"/>
      <c r="I650" s="101"/>
      <c r="J650" s="103"/>
      <c r="K650" s="103"/>
      <c r="L650" s="101"/>
      <c r="M650" s="39"/>
      <c r="N650" s="37"/>
    </row>
    <row r="651" spans="1:15" ht="15.75" customHeight="1" x14ac:dyDescent="0.2">
      <c r="A651" s="38"/>
      <c r="B651" s="38"/>
      <c r="C651" s="36"/>
      <c r="D651" s="37"/>
      <c r="E651" s="37"/>
      <c r="F651" s="101"/>
      <c r="G651" s="101"/>
      <c r="H651" s="101"/>
      <c r="I651" s="101"/>
      <c r="J651" s="103"/>
      <c r="K651" s="103"/>
      <c r="L651" s="101"/>
      <c r="M651" s="39"/>
      <c r="N651" s="37"/>
    </row>
    <row r="652" spans="1:15" ht="15.75" customHeight="1" x14ac:dyDescent="0.2">
      <c r="A652" s="38"/>
      <c r="B652" s="38"/>
      <c r="C652" s="36"/>
      <c r="D652" s="37"/>
      <c r="E652" s="37"/>
      <c r="F652" s="101"/>
      <c r="G652" s="101"/>
      <c r="H652" s="101"/>
      <c r="I652" s="101"/>
      <c r="J652" s="103"/>
      <c r="K652" s="103"/>
      <c r="L652" s="101"/>
      <c r="M652" s="39"/>
      <c r="N652" s="37"/>
    </row>
    <row r="653" spans="1:15" ht="15.75" customHeight="1" x14ac:dyDescent="0.2">
      <c r="A653" s="38"/>
      <c r="B653" s="38"/>
      <c r="C653" s="36"/>
      <c r="D653" s="37"/>
      <c r="E653" s="37"/>
      <c r="F653" s="101"/>
      <c r="G653" s="101"/>
      <c r="H653" s="101"/>
      <c r="I653" s="101"/>
      <c r="J653" s="103"/>
      <c r="K653" s="103"/>
      <c r="L653" s="101"/>
      <c r="M653" s="39"/>
      <c r="N653" s="37"/>
    </row>
    <row r="654" spans="1:15" ht="15.75" customHeight="1" x14ac:dyDescent="0.2">
      <c r="A654" s="38"/>
      <c r="B654" s="38"/>
      <c r="C654" s="36"/>
      <c r="D654" s="37"/>
      <c r="E654" s="37"/>
      <c r="F654" s="101"/>
      <c r="G654" s="101"/>
      <c r="H654" s="101"/>
      <c r="I654" s="101"/>
      <c r="J654" s="103"/>
      <c r="K654" s="103"/>
      <c r="L654" s="101"/>
      <c r="M654" s="39"/>
      <c r="N654" s="37"/>
    </row>
    <row r="655" spans="1:15" ht="15.75" customHeight="1" x14ac:dyDescent="0.2">
      <c r="A655" s="38"/>
      <c r="B655" s="38"/>
      <c r="C655" s="36"/>
      <c r="D655" s="37"/>
      <c r="E655" s="37"/>
      <c r="F655" s="101"/>
      <c r="G655" s="101"/>
      <c r="H655" s="101"/>
      <c r="I655" s="101"/>
      <c r="J655" s="103"/>
      <c r="K655" s="103"/>
      <c r="L655" s="101"/>
      <c r="M655" s="39"/>
      <c r="N655" s="37"/>
    </row>
    <row r="656" spans="1:15" ht="15.75" customHeight="1" x14ac:dyDescent="0.2">
      <c r="A656" s="38"/>
      <c r="B656" s="38"/>
      <c r="C656" s="36"/>
      <c r="D656" s="37"/>
      <c r="E656" s="37"/>
      <c r="F656" s="101"/>
      <c r="G656" s="101"/>
      <c r="H656" s="101"/>
      <c r="I656" s="101"/>
      <c r="J656" s="103"/>
      <c r="K656" s="103"/>
      <c r="L656" s="101"/>
      <c r="M656" s="39"/>
      <c r="N656" s="37"/>
    </row>
    <row r="657" spans="1:15" ht="15.75" customHeight="1" x14ac:dyDescent="0.2">
      <c r="A657" s="38"/>
      <c r="B657" s="38"/>
      <c r="C657" s="36"/>
      <c r="D657" s="37"/>
      <c r="E657" s="37"/>
      <c r="F657" s="101"/>
      <c r="G657" s="101"/>
      <c r="H657" s="101"/>
      <c r="I657" s="101"/>
      <c r="J657" s="103"/>
      <c r="K657" s="103"/>
      <c r="L657" s="101"/>
      <c r="M657" s="39"/>
      <c r="N657" s="37"/>
    </row>
    <row r="658" spans="1:15" ht="15.75" customHeight="1" x14ac:dyDescent="0.2">
      <c r="A658" s="38"/>
      <c r="B658" s="38"/>
      <c r="C658" s="36"/>
      <c r="D658" s="37"/>
      <c r="E658" s="37"/>
      <c r="F658" s="101"/>
      <c r="G658" s="101"/>
      <c r="H658" s="101"/>
      <c r="I658" s="101"/>
      <c r="J658" s="103"/>
      <c r="K658" s="103"/>
      <c r="L658" s="101"/>
      <c r="M658" s="39"/>
      <c r="N658" s="37"/>
    </row>
    <row r="659" spans="1:15" ht="15.75" customHeight="1" x14ac:dyDescent="0.2">
      <c r="A659" s="164"/>
      <c r="B659" s="87"/>
      <c r="C659" s="86"/>
      <c r="D659" s="131"/>
      <c r="E659" s="131"/>
      <c r="F659" s="132"/>
      <c r="G659" s="132"/>
      <c r="H659" s="133" t="s">
        <v>319</v>
      </c>
      <c r="I659" s="132"/>
      <c r="J659" s="134"/>
      <c r="K659" s="134"/>
      <c r="L659" s="132"/>
      <c r="M659" s="135"/>
      <c r="N659" s="131"/>
      <c r="O659" s="89"/>
    </row>
    <row r="660" spans="1:15" ht="15.75" customHeight="1" x14ac:dyDescent="0.25">
      <c r="A660" s="85"/>
      <c r="B660" s="90" t="s">
        <v>320</v>
      </c>
      <c r="C660" s="91"/>
      <c r="D660" s="136" t="s">
        <v>321</v>
      </c>
      <c r="E660" s="136" t="s">
        <v>322</v>
      </c>
      <c r="F660" s="137"/>
      <c r="G660" s="138" t="s">
        <v>323</v>
      </c>
      <c r="H660" s="139" t="s">
        <v>574</v>
      </c>
      <c r="I660" s="138" t="s">
        <v>323</v>
      </c>
      <c r="J660" s="140"/>
      <c r="K660" s="141" t="s">
        <v>323</v>
      </c>
      <c r="L660" s="137"/>
      <c r="M660" s="142"/>
      <c r="N660" s="143"/>
      <c r="O660" s="95"/>
    </row>
    <row r="661" spans="1:15" ht="15.75" customHeight="1" x14ac:dyDescent="0.25">
      <c r="A661" s="85"/>
      <c r="B661" s="90" t="s">
        <v>325</v>
      </c>
      <c r="C661" s="91"/>
      <c r="D661" s="136" t="s">
        <v>52</v>
      </c>
      <c r="E661" s="136" t="s">
        <v>52</v>
      </c>
      <c r="F661" s="138" t="s">
        <v>326</v>
      </c>
      <c r="G661" s="138" t="s">
        <v>575</v>
      </c>
      <c r="H661" s="139" t="s">
        <v>576</v>
      </c>
      <c r="I661" s="138" t="s">
        <v>329</v>
      </c>
      <c r="J661" s="141" t="s">
        <v>330</v>
      </c>
      <c r="K661" s="141" t="s">
        <v>331</v>
      </c>
      <c r="L661" s="138" t="s">
        <v>332</v>
      </c>
      <c r="M661" s="142"/>
      <c r="N661" s="136" t="s">
        <v>333</v>
      </c>
      <c r="O661" s="95"/>
    </row>
    <row r="662" spans="1:15" ht="15.75" customHeight="1" x14ac:dyDescent="0.2">
      <c r="A662" s="96"/>
      <c r="B662" s="97" t="s">
        <v>334</v>
      </c>
      <c r="C662" s="165" t="s">
        <v>335</v>
      </c>
      <c r="D662" s="166" t="s">
        <v>336</v>
      </c>
      <c r="E662" s="166" t="s">
        <v>336</v>
      </c>
      <c r="F662" s="167" t="s">
        <v>337</v>
      </c>
      <c r="G662" s="167" t="s">
        <v>337</v>
      </c>
      <c r="H662" s="167" t="s">
        <v>337</v>
      </c>
      <c r="I662" s="167" t="s">
        <v>337</v>
      </c>
      <c r="J662" s="168" t="s">
        <v>337</v>
      </c>
      <c r="K662" s="168" t="s">
        <v>337</v>
      </c>
      <c r="L662" s="167" t="s">
        <v>337</v>
      </c>
      <c r="M662" s="169" t="s">
        <v>338</v>
      </c>
      <c r="N662" s="166" t="s">
        <v>339</v>
      </c>
      <c r="O662" s="160"/>
    </row>
    <row r="663" spans="1:15" ht="15.75" customHeight="1" x14ac:dyDescent="0.2">
      <c r="A663" s="85"/>
      <c r="B663" s="38"/>
      <c r="C663" s="36"/>
      <c r="D663" s="37"/>
      <c r="E663" s="37"/>
      <c r="F663" s="101"/>
      <c r="G663" s="101"/>
      <c r="H663" s="101"/>
      <c r="I663" s="101"/>
      <c r="J663" s="103"/>
      <c r="K663" s="103"/>
      <c r="L663" s="101"/>
      <c r="M663" s="39"/>
      <c r="N663" s="37"/>
      <c r="O663" s="98"/>
    </row>
    <row r="664" spans="1:15" ht="15.75" customHeight="1" x14ac:dyDescent="0.2">
      <c r="A664" s="85"/>
      <c r="B664" s="175" t="s">
        <v>577</v>
      </c>
      <c r="C664" s="38"/>
      <c r="D664" s="37"/>
      <c r="E664" s="37"/>
      <c r="F664" s="101"/>
      <c r="G664" s="101"/>
      <c r="H664" s="101"/>
      <c r="I664" s="101"/>
      <c r="J664" s="103"/>
      <c r="K664" s="103"/>
      <c r="L664" s="101"/>
      <c r="M664" s="39"/>
      <c r="N664" s="37"/>
      <c r="O664" s="98"/>
    </row>
    <row r="665" spans="1:15" ht="15.75" customHeight="1" x14ac:dyDescent="0.2">
      <c r="A665" s="85"/>
      <c r="D665" s="13"/>
      <c r="E665" s="13"/>
      <c r="F665" s="153"/>
      <c r="G665" s="153"/>
      <c r="H665" s="101"/>
      <c r="I665" s="101"/>
      <c r="J665" s="103"/>
      <c r="K665" s="103"/>
      <c r="L665" s="101"/>
      <c r="M665" s="39"/>
      <c r="N665" s="37"/>
      <c r="O665" s="98"/>
    </row>
    <row r="666" spans="1:15" ht="15.75" customHeight="1" x14ac:dyDescent="0.2">
      <c r="A666" s="85"/>
      <c r="B666" s="176" t="s">
        <v>417</v>
      </c>
      <c r="C666" s="100">
        <f>DATE(93,4,22)</f>
        <v>34081</v>
      </c>
      <c r="D666" s="37">
        <v>12.5</v>
      </c>
      <c r="E666" s="37">
        <v>7.8</v>
      </c>
      <c r="F666" s="101">
        <v>6.0000000000000001E-3</v>
      </c>
      <c r="G666" s="104" t="s">
        <v>84</v>
      </c>
      <c r="H666" s="104" t="s">
        <v>84</v>
      </c>
      <c r="I666" s="104" t="s">
        <v>84</v>
      </c>
      <c r="J666" s="102" t="s">
        <v>84</v>
      </c>
      <c r="K666" s="102" t="s">
        <v>84</v>
      </c>
      <c r="L666" s="104" t="s">
        <v>84</v>
      </c>
      <c r="M666" s="107" t="s">
        <v>84</v>
      </c>
      <c r="N666" s="37">
        <v>1.4</v>
      </c>
      <c r="O666" s="98"/>
    </row>
    <row r="667" spans="1:15" ht="15.75" customHeight="1" x14ac:dyDescent="0.2">
      <c r="A667" s="85"/>
      <c r="B667" s="176" t="s">
        <v>534</v>
      </c>
      <c r="C667" s="100">
        <f>DATE(93,5,18)</f>
        <v>34107</v>
      </c>
      <c r="D667" s="37">
        <v>11.5</v>
      </c>
      <c r="E667" s="37">
        <v>6.5</v>
      </c>
      <c r="F667" s="101">
        <v>4.0000000000000001E-3</v>
      </c>
      <c r="G667" s="104" t="s">
        <v>84</v>
      </c>
      <c r="H667" s="104" t="s">
        <v>84</v>
      </c>
      <c r="I667" s="104" t="s">
        <v>84</v>
      </c>
      <c r="J667" s="102" t="s">
        <v>84</v>
      </c>
      <c r="K667" s="102" t="s">
        <v>84</v>
      </c>
      <c r="L667" s="104" t="s">
        <v>84</v>
      </c>
      <c r="M667" s="107" t="s">
        <v>84</v>
      </c>
      <c r="N667" s="37">
        <v>1.3</v>
      </c>
      <c r="O667" s="98"/>
    </row>
    <row r="668" spans="1:15" ht="15.75" customHeight="1" x14ac:dyDescent="0.2">
      <c r="A668" s="85"/>
      <c r="B668" s="176" t="s">
        <v>345</v>
      </c>
      <c r="C668" s="100">
        <f>DATE(93,6,16)</f>
        <v>34136</v>
      </c>
      <c r="D668" s="37">
        <v>9</v>
      </c>
      <c r="E668" s="37">
        <v>8.5</v>
      </c>
      <c r="F668" s="101">
        <v>5.0000000000000001E-3</v>
      </c>
      <c r="G668" s="104" t="s">
        <v>84</v>
      </c>
      <c r="H668" s="104" t="s">
        <v>84</v>
      </c>
      <c r="I668" s="104" t="s">
        <v>84</v>
      </c>
      <c r="J668" s="102" t="s">
        <v>84</v>
      </c>
      <c r="K668" s="102" t="s">
        <v>84</v>
      </c>
      <c r="L668" s="104" t="s">
        <v>84</v>
      </c>
      <c r="M668" s="107" t="s">
        <v>84</v>
      </c>
      <c r="N668" s="37">
        <v>0.9</v>
      </c>
      <c r="O668" s="98"/>
    </row>
    <row r="669" spans="1:15" ht="15.75" customHeight="1" x14ac:dyDescent="0.2">
      <c r="A669" s="85"/>
      <c r="B669" s="176" t="s">
        <v>416</v>
      </c>
      <c r="C669" s="100">
        <f>DATE(93,7,8)</f>
        <v>34158</v>
      </c>
      <c r="D669" s="37">
        <v>10</v>
      </c>
      <c r="E669" s="37">
        <v>7.7</v>
      </c>
      <c r="F669" s="101">
        <v>8.9999999999999993E-3</v>
      </c>
      <c r="G669" s="104" t="s">
        <v>84</v>
      </c>
      <c r="H669" s="104" t="s">
        <v>84</v>
      </c>
      <c r="I669" s="104" t="s">
        <v>84</v>
      </c>
      <c r="J669" s="102" t="s">
        <v>84</v>
      </c>
      <c r="K669" s="102" t="s">
        <v>84</v>
      </c>
      <c r="L669" s="104" t="s">
        <v>84</v>
      </c>
      <c r="M669" s="107" t="s">
        <v>84</v>
      </c>
      <c r="N669" s="37">
        <v>0.88</v>
      </c>
      <c r="O669" s="98"/>
    </row>
    <row r="670" spans="1:15" ht="15.75" customHeight="1" x14ac:dyDescent="0.2">
      <c r="A670" s="85"/>
      <c r="B670" s="176" t="s">
        <v>98</v>
      </c>
      <c r="C670" s="100">
        <f>DATE(93,8,18)</f>
        <v>34199</v>
      </c>
      <c r="D670" s="37">
        <v>14</v>
      </c>
      <c r="E670" s="37">
        <v>11.5</v>
      </c>
      <c r="F670" s="101">
        <v>5.0000000000000001E-3</v>
      </c>
      <c r="G670" s="104" t="s">
        <v>84</v>
      </c>
      <c r="H670" s="104" t="s">
        <v>84</v>
      </c>
      <c r="I670" s="104" t="s">
        <v>84</v>
      </c>
      <c r="J670" s="102" t="s">
        <v>84</v>
      </c>
      <c r="K670" s="102" t="s">
        <v>84</v>
      </c>
      <c r="L670" s="104" t="s">
        <v>84</v>
      </c>
      <c r="M670" s="107" t="s">
        <v>84</v>
      </c>
      <c r="N670" s="37">
        <v>0.91</v>
      </c>
      <c r="O670" s="98"/>
    </row>
    <row r="671" spans="1:15" ht="15.75" customHeight="1" x14ac:dyDescent="0.2">
      <c r="A671" s="85"/>
      <c r="B671" s="176" t="s">
        <v>98</v>
      </c>
      <c r="C671" s="100">
        <f>DATE(93,9,15)</f>
        <v>34227</v>
      </c>
      <c r="D671" s="37">
        <v>11.1</v>
      </c>
      <c r="E671" s="37">
        <v>11.1</v>
      </c>
      <c r="F671" s="101">
        <v>4.0000000000000001E-3</v>
      </c>
      <c r="G671" s="104" t="s">
        <v>84</v>
      </c>
      <c r="H671" s="104" t="s">
        <v>84</v>
      </c>
      <c r="I671" s="104" t="s">
        <v>84</v>
      </c>
      <c r="J671" s="102" t="s">
        <v>84</v>
      </c>
      <c r="K671" s="102" t="s">
        <v>84</v>
      </c>
      <c r="L671" s="104" t="s">
        <v>84</v>
      </c>
      <c r="M671" s="107" t="s">
        <v>84</v>
      </c>
      <c r="N671" s="37">
        <v>0.5</v>
      </c>
      <c r="O671" s="98"/>
    </row>
    <row r="672" spans="1:15" ht="15.75" customHeight="1" x14ac:dyDescent="0.2">
      <c r="A672" s="85"/>
      <c r="B672" s="176" t="s">
        <v>98</v>
      </c>
      <c r="C672" s="100">
        <f>DATE(93,10,13)</f>
        <v>34255</v>
      </c>
      <c r="D672" s="37">
        <v>10.7</v>
      </c>
      <c r="E672" s="37">
        <v>13</v>
      </c>
      <c r="F672" s="101">
        <v>3.0000000000000001E-3</v>
      </c>
      <c r="G672" s="104" t="s">
        <v>84</v>
      </c>
      <c r="H672" s="104" t="s">
        <v>84</v>
      </c>
      <c r="I672" s="104" t="s">
        <v>84</v>
      </c>
      <c r="J672" s="102" t="s">
        <v>84</v>
      </c>
      <c r="K672" s="102" t="s">
        <v>84</v>
      </c>
      <c r="L672" s="104" t="s">
        <v>84</v>
      </c>
      <c r="M672" s="107" t="s">
        <v>84</v>
      </c>
      <c r="N672" s="37">
        <v>0.6</v>
      </c>
      <c r="O672" s="98"/>
    </row>
    <row r="673" spans="1:15" ht="15.75" customHeight="1" x14ac:dyDescent="0.2">
      <c r="A673" s="85"/>
      <c r="B673" s="38"/>
      <c r="C673" s="36"/>
      <c r="D673" s="37"/>
      <c r="E673" s="37"/>
      <c r="F673" s="101"/>
      <c r="G673" s="101"/>
      <c r="H673" s="101"/>
      <c r="I673" s="101"/>
      <c r="J673" s="103"/>
      <c r="K673" s="103"/>
      <c r="L673" s="101"/>
      <c r="M673" s="39"/>
      <c r="N673" s="37"/>
      <c r="O673" s="98"/>
    </row>
    <row r="674" spans="1:15" ht="15.75" customHeight="1" x14ac:dyDescent="0.2">
      <c r="A674" s="85"/>
      <c r="B674" s="90" t="s">
        <v>578</v>
      </c>
      <c r="C674" s="38"/>
      <c r="D674" s="37"/>
      <c r="E674" s="37"/>
      <c r="F674" s="101"/>
      <c r="G674" s="101"/>
      <c r="H674" s="101"/>
      <c r="I674" s="101"/>
      <c r="J674" s="103"/>
      <c r="K674" s="103"/>
      <c r="L674" s="101"/>
      <c r="M674" s="39"/>
      <c r="N674" s="37"/>
      <c r="O674" s="98"/>
    </row>
    <row r="675" spans="1:15" ht="15.75" customHeight="1" x14ac:dyDescent="0.2">
      <c r="A675" s="85"/>
      <c r="B675" s="38"/>
      <c r="C675" s="38"/>
      <c r="D675" s="37"/>
      <c r="E675" s="37"/>
      <c r="F675" s="101"/>
      <c r="G675" s="101"/>
      <c r="H675" s="101"/>
      <c r="I675" s="101"/>
      <c r="J675" s="103"/>
      <c r="K675" s="103"/>
      <c r="L675" s="101"/>
      <c r="M675" s="39"/>
      <c r="N675" s="37"/>
      <c r="O675" s="98"/>
    </row>
    <row r="676" spans="1:15" ht="15.75" customHeight="1" x14ac:dyDescent="0.2">
      <c r="A676" s="85"/>
      <c r="B676" s="99" t="s">
        <v>579</v>
      </c>
      <c r="C676" s="100">
        <f>DATE(93,4,22)</f>
        <v>34081</v>
      </c>
      <c r="D676" s="37">
        <v>4.4000000000000004</v>
      </c>
      <c r="E676" s="106" t="s">
        <v>84</v>
      </c>
      <c r="F676" s="101">
        <v>3.0000000000000001E-3</v>
      </c>
      <c r="G676" s="101">
        <f>0.025-0.015</f>
        <v>1.0000000000000002E-2</v>
      </c>
      <c r="H676" s="101">
        <v>2.5000000000000001E-2</v>
      </c>
      <c r="I676" s="101">
        <f>0.015+0.025</f>
        <v>0.04</v>
      </c>
      <c r="J676" s="102" t="s">
        <v>341</v>
      </c>
      <c r="K676" s="103">
        <f t="shared" ref="K676:K680" si="320">L676-I676</f>
        <v>2.5000000000000001E-2</v>
      </c>
      <c r="L676" s="101">
        <f>0.04+0.025</f>
        <v>6.5000000000000002E-2</v>
      </c>
      <c r="M676" s="39">
        <f t="shared" ref="M676:M683" si="321">L676/F676</f>
        <v>21.666666666666668</v>
      </c>
      <c r="N676" s="37">
        <v>1.4</v>
      </c>
      <c r="O676" s="98"/>
    </row>
    <row r="677" spans="1:15" ht="15.75" customHeight="1" x14ac:dyDescent="0.2">
      <c r="A677" s="85"/>
      <c r="B677" s="99" t="s">
        <v>432</v>
      </c>
      <c r="C677" s="100">
        <f>DATE(93,5,19)</f>
        <v>34108</v>
      </c>
      <c r="D677" s="37">
        <v>6.5</v>
      </c>
      <c r="E677" s="37">
        <v>8.3000000000000007</v>
      </c>
      <c r="F677" s="101">
        <v>7.0000000000000001E-3</v>
      </c>
      <c r="G677" s="104" t="s">
        <v>343</v>
      </c>
      <c r="H677" s="104" t="s">
        <v>343</v>
      </c>
      <c r="I677" s="101">
        <f>0.004+0.0025</f>
        <v>6.5000000000000006E-3</v>
      </c>
      <c r="J677" s="102" t="s">
        <v>341</v>
      </c>
      <c r="K677" s="103">
        <f t="shared" si="320"/>
        <v>1.6E-2</v>
      </c>
      <c r="L677" s="101">
        <f>0.02+0.0025</f>
        <v>2.2499999999999999E-2</v>
      </c>
      <c r="M677" s="39">
        <f t="shared" si="321"/>
        <v>3.214285714285714</v>
      </c>
      <c r="N677" s="37">
        <v>1.1000000000000001</v>
      </c>
      <c r="O677" s="98"/>
    </row>
    <row r="678" spans="1:15" ht="15.75" customHeight="1" x14ac:dyDescent="0.2">
      <c r="A678" s="85"/>
      <c r="B678" s="99" t="s">
        <v>432</v>
      </c>
      <c r="C678" s="100">
        <f>DATE(93,6,16)</f>
        <v>34136</v>
      </c>
      <c r="D678" s="37">
        <v>6.8</v>
      </c>
      <c r="E678" s="37">
        <v>7.5</v>
      </c>
      <c r="F678" s="101">
        <v>5.0000000000000001E-3</v>
      </c>
      <c r="G678" s="101">
        <f>0.022-0.01</f>
        <v>1.1999999999999999E-2</v>
      </c>
      <c r="H678" s="104" t="s">
        <v>343</v>
      </c>
      <c r="I678" s="101">
        <f>0.012+0.0025</f>
        <v>1.4500000000000001E-2</v>
      </c>
      <c r="J678" s="103">
        <f>0.09-0.01</f>
        <v>0.08</v>
      </c>
      <c r="K678" s="103">
        <f t="shared" si="320"/>
        <v>6.8000000000000005E-2</v>
      </c>
      <c r="L678" s="101">
        <f>0.08+0.0025</f>
        <v>8.2500000000000004E-2</v>
      </c>
      <c r="M678" s="39">
        <f t="shared" si="321"/>
        <v>16.5</v>
      </c>
      <c r="N678" s="37">
        <v>0.76</v>
      </c>
      <c r="O678" s="98"/>
    </row>
    <row r="679" spans="1:15" ht="15.75" customHeight="1" x14ac:dyDescent="0.2">
      <c r="A679" s="85"/>
      <c r="B679" s="99" t="s">
        <v>580</v>
      </c>
      <c r="C679" s="100">
        <f>DATE(93,7,8)</f>
        <v>34158</v>
      </c>
      <c r="D679" s="37">
        <v>7.2</v>
      </c>
      <c r="E679" s="106" t="s">
        <v>581</v>
      </c>
      <c r="F679" s="101">
        <v>4.0000000000000001E-3</v>
      </c>
      <c r="G679" s="104" t="s">
        <v>343</v>
      </c>
      <c r="H679" s="101">
        <v>1.4E-2</v>
      </c>
      <c r="I679" s="101">
        <v>1.4E-2</v>
      </c>
      <c r="J679" s="102" t="s">
        <v>341</v>
      </c>
      <c r="K679" s="103">
        <f t="shared" si="320"/>
        <v>2.0000000000000004E-2</v>
      </c>
      <c r="L679" s="101">
        <f>0.02+0.014</f>
        <v>3.4000000000000002E-2</v>
      </c>
      <c r="M679" s="39">
        <f t="shared" si="321"/>
        <v>8.5</v>
      </c>
      <c r="N679" s="37">
        <v>1</v>
      </c>
      <c r="O679" s="98"/>
    </row>
    <row r="680" spans="1:15" ht="15.75" customHeight="1" x14ac:dyDescent="0.2">
      <c r="A680" s="85"/>
      <c r="B680" s="99" t="s">
        <v>359</v>
      </c>
      <c r="C680" s="100">
        <f>DATE(93,7,28)</f>
        <v>34178</v>
      </c>
      <c r="D680" s="37">
        <v>8.8000000000000007</v>
      </c>
      <c r="E680" s="37">
        <v>10.9</v>
      </c>
      <c r="F680" s="101">
        <v>6.0000000000000001E-3</v>
      </c>
      <c r="G680" s="104" t="s">
        <v>343</v>
      </c>
      <c r="H680" s="104" t="s">
        <v>343</v>
      </c>
      <c r="I680" s="101">
        <v>2.5000000000000001E-3</v>
      </c>
      <c r="J680" s="102" t="s">
        <v>341</v>
      </c>
      <c r="K680" s="103">
        <f t="shared" si="320"/>
        <v>0.02</v>
      </c>
      <c r="L680" s="101">
        <f t="shared" ref="L680:L682" si="322">0.02+0.0025</f>
        <v>2.2499999999999999E-2</v>
      </c>
      <c r="M680" s="39">
        <f t="shared" si="321"/>
        <v>3.75</v>
      </c>
      <c r="N680" s="37">
        <v>0.37</v>
      </c>
      <c r="O680" s="98"/>
    </row>
    <row r="681" spans="1:15" ht="15.75" customHeight="1" x14ac:dyDescent="0.2">
      <c r="A681" s="85"/>
      <c r="B681" s="99" t="s">
        <v>533</v>
      </c>
      <c r="C681" s="100">
        <f>DATE(93,8,18)</f>
        <v>34199</v>
      </c>
      <c r="D681" s="37">
        <v>10.3</v>
      </c>
      <c r="E681" s="106" t="s">
        <v>582</v>
      </c>
      <c r="F681" s="101">
        <v>4.0000000000000001E-3</v>
      </c>
      <c r="G681" s="104" t="s">
        <v>343</v>
      </c>
      <c r="H681" s="104" t="s">
        <v>343</v>
      </c>
      <c r="I681" s="101">
        <f>0.004+0.0025</f>
        <v>6.5000000000000006E-3</v>
      </c>
      <c r="J681" s="102" t="s">
        <v>341</v>
      </c>
      <c r="K681" s="103">
        <v>0.01</v>
      </c>
      <c r="L681" s="101">
        <f t="shared" si="322"/>
        <v>2.2499999999999999E-2</v>
      </c>
      <c r="M681" s="39">
        <f t="shared" si="321"/>
        <v>5.625</v>
      </c>
      <c r="N681" s="37">
        <v>0.8</v>
      </c>
      <c r="O681" s="98"/>
    </row>
    <row r="682" spans="1:15" ht="15.75" customHeight="1" x14ac:dyDescent="0.2">
      <c r="A682" s="85"/>
      <c r="B682" s="99" t="s">
        <v>355</v>
      </c>
      <c r="C682" s="100">
        <f>DATE(93,9,15)</f>
        <v>34227</v>
      </c>
      <c r="D682" s="37">
        <v>6</v>
      </c>
      <c r="E682" s="106" t="s">
        <v>84</v>
      </c>
      <c r="F682" s="101">
        <v>3.0000000000000001E-3</v>
      </c>
      <c r="G682" s="101">
        <f>0.026-0.02</f>
        <v>5.9999999999999984E-3</v>
      </c>
      <c r="H682" s="104" t="s">
        <v>343</v>
      </c>
      <c r="I682" s="101">
        <f>0.006+0.0025</f>
        <v>8.5000000000000006E-3</v>
      </c>
      <c r="J682" s="102" t="s">
        <v>341</v>
      </c>
      <c r="K682" s="103">
        <f t="shared" ref="K682:K683" si="323">L682-I682</f>
        <v>1.3999999999999999E-2</v>
      </c>
      <c r="L682" s="101">
        <f t="shared" si="322"/>
        <v>2.2499999999999999E-2</v>
      </c>
      <c r="M682" s="39">
        <f t="shared" si="321"/>
        <v>7.5</v>
      </c>
      <c r="N682" s="37">
        <v>0.5</v>
      </c>
      <c r="O682" s="98"/>
    </row>
    <row r="683" spans="1:15" ht="15.75" customHeight="1" x14ac:dyDescent="0.2">
      <c r="A683" s="85"/>
      <c r="B683" s="99" t="s">
        <v>580</v>
      </c>
      <c r="C683" s="100">
        <f>DATE(93,10,13)</f>
        <v>34255</v>
      </c>
      <c r="D683" s="37">
        <v>7.2</v>
      </c>
      <c r="E683" s="106" t="s">
        <v>84</v>
      </c>
      <c r="F683" s="101">
        <v>3.0000000000000001E-3</v>
      </c>
      <c r="G683" s="101">
        <f>0.019-0.014</f>
        <v>4.9999999999999992E-3</v>
      </c>
      <c r="H683" s="101">
        <v>7.0000000000000001E-3</v>
      </c>
      <c r="I683" s="101">
        <f>0.005+0.007</f>
        <v>1.2E-2</v>
      </c>
      <c r="J683" s="102" t="s">
        <v>341</v>
      </c>
      <c r="K683" s="103">
        <f t="shared" si="323"/>
        <v>1.4999999999999999E-2</v>
      </c>
      <c r="L683" s="101">
        <f>0.02+0.007</f>
        <v>2.7E-2</v>
      </c>
      <c r="M683" s="39">
        <f t="shared" si="321"/>
        <v>9</v>
      </c>
      <c r="N683" s="37">
        <v>0.6</v>
      </c>
      <c r="O683" s="98"/>
    </row>
    <row r="684" spans="1:15" ht="15.75" customHeight="1" x14ac:dyDescent="0.2">
      <c r="A684" s="85"/>
      <c r="B684" s="38"/>
      <c r="C684" s="36"/>
      <c r="D684" s="37"/>
      <c r="E684" s="37"/>
      <c r="F684" s="101"/>
      <c r="G684" s="101"/>
      <c r="H684" s="101"/>
      <c r="I684" s="101"/>
      <c r="J684" s="103"/>
      <c r="K684" s="103"/>
      <c r="L684" s="101"/>
      <c r="M684" s="39"/>
      <c r="N684" s="37"/>
      <c r="O684" s="98"/>
    </row>
    <row r="685" spans="1:15" ht="15.75" customHeight="1" x14ac:dyDescent="0.2">
      <c r="A685" s="85"/>
      <c r="B685" s="90" t="s">
        <v>583</v>
      </c>
      <c r="C685" s="38"/>
      <c r="D685" s="37"/>
      <c r="E685" s="37"/>
      <c r="F685" s="101"/>
      <c r="G685" s="101"/>
      <c r="H685" s="101"/>
      <c r="I685" s="101"/>
      <c r="J685" s="103"/>
      <c r="K685" s="103"/>
      <c r="L685" s="101"/>
      <c r="M685" s="39"/>
      <c r="N685" s="37"/>
      <c r="O685" s="98"/>
    </row>
    <row r="686" spans="1:15" ht="15.75" customHeight="1" x14ac:dyDescent="0.2">
      <c r="A686" s="85"/>
      <c r="D686" s="13"/>
      <c r="E686" s="13"/>
      <c r="F686" s="153"/>
      <c r="G686" s="153"/>
      <c r="H686" s="101"/>
      <c r="I686" s="101"/>
      <c r="J686" s="103"/>
      <c r="K686" s="103"/>
      <c r="L686" s="101"/>
      <c r="M686" s="39"/>
      <c r="N686" s="37"/>
      <c r="O686" s="98"/>
    </row>
    <row r="687" spans="1:15" ht="15.75" customHeight="1" x14ac:dyDescent="0.2">
      <c r="A687" s="85"/>
      <c r="B687" s="99" t="s">
        <v>345</v>
      </c>
      <c r="C687" s="100">
        <f>DATE(93,5,18)</f>
        <v>34107</v>
      </c>
      <c r="D687" s="37">
        <v>8.6999999999999993</v>
      </c>
      <c r="E687" s="37">
        <v>7.2</v>
      </c>
      <c r="F687" s="101">
        <v>5.0000000000000001E-3</v>
      </c>
      <c r="G687" s="104" t="s">
        <v>84</v>
      </c>
      <c r="H687" s="104" t="s">
        <v>84</v>
      </c>
      <c r="I687" s="104" t="s">
        <v>84</v>
      </c>
      <c r="J687" s="102" t="s">
        <v>84</v>
      </c>
      <c r="K687" s="102" t="s">
        <v>84</v>
      </c>
      <c r="L687" s="104" t="s">
        <v>84</v>
      </c>
      <c r="M687" s="107" t="s">
        <v>84</v>
      </c>
      <c r="N687" s="37">
        <v>1</v>
      </c>
      <c r="O687" s="98"/>
    </row>
    <row r="688" spans="1:15" ht="15.75" customHeight="1" x14ac:dyDescent="0.2">
      <c r="A688" s="85"/>
      <c r="B688" s="99" t="s">
        <v>345</v>
      </c>
      <c r="C688" s="100">
        <f>DATE(93,6,16)</f>
        <v>34136</v>
      </c>
      <c r="D688" s="37">
        <v>8.6</v>
      </c>
      <c r="E688" s="37">
        <v>8.1</v>
      </c>
      <c r="F688" s="101">
        <v>4.0000000000000001E-3</v>
      </c>
      <c r="G688" s="104" t="s">
        <v>84</v>
      </c>
      <c r="H688" s="104" t="s">
        <v>84</v>
      </c>
      <c r="I688" s="104" t="s">
        <v>84</v>
      </c>
      <c r="J688" s="102" t="s">
        <v>84</v>
      </c>
      <c r="K688" s="102" t="s">
        <v>84</v>
      </c>
      <c r="L688" s="104" t="s">
        <v>84</v>
      </c>
      <c r="M688" s="107" t="s">
        <v>84</v>
      </c>
      <c r="N688" s="37">
        <v>0.9</v>
      </c>
      <c r="O688" s="98"/>
    </row>
    <row r="689" spans="1:15" ht="15.75" customHeight="1" x14ac:dyDescent="0.2">
      <c r="A689" s="85"/>
      <c r="B689" s="99" t="s">
        <v>507</v>
      </c>
      <c r="C689" s="100">
        <f>DATE(93,7,8)</f>
        <v>34158</v>
      </c>
      <c r="D689" s="37">
        <v>7</v>
      </c>
      <c r="E689" s="106" t="s">
        <v>584</v>
      </c>
      <c r="F689" s="101">
        <v>4.0000000000000001E-3</v>
      </c>
      <c r="G689" s="104" t="s">
        <v>84</v>
      </c>
      <c r="H689" s="104" t="s">
        <v>84</v>
      </c>
      <c r="I689" s="104" t="s">
        <v>84</v>
      </c>
      <c r="J689" s="102" t="s">
        <v>84</v>
      </c>
      <c r="K689" s="102" t="s">
        <v>84</v>
      </c>
      <c r="L689" s="104" t="s">
        <v>84</v>
      </c>
      <c r="M689" s="107" t="s">
        <v>84</v>
      </c>
      <c r="N689" s="37">
        <v>0.72</v>
      </c>
      <c r="O689" s="98"/>
    </row>
    <row r="690" spans="1:15" ht="15.75" customHeight="1" x14ac:dyDescent="0.2">
      <c r="A690" s="85"/>
      <c r="B690" s="99" t="s">
        <v>420</v>
      </c>
      <c r="C690" s="100">
        <f>DATE(93,8,18)</f>
        <v>34199</v>
      </c>
      <c r="D690" s="37">
        <v>9.1999999999999993</v>
      </c>
      <c r="E690" s="106" t="s">
        <v>585</v>
      </c>
      <c r="F690" s="101">
        <v>5.0000000000000001E-3</v>
      </c>
      <c r="G690" s="104" t="s">
        <v>84</v>
      </c>
      <c r="H690" s="104" t="s">
        <v>84</v>
      </c>
      <c r="I690" s="104" t="s">
        <v>84</v>
      </c>
      <c r="J690" s="102" t="s">
        <v>84</v>
      </c>
      <c r="K690" s="102" t="s">
        <v>84</v>
      </c>
      <c r="L690" s="104" t="s">
        <v>84</v>
      </c>
      <c r="M690" s="107" t="s">
        <v>84</v>
      </c>
      <c r="N690" s="37">
        <v>0.69</v>
      </c>
      <c r="O690" s="98"/>
    </row>
    <row r="691" spans="1:15" ht="15.75" customHeight="1" x14ac:dyDescent="0.2">
      <c r="A691" s="85"/>
      <c r="B691" s="99" t="s">
        <v>342</v>
      </c>
      <c r="C691" s="100">
        <f>DATE(93,9,15)</f>
        <v>34227</v>
      </c>
      <c r="D691" s="37">
        <v>8.5</v>
      </c>
      <c r="E691" s="37">
        <v>8.4</v>
      </c>
      <c r="F691" s="101">
        <v>3.0000000000000001E-3</v>
      </c>
      <c r="G691" s="104" t="s">
        <v>84</v>
      </c>
      <c r="H691" s="104" t="s">
        <v>84</v>
      </c>
      <c r="I691" s="104" t="s">
        <v>84</v>
      </c>
      <c r="J691" s="102" t="s">
        <v>84</v>
      </c>
      <c r="K691" s="102" t="s">
        <v>84</v>
      </c>
      <c r="L691" s="104" t="s">
        <v>84</v>
      </c>
      <c r="M691" s="107" t="s">
        <v>84</v>
      </c>
      <c r="N691" s="37">
        <v>0.5</v>
      </c>
      <c r="O691" s="98"/>
    </row>
    <row r="692" spans="1:15" ht="15.75" customHeight="1" x14ac:dyDescent="0.2">
      <c r="A692" s="85"/>
      <c r="B692" s="99" t="s">
        <v>498</v>
      </c>
      <c r="C692" s="100">
        <f>DATE(93,10,13)</f>
        <v>34255</v>
      </c>
      <c r="D692" s="37">
        <v>5.7</v>
      </c>
      <c r="E692" s="106" t="s">
        <v>586</v>
      </c>
      <c r="F692" s="101">
        <v>4.0000000000000001E-3</v>
      </c>
      <c r="G692" s="104" t="s">
        <v>84</v>
      </c>
      <c r="H692" s="104" t="s">
        <v>84</v>
      </c>
      <c r="I692" s="104" t="s">
        <v>84</v>
      </c>
      <c r="J692" s="102" t="s">
        <v>84</v>
      </c>
      <c r="K692" s="102" t="s">
        <v>84</v>
      </c>
      <c r="L692" s="104" t="s">
        <v>84</v>
      </c>
      <c r="M692" s="107" t="s">
        <v>84</v>
      </c>
      <c r="N692" s="37">
        <v>0.6</v>
      </c>
      <c r="O692" s="98"/>
    </row>
    <row r="693" spans="1:15" ht="15.75" customHeight="1" x14ac:dyDescent="0.2">
      <c r="A693" s="96"/>
      <c r="B693" s="129"/>
      <c r="C693" s="173"/>
      <c r="D693" s="127"/>
      <c r="E693" s="127"/>
      <c r="F693" s="123"/>
      <c r="G693" s="123"/>
      <c r="H693" s="123"/>
      <c r="I693" s="123"/>
      <c r="J693" s="125"/>
      <c r="K693" s="125"/>
      <c r="L693" s="123"/>
      <c r="M693" s="126"/>
      <c r="N693" s="127"/>
      <c r="O693" s="128"/>
    </row>
    <row r="694" spans="1:15" ht="15.75" customHeight="1" x14ac:dyDescent="0.2">
      <c r="A694" s="38"/>
      <c r="B694" s="38"/>
      <c r="C694" s="36"/>
      <c r="D694" s="37"/>
      <c r="E694" s="37"/>
      <c r="F694" s="101"/>
      <c r="G694" s="101"/>
      <c r="H694" s="101"/>
      <c r="I694" s="101"/>
      <c r="J694" s="103"/>
      <c r="K694" s="103"/>
      <c r="L694" s="101"/>
      <c r="M694" s="39"/>
      <c r="N694" s="37"/>
      <c r="O694" s="98"/>
    </row>
    <row r="695" spans="1:15" ht="15.75" customHeight="1" x14ac:dyDescent="0.2">
      <c r="A695" s="38"/>
      <c r="B695" s="38"/>
      <c r="C695" s="36"/>
      <c r="D695" s="37"/>
      <c r="E695" s="37"/>
      <c r="F695" s="101"/>
      <c r="G695" s="101"/>
      <c r="H695" s="101"/>
      <c r="I695" s="101"/>
      <c r="J695" s="103"/>
      <c r="K695" s="103"/>
      <c r="L695" s="101"/>
      <c r="M695" s="39"/>
      <c r="N695" s="37"/>
    </row>
    <row r="696" spans="1:15" ht="15.75" customHeight="1" x14ac:dyDescent="0.2">
      <c r="A696" s="38"/>
      <c r="B696" s="38"/>
      <c r="C696" s="36"/>
      <c r="D696" s="37"/>
      <c r="E696" s="37"/>
      <c r="F696" s="101"/>
      <c r="G696" s="101"/>
      <c r="H696" s="101"/>
      <c r="I696" s="101"/>
      <c r="J696" s="103"/>
      <c r="K696" s="103"/>
      <c r="L696" s="101"/>
      <c r="M696" s="39"/>
      <c r="N696" s="37"/>
    </row>
    <row r="697" spans="1:15" ht="15.75" customHeight="1" x14ac:dyDescent="0.2">
      <c r="A697" s="38"/>
      <c r="B697" s="38"/>
      <c r="C697" s="36"/>
      <c r="D697" s="37"/>
      <c r="E697" s="37"/>
      <c r="F697" s="101"/>
      <c r="G697" s="101"/>
      <c r="H697" s="101"/>
      <c r="I697" s="101"/>
      <c r="J697" s="103"/>
      <c r="K697" s="103"/>
      <c r="L697" s="101"/>
      <c r="M697" s="39"/>
      <c r="N697" s="37"/>
    </row>
    <row r="698" spans="1:15" ht="15.75" customHeight="1" x14ac:dyDescent="0.2">
      <c r="A698" s="164"/>
      <c r="B698" s="87"/>
      <c r="C698" s="86"/>
      <c r="D698" s="131"/>
      <c r="E698" s="131"/>
      <c r="F698" s="132"/>
      <c r="G698" s="132"/>
      <c r="H698" s="133" t="s">
        <v>319</v>
      </c>
      <c r="I698" s="132"/>
      <c r="J698" s="134"/>
      <c r="K698" s="134"/>
      <c r="L698" s="132"/>
      <c r="M698" s="135"/>
      <c r="N698" s="131"/>
      <c r="O698" s="89"/>
    </row>
    <row r="699" spans="1:15" ht="15.75" customHeight="1" x14ac:dyDescent="0.25">
      <c r="A699" s="85"/>
      <c r="B699" s="90" t="s">
        <v>320</v>
      </c>
      <c r="C699" s="91"/>
      <c r="D699" s="136" t="s">
        <v>321</v>
      </c>
      <c r="E699" s="136" t="s">
        <v>322</v>
      </c>
      <c r="F699" s="137"/>
      <c r="G699" s="138" t="s">
        <v>323</v>
      </c>
      <c r="H699" s="139" t="s">
        <v>587</v>
      </c>
      <c r="I699" s="138" t="s">
        <v>323</v>
      </c>
      <c r="J699" s="140"/>
      <c r="K699" s="141" t="s">
        <v>323</v>
      </c>
      <c r="L699" s="137"/>
      <c r="M699" s="142"/>
      <c r="N699" s="143"/>
      <c r="O699" s="95"/>
    </row>
    <row r="700" spans="1:15" ht="15.75" customHeight="1" x14ac:dyDescent="0.25">
      <c r="A700" s="85"/>
      <c r="B700" s="90" t="s">
        <v>325</v>
      </c>
      <c r="C700" s="91"/>
      <c r="D700" s="136" t="s">
        <v>52</v>
      </c>
      <c r="E700" s="136" t="s">
        <v>52</v>
      </c>
      <c r="F700" s="138" t="s">
        <v>326</v>
      </c>
      <c r="G700" s="138" t="s">
        <v>588</v>
      </c>
      <c r="H700" s="139" t="s">
        <v>589</v>
      </c>
      <c r="I700" s="138" t="s">
        <v>329</v>
      </c>
      <c r="J700" s="141" t="s">
        <v>330</v>
      </c>
      <c r="K700" s="141" t="s">
        <v>331</v>
      </c>
      <c r="L700" s="138" t="s">
        <v>332</v>
      </c>
      <c r="M700" s="142"/>
      <c r="N700" s="136" t="s">
        <v>333</v>
      </c>
      <c r="O700" s="95"/>
    </row>
    <row r="701" spans="1:15" ht="15.75" customHeight="1" x14ac:dyDescent="0.2">
      <c r="A701" s="96"/>
      <c r="B701" s="97" t="s">
        <v>334</v>
      </c>
      <c r="C701" s="165" t="s">
        <v>335</v>
      </c>
      <c r="D701" s="166" t="s">
        <v>336</v>
      </c>
      <c r="E701" s="166" t="s">
        <v>336</v>
      </c>
      <c r="F701" s="167" t="s">
        <v>337</v>
      </c>
      <c r="G701" s="167" t="s">
        <v>337</v>
      </c>
      <c r="H701" s="167" t="s">
        <v>337</v>
      </c>
      <c r="I701" s="167" t="s">
        <v>337</v>
      </c>
      <c r="J701" s="168" t="s">
        <v>337</v>
      </c>
      <c r="K701" s="168" t="s">
        <v>337</v>
      </c>
      <c r="L701" s="167" t="s">
        <v>337</v>
      </c>
      <c r="M701" s="169" t="s">
        <v>338</v>
      </c>
      <c r="N701" s="166" t="s">
        <v>339</v>
      </c>
      <c r="O701" s="160"/>
    </row>
    <row r="702" spans="1:15" ht="15.75" customHeight="1" x14ac:dyDescent="0.2">
      <c r="A702" s="85"/>
      <c r="B702" s="38"/>
      <c r="C702" s="36"/>
      <c r="D702" s="37"/>
      <c r="E702" s="37"/>
      <c r="F702" s="101"/>
      <c r="G702" s="101"/>
      <c r="H702" s="101"/>
      <c r="I702" s="101"/>
      <c r="J702" s="103"/>
      <c r="K702" s="103"/>
      <c r="L702" s="101"/>
      <c r="M702" s="39"/>
      <c r="N702" s="37"/>
      <c r="O702" s="98"/>
    </row>
    <row r="703" spans="1:15" ht="15.75" customHeight="1" x14ac:dyDescent="0.2">
      <c r="A703" s="85"/>
      <c r="B703" s="90" t="s">
        <v>590</v>
      </c>
      <c r="C703" s="36"/>
      <c r="D703" s="37"/>
      <c r="E703" s="37"/>
      <c r="F703" s="101"/>
      <c r="G703" s="101"/>
      <c r="H703" s="101"/>
      <c r="I703" s="101"/>
      <c r="J703" s="103"/>
      <c r="K703" s="103"/>
      <c r="L703" s="101"/>
      <c r="M703" s="39"/>
      <c r="N703" s="37"/>
      <c r="O703" s="98"/>
    </row>
    <row r="704" spans="1:15" ht="15.75" customHeight="1" x14ac:dyDescent="0.2">
      <c r="A704" s="85"/>
      <c r="B704" s="99" t="s">
        <v>591</v>
      </c>
      <c r="C704" s="100">
        <f>DATE(94,3,30)</f>
        <v>34423</v>
      </c>
      <c r="D704" s="37">
        <v>8</v>
      </c>
      <c r="E704" s="106" t="s">
        <v>592</v>
      </c>
      <c r="F704" s="101">
        <v>4.0000000000000001E-3</v>
      </c>
      <c r="G704" s="101">
        <f>0.014-0.008</f>
        <v>6.0000000000000001E-3</v>
      </c>
      <c r="H704" s="101">
        <v>2.4E-2</v>
      </c>
      <c r="I704" s="101">
        <f>0.006+0.024</f>
        <v>0.03</v>
      </c>
      <c r="J704" s="102" t="s">
        <v>341</v>
      </c>
      <c r="K704" s="103">
        <f t="shared" ref="K704:K712" si="324">L704-I704</f>
        <v>1.3999999999999999E-2</v>
      </c>
      <c r="L704" s="101">
        <f>0.02+0.024</f>
        <v>4.3999999999999997E-2</v>
      </c>
      <c r="M704" s="39">
        <f t="shared" ref="M704:M712" si="325">L704/F704</f>
        <v>11</v>
      </c>
      <c r="N704" s="37">
        <v>2.1</v>
      </c>
      <c r="O704" s="98"/>
    </row>
    <row r="705" spans="1:15" ht="15.75" customHeight="1" x14ac:dyDescent="0.2">
      <c r="A705" s="85"/>
      <c r="B705" s="99" t="s">
        <v>591</v>
      </c>
      <c r="C705" s="100">
        <f>DATE(94,4,27)</f>
        <v>34451</v>
      </c>
      <c r="D705" s="37">
        <v>8.1999999999999993</v>
      </c>
      <c r="E705" s="106" t="s">
        <v>593</v>
      </c>
      <c r="F705" s="101">
        <v>4.0000000000000001E-3</v>
      </c>
      <c r="G705" s="101">
        <f>0.018-0.008</f>
        <v>9.9999999999999985E-3</v>
      </c>
      <c r="H705" s="101">
        <v>1.4999999999999999E-2</v>
      </c>
      <c r="I705" s="101">
        <f>0.01+0.015</f>
        <v>2.5000000000000001E-2</v>
      </c>
      <c r="J705" s="103">
        <f>0.07-0.01</f>
        <v>6.0000000000000005E-2</v>
      </c>
      <c r="K705" s="103">
        <f t="shared" si="324"/>
        <v>5.000000000000001E-2</v>
      </c>
      <c r="L705" s="101">
        <f>J705+H705</f>
        <v>7.5000000000000011E-2</v>
      </c>
      <c r="M705" s="39">
        <f t="shared" si="325"/>
        <v>18.750000000000004</v>
      </c>
      <c r="N705" s="37">
        <v>2.9</v>
      </c>
      <c r="O705" s="98"/>
    </row>
    <row r="706" spans="1:15" ht="15.75" customHeight="1" x14ac:dyDescent="0.2">
      <c r="A706" s="85"/>
      <c r="B706" s="99" t="s">
        <v>591</v>
      </c>
      <c r="C706" s="100">
        <f>DATE(94,5,19)</f>
        <v>34473</v>
      </c>
      <c r="D706" s="37">
        <v>8.3000000000000007</v>
      </c>
      <c r="E706" s="37">
        <v>7.9</v>
      </c>
      <c r="F706" s="101">
        <v>3.0000000000000001E-3</v>
      </c>
      <c r="G706" s="104" t="s">
        <v>343</v>
      </c>
      <c r="H706" s="101">
        <v>1.2E-2</v>
      </c>
      <c r="I706" s="101">
        <f>0+0.012</f>
        <v>1.2E-2</v>
      </c>
      <c r="J706" s="102" t="s">
        <v>341</v>
      </c>
      <c r="K706" s="103">
        <f t="shared" si="324"/>
        <v>0.02</v>
      </c>
      <c r="L706" s="101">
        <f>0.02+0.012</f>
        <v>3.2000000000000001E-2</v>
      </c>
      <c r="M706" s="39">
        <f t="shared" si="325"/>
        <v>10.666666666666666</v>
      </c>
      <c r="N706" s="37">
        <v>0.9</v>
      </c>
      <c r="O706" s="98"/>
    </row>
    <row r="707" spans="1:15" ht="15.75" customHeight="1" x14ac:dyDescent="0.2">
      <c r="A707" s="85"/>
      <c r="B707" s="99" t="s">
        <v>531</v>
      </c>
      <c r="C707" s="100">
        <f>DATE(94,6,3)</f>
        <v>34488</v>
      </c>
      <c r="D707" s="37">
        <v>8.8000000000000007</v>
      </c>
      <c r="E707" s="106" t="s">
        <v>594</v>
      </c>
      <c r="F707" s="101">
        <v>6.0000000000000001E-3</v>
      </c>
      <c r="G707" s="101">
        <f>0.023-0.008</f>
        <v>1.4999999999999999E-2</v>
      </c>
      <c r="H707" s="101">
        <v>8.9999999999999993E-3</v>
      </c>
      <c r="I707" s="101">
        <f>0.015+0.009</f>
        <v>2.4E-2</v>
      </c>
      <c r="J707" s="102" t="s">
        <v>341</v>
      </c>
      <c r="K707" s="103">
        <f t="shared" si="324"/>
        <v>4.9999999999999975E-3</v>
      </c>
      <c r="L707" s="101">
        <f>0.02+0.009</f>
        <v>2.8999999999999998E-2</v>
      </c>
      <c r="M707" s="39">
        <f t="shared" si="325"/>
        <v>4.833333333333333</v>
      </c>
      <c r="N707" s="37">
        <v>1.1000000000000001</v>
      </c>
      <c r="O707" s="98"/>
    </row>
    <row r="708" spans="1:15" ht="15.75" customHeight="1" x14ac:dyDescent="0.2">
      <c r="A708" s="85"/>
      <c r="B708" s="99" t="s">
        <v>359</v>
      </c>
      <c r="C708" s="100">
        <f>DATE(94,6,22)</f>
        <v>34507</v>
      </c>
      <c r="D708" s="37">
        <v>9</v>
      </c>
      <c r="E708" s="106" t="s">
        <v>595</v>
      </c>
      <c r="F708" s="101">
        <v>5.0000000000000001E-3</v>
      </c>
      <c r="G708" s="104" t="s">
        <v>343</v>
      </c>
      <c r="H708" s="101">
        <v>1.2999999999999999E-2</v>
      </c>
      <c r="I708" s="101">
        <f>0+0.013</f>
        <v>1.2999999999999999E-2</v>
      </c>
      <c r="J708" s="103">
        <f>0.07-0.01</f>
        <v>6.0000000000000005E-2</v>
      </c>
      <c r="K708" s="103">
        <f t="shared" si="324"/>
        <v>6.0000000000000012E-2</v>
      </c>
      <c r="L708" s="101">
        <f t="shared" ref="L708:L709" si="326">J708+H708</f>
        <v>7.3000000000000009E-2</v>
      </c>
      <c r="M708" s="39">
        <f t="shared" si="325"/>
        <v>14.600000000000001</v>
      </c>
      <c r="N708" s="37">
        <v>1</v>
      </c>
      <c r="O708" s="98"/>
    </row>
    <row r="709" spans="1:15" ht="15.75" customHeight="1" x14ac:dyDescent="0.2">
      <c r="A709" s="85"/>
      <c r="B709" s="99" t="s">
        <v>591</v>
      </c>
      <c r="C709" s="100">
        <f>DATE(94,7,12)</f>
        <v>34527</v>
      </c>
      <c r="D709" s="37">
        <v>8.1</v>
      </c>
      <c r="E709" s="106" t="s">
        <v>596</v>
      </c>
      <c r="F709" s="101">
        <v>2E-3</v>
      </c>
      <c r="G709" s="104" t="s">
        <v>84</v>
      </c>
      <c r="H709" s="101">
        <v>0.01</v>
      </c>
      <c r="I709" s="101">
        <f>0+0.01</f>
        <v>0.01</v>
      </c>
      <c r="J709" s="103">
        <f t="shared" ref="J709:J710" si="327">0.06-0.01</f>
        <v>4.9999999999999996E-2</v>
      </c>
      <c r="K709" s="103">
        <f t="shared" si="324"/>
        <v>4.9999999999999996E-2</v>
      </c>
      <c r="L709" s="101">
        <f t="shared" si="326"/>
        <v>0.06</v>
      </c>
      <c r="M709" s="39">
        <f t="shared" si="325"/>
        <v>30</v>
      </c>
      <c r="N709" s="37">
        <v>0.5</v>
      </c>
      <c r="O709" s="98"/>
    </row>
    <row r="710" spans="1:15" ht="15.75" customHeight="1" x14ac:dyDescent="0.2">
      <c r="A710" s="85"/>
      <c r="B710" s="99" t="s">
        <v>359</v>
      </c>
      <c r="C710" s="100">
        <f>DATE(94,8,9)</f>
        <v>34555</v>
      </c>
      <c r="D710" s="37">
        <v>8.8000000000000007</v>
      </c>
      <c r="E710" s="106" t="s">
        <v>594</v>
      </c>
      <c r="F710" s="101">
        <v>3.0000000000000001E-3</v>
      </c>
      <c r="G710" s="104" t="s">
        <v>84</v>
      </c>
      <c r="H710" s="104" t="s">
        <v>343</v>
      </c>
      <c r="I710" s="101">
        <v>2.5000000000000001E-3</v>
      </c>
      <c r="J710" s="103">
        <f t="shared" si="327"/>
        <v>4.9999999999999996E-2</v>
      </c>
      <c r="K710" s="103">
        <f t="shared" si="324"/>
        <v>0.05</v>
      </c>
      <c r="L710" s="101">
        <f>0.05+0.0025</f>
        <v>5.2500000000000005E-2</v>
      </c>
      <c r="M710" s="39">
        <f t="shared" si="325"/>
        <v>17.5</v>
      </c>
      <c r="N710" s="106" t="s">
        <v>493</v>
      </c>
      <c r="O710" s="98"/>
    </row>
    <row r="711" spans="1:15" ht="15.75" customHeight="1" x14ac:dyDescent="0.2">
      <c r="A711" s="85"/>
      <c r="B711" s="99" t="s">
        <v>591</v>
      </c>
      <c r="C711" s="100">
        <f>DATE(94,9,8)</f>
        <v>34585</v>
      </c>
      <c r="D711" s="37">
        <v>7.5</v>
      </c>
      <c r="E711" s="106" t="s">
        <v>597</v>
      </c>
      <c r="F711" s="101">
        <v>3.0000000000000001E-3</v>
      </c>
      <c r="G711" s="104" t="s">
        <v>343</v>
      </c>
      <c r="H711" s="104" t="s">
        <v>343</v>
      </c>
      <c r="I711" s="101">
        <f>0.001+0.0025</f>
        <v>3.5000000000000001E-3</v>
      </c>
      <c r="J711" s="102" t="s">
        <v>341</v>
      </c>
      <c r="K711" s="103">
        <f t="shared" si="324"/>
        <v>3.9E-2</v>
      </c>
      <c r="L711" s="101">
        <f>0.04+0.0025</f>
        <v>4.2500000000000003E-2</v>
      </c>
      <c r="M711" s="39">
        <f t="shared" si="325"/>
        <v>14.166666666666668</v>
      </c>
      <c r="N711" s="37">
        <v>0.8</v>
      </c>
      <c r="O711" s="98"/>
    </row>
    <row r="712" spans="1:15" ht="15.75" customHeight="1" x14ac:dyDescent="0.2">
      <c r="A712" s="85"/>
      <c r="B712" s="99" t="s">
        <v>591</v>
      </c>
      <c r="C712" s="100">
        <f>DATE(94,10,5)</f>
        <v>34612</v>
      </c>
      <c r="D712" s="37">
        <v>8</v>
      </c>
      <c r="E712" s="106" t="s">
        <v>592</v>
      </c>
      <c r="F712" s="101">
        <v>3.0000000000000001E-3</v>
      </c>
      <c r="G712" s="104" t="s">
        <v>84</v>
      </c>
      <c r="H712" s="104" t="s">
        <v>343</v>
      </c>
      <c r="I712" s="101">
        <v>2.5000000000000001E-3</v>
      </c>
      <c r="J712" s="103">
        <f>0.07-0.01</f>
        <v>6.0000000000000005E-2</v>
      </c>
      <c r="K712" s="103">
        <f t="shared" si="324"/>
        <v>0.06</v>
      </c>
      <c r="L712" s="101">
        <f>0.06+0.0025</f>
        <v>6.25E-2</v>
      </c>
      <c r="M712" s="39">
        <f t="shared" si="325"/>
        <v>20.833333333333332</v>
      </c>
      <c r="N712" s="37">
        <v>0.6</v>
      </c>
      <c r="O712" s="98"/>
    </row>
    <row r="713" spans="1:15" ht="15.75" customHeight="1" x14ac:dyDescent="0.2">
      <c r="A713" s="96"/>
      <c r="B713" s="129"/>
      <c r="C713" s="173"/>
      <c r="D713" s="127"/>
      <c r="E713" s="127"/>
      <c r="F713" s="123"/>
      <c r="G713" s="123"/>
      <c r="H713" s="123"/>
      <c r="I713" s="123"/>
      <c r="J713" s="125"/>
      <c r="K713" s="125"/>
      <c r="L713" s="123"/>
      <c r="M713" s="126"/>
      <c r="N713" s="127"/>
      <c r="O713" s="128"/>
    </row>
    <row r="714" spans="1:15" ht="15.75" customHeight="1" x14ac:dyDescent="0.2">
      <c r="A714" s="38"/>
      <c r="B714" s="38"/>
      <c r="C714" s="36"/>
      <c r="D714" s="38"/>
      <c r="E714" s="38"/>
      <c r="F714" s="101"/>
      <c r="G714" s="101"/>
      <c r="H714" s="101"/>
      <c r="I714" s="101"/>
      <c r="J714" s="103"/>
      <c r="K714" s="103"/>
      <c r="L714" s="101"/>
      <c r="M714" s="39"/>
      <c r="N714" s="37"/>
    </row>
    <row r="715" spans="1:15" ht="15.75" customHeight="1" x14ac:dyDescent="0.2">
      <c r="A715" s="38"/>
      <c r="B715" s="38"/>
      <c r="C715" s="36"/>
      <c r="D715" s="38"/>
      <c r="E715" s="38"/>
      <c r="F715" s="101"/>
      <c r="G715" s="101"/>
      <c r="H715" s="101"/>
      <c r="I715" s="101"/>
      <c r="J715" s="103"/>
      <c r="K715" s="103"/>
      <c r="L715" s="38"/>
      <c r="M715" s="38"/>
      <c r="N715" s="38"/>
    </row>
    <row r="716" spans="1:15" ht="15.75" customHeight="1" x14ac:dyDescent="0.2">
      <c r="A716" s="38"/>
      <c r="B716" s="38"/>
      <c r="C716" s="36"/>
      <c r="D716" s="38"/>
      <c r="E716" s="38"/>
      <c r="F716" s="101"/>
      <c r="G716" s="101"/>
      <c r="H716" s="101"/>
      <c r="I716" s="101"/>
      <c r="J716" s="103"/>
      <c r="K716" s="103"/>
      <c r="L716" s="38"/>
      <c r="M716" s="38"/>
      <c r="N716" s="38"/>
    </row>
    <row r="717" spans="1:15" ht="15.75" customHeight="1" x14ac:dyDescent="0.2">
      <c r="A717" s="38"/>
      <c r="B717" s="38"/>
      <c r="C717" s="36"/>
      <c r="D717" s="38"/>
      <c r="E717" s="38"/>
      <c r="F717" s="38"/>
      <c r="G717" s="38"/>
      <c r="H717" s="38"/>
      <c r="I717" s="38"/>
      <c r="J717" s="103"/>
      <c r="K717" s="103"/>
      <c r="L717" s="38"/>
      <c r="M717" s="38"/>
      <c r="N717" s="38"/>
    </row>
    <row r="718" spans="1:15" ht="15.75" customHeight="1" x14ac:dyDescent="0.2">
      <c r="A718" s="38"/>
      <c r="B718" s="38"/>
      <c r="C718" s="36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</row>
    <row r="719" spans="1:15" ht="15.75" customHeight="1" x14ac:dyDescent="0.2">
      <c r="A719" s="38"/>
      <c r="B719" s="38"/>
      <c r="C719" s="36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</row>
    <row r="720" spans="1:15" ht="15.75" customHeight="1" x14ac:dyDescent="0.2">
      <c r="A720" s="38"/>
      <c r="B720" s="38"/>
      <c r="C720" s="36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</row>
    <row r="721" spans="1:14" ht="15.75" customHeight="1" x14ac:dyDescent="0.2">
      <c r="A721" s="38"/>
      <c r="B721" s="38"/>
      <c r="C721" s="36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</row>
    <row r="722" spans="1:14" ht="15.75" customHeight="1" x14ac:dyDescent="0.2">
      <c r="A722" s="38"/>
      <c r="B722" s="38"/>
      <c r="C722" s="36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</row>
    <row r="723" spans="1:14" ht="15.75" customHeight="1" x14ac:dyDescent="0.2">
      <c r="A723" s="38"/>
      <c r="B723" s="38"/>
      <c r="C723" s="36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</row>
    <row r="724" spans="1:14" ht="15.75" customHeight="1" x14ac:dyDescent="0.2">
      <c r="A724" s="38"/>
      <c r="B724" s="38"/>
      <c r="C724" s="36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</row>
    <row r="725" spans="1:14" ht="15.75" customHeight="1" x14ac:dyDescent="0.2">
      <c r="A725" s="38"/>
      <c r="B725" s="38"/>
      <c r="C725" s="36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</row>
    <row r="726" spans="1:14" ht="15.75" customHeight="1" x14ac:dyDescent="0.2">
      <c r="A726" s="38"/>
      <c r="B726" s="38"/>
      <c r="C726" s="36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</row>
    <row r="727" spans="1:14" ht="15.75" customHeight="1" x14ac:dyDescent="0.2">
      <c r="A727" s="38"/>
      <c r="B727" s="38"/>
      <c r="C727" s="36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</row>
    <row r="728" spans="1:14" ht="15.75" customHeight="1" x14ac:dyDescent="0.2">
      <c r="A728" s="38"/>
      <c r="B728" s="38"/>
      <c r="C728" s="36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</row>
    <row r="729" spans="1:14" ht="15.75" customHeight="1" x14ac:dyDescent="0.2">
      <c r="A729" s="38"/>
      <c r="B729" s="38"/>
      <c r="C729" s="36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</row>
    <row r="730" spans="1:14" ht="15.75" customHeight="1" x14ac:dyDescent="0.2">
      <c r="A730" s="38"/>
      <c r="B730" s="38"/>
      <c r="C730" s="36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</row>
    <row r="731" spans="1:14" ht="15.75" customHeight="1" x14ac:dyDescent="0.2">
      <c r="A731" s="38"/>
      <c r="B731" s="38"/>
      <c r="C731" s="36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</row>
    <row r="732" spans="1:14" ht="15.75" customHeight="1" x14ac:dyDescent="0.2">
      <c r="A732" s="38"/>
      <c r="B732" s="38"/>
      <c r="C732" s="36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</row>
    <row r="733" spans="1:14" ht="15.75" customHeight="1" x14ac:dyDescent="0.2">
      <c r="A733" s="38"/>
      <c r="B733" s="38"/>
      <c r="C733" s="36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</row>
    <row r="734" spans="1:14" ht="15.75" customHeight="1" x14ac:dyDescent="0.2">
      <c r="A734" s="38"/>
      <c r="B734" s="38"/>
      <c r="C734" s="36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</row>
    <row r="735" spans="1:14" ht="15.75" customHeight="1" x14ac:dyDescent="0.2">
      <c r="A735" s="38"/>
      <c r="B735" s="38"/>
      <c r="C735" s="36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</row>
    <row r="736" spans="1:14" ht="15.75" customHeight="1" x14ac:dyDescent="0.2">
      <c r="A736" s="38"/>
      <c r="B736" s="38"/>
      <c r="C736" s="36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</row>
    <row r="737" spans="1:14" ht="15.75" customHeight="1" x14ac:dyDescent="0.2">
      <c r="A737" s="38"/>
      <c r="B737" s="38"/>
      <c r="C737" s="36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</row>
    <row r="738" spans="1:14" ht="15.75" customHeight="1" x14ac:dyDescent="0.2">
      <c r="A738" s="38"/>
      <c r="B738" s="38"/>
      <c r="C738" s="36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</row>
    <row r="739" spans="1:14" ht="15.75" customHeight="1" x14ac:dyDescent="0.2">
      <c r="A739" s="38"/>
      <c r="B739" s="38"/>
      <c r="C739" s="36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</row>
    <row r="740" spans="1:14" ht="15.75" customHeight="1" x14ac:dyDescent="0.2">
      <c r="A740" s="38"/>
      <c r="B740" s="38"/>
      <c r="C740" s="36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</row>
    <row r="741" spans="1:14" ht="15.75" customHeight="1" x14ac:dyDescent="0.2">
      <c r="A741" s="38"/>
      <c r="B741" s="38"/>
      <c r="C741" s="36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</row>
    <row r="742" spans="1:14" ht="15.75" customHeight="1" x14ac:dyDescent="0.2">
      <c r="A742" s="38"/>
      <c r="B742" s="38"/>
      <c r="C742" s="36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</row>
    <row r="743" spans="1:14" ht="15.75" customHeight="1" x14ac:dyDescent="0.2">
      <c r="A743" s="38"/>
      <c r="B743" s="38"/>
      <c r="C743" s="36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</row>
    <row r="744" spans="1:14" ht="15.75" customHeight="1" x14ac:dyDescent="0.2">
      <c r="A744" s="38"/>
      <c r="B744" s="38"/>
      <c r="C744" s="36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</row>
    <row r="745" spans="1:14" ht="15.75" customHeight="1" x14ac:dyDescent="0.2">
      <c r="A745" s="38"/>
      <c r="B745" s="38"/>
      <c r="C745" s="36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</row>
    <row r="746" spans="1:14" ht="15.75" customHeight="1" x14ac:dyDescent="0.2">
      <c r="A746" s="38"/>
      <c r="B746" s="38"/>
      <c r="C746" s="36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</row>
    <row r="747" spans="1:14" ht="15.75" customHeight="1" x14ac:dyDescent="0.2">
      <c r="A747" s="38"/>
      <c r="B747" s="38"/>
      <c r="C747" s="36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</row>
    <row r="748" spans="1:14" ht="15.75" customHeight="1" x14ac:dyDescent="0.2">
      <c r="A748" s="38"/>
      <c r="B748" s="38"/>
      <c r="C748" s="36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</row>
    <row r="749" spans="1:14" ht="15.75" customHeight="1" x14ac:dyDescent="0.2">
      <c r="A749" s="38"/>
      <c r="B749" s="38"/>
      <c r="C749" s="36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</row>
    <row r="750" spans="1:14" ht="15.75" customHeight="1" x14ac:dyDescent="0.2">
      <c r="A750" s="38"/>
      <c r="B750" s="38"/>
      <c r="C750" s="36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</row>
    <row r="751" spans="1:14" ht="15.75" customHeight="1" x14ac:dyDescent="0.2">
      <c r="A751" s="38"/>
      <c r="B751" s="38"/>
      <c r="C751" s="36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</row>
    <row r="752" spans="1:14" ht="15.75" customHeight="1" x14ac:dyDescent="0.2">
      <c r="A752" s="38"/>
      <c r="B752" s="38"/>
      <c r="C752" s="36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</row>
    <row r="753" spans="1:14" ht="15.75" customHeight="1" x14ac:dyDescent="0.2">
      <c r="A753" s="38"/>
      <c r="B753" s="38"/>
      <c r="C753" s="36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</row>
    <row r="754" spans="1:14" ht="15.75" customHeight="1" x14ac:dyDescent="0.2">
      <c r="A754" s="38"/>
      <c r="B754" s="38"/>
      <c r="C754" s="36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</row>
    <row r="755" spans="1:14" ht="15.75" customHeight="1" x14ac:dyDescent="0.2">
      <c r="A755" s="38"/>
      <c r="B755" s="38"/>
      <c r="C755" s="36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</row>
    <row r="756" spans="1:14" ht="15.75" customHeight="1" x14ac:dyDescent="0.2">
      <c r="A756" s="38"/>
      <c r="B756" s="38"/>
      <c r="C756" s="36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</row>
    <row r="757" spans="1:14" ht="15.75" customHeight="1" x14ac:dyDescent="0.2">
      <c r="A757" s="38"/>
      <c r="B757" s="38"/>
      <c r="C757" s="36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</row>
    <row r="758" spans="1:14" ht="15.75" customHeight="1" x14ac:dyDescent="0.2">
      <c r="A758" s="38"/>
      <c r="B758" s="38"/>
      <c r="C758" s="36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</row>
    <row r="759" spans="1:14" ht="15.75" customHeight="1" x14ac:dyDescent="0.2">
      <c r="A759" s="38"/>
      <c r="B759" s="38"/>
      <c r="C759" s="36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</row>
    <row r="760" spans="1:14" ht="15.75" customHeight="1" x14ac:dyDescent="0.2">
      <c r="A760" s="38"/>
      <c r="B760" s="38"/>
      <c r="C760" s="36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</row>
    <row r="761" spans="1:14" ht="15.75" customHeight="1" x14ac:dyDescent="0.2">
      <c r="A761" s="38"/>
      <c r="B761" s="38"/>
      <c r="C761" s="36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</row>
    <row r="762" spans="1:14" ht="15.75" customHeight="1" x14ac:dyDescent="0.2">
      <c r="A762" s="38"/>
      <c r="B762" s="38"/>
      <c r="C762" s="36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</row>
    <row r="763" spans="1:14" ht="15.75" customHeight="1" x14ac:dyDescent="0.2">
      <c r="A763" s="38"/>
      <c r="B763" s="38"/>
      <c r="C763" s="36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</row>
    <row r="764" spans="1:14" ht="15.75" customHeight="1" x14ac:dyDescent="0.2">
      <c r="A764" s="38"/>
      <c r="B764" s="38"/>
      <c r="C764" s="36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</row>
    <row r="765" spans="1:14" ht="15.75" customHeight="1" x14ac:dyDescent="0.2">
      <c r="A765" s="38"/>
      <c r="B765" s="38"/>
      <c r="C765" s="36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</row>
    <row r="766" spans="1:14" ht="15.75" customHeight="1" x14ac:dyDescent="0.2">
      <c r="A766" s="38"/>
      <c r="B766" s="38"/>
      <c r="C766" s="36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</row>
    <row r="767" spans="1:14" ht="15.75" customHeight="1" x14ac:dyDescent="0.2">
      <c r="A767" s="38"/>
      <c r="B767" s="38"/>
      <c r="C767" s="36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</row>
    <row r="768" spans="1:14" ht="15.75" customHeight="1" x14ac:dyDescent="0.2">
      <c r="A768" s="38"/>
      <c r="B768" s="38"/>
      <c r="C768" s="36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</row>
    <row r="769" spans="1:14" ht="15.75" customHeight="1" x14ac:dyDescent="0.2">
      <c r="A769" s="38"/>
      <c r="B769" s="38"/>
      <c r="C769" s="36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</row>
    <row r="770" spans="1:14" ht="15.75" customHeight="1" x14ac:dyDescent="0.2">
      <c r="A770" s="38"/>
      <c r="B770" s="38"/>
      <c r="C770" s="36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</row>
    <row r="771" spans="1:14" ht="15.75" customHeight="1" x14ac:dyDescent="0.2">
      <c r="A771" s="38"/>
      <c r="B771" s="38"/>
      <c r="C771" s="36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</row>
    <row r="772" spans="1:14" ht="15.75" customHeight="1" x14ac:dyDescent="0.2">
      <c r="A772" s="38"/>
      <c r="B772" s="38"/>
      <c r="C772" s="36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</row>
    <row r="773" spans="1:14" ht="15.75" customHeight="1" x14ac:dyDescent="0.2">
      <c r="A773" s="38"/>
      <c r="B773" s="38"/>
      <c r="C773" s="36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</row>
    <row r="774" spans="1:14" ht="15.75" customHeight="1" x14ac:dyDescent="0.2">
      <c r="A774" s="38"/>
      <c r="B774" s="38"/>
      <c r="C774" s="36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</row>
    <row r="775" spans="1:14" ht="15.75" customHeight="1" x14ac:dyDescent="0.2">
      <c r="A775" s="38"/>
      <c r="B775" s="38"/>
      <c r="C775" s="36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</row>
    <row r="776" spans="1:14" ht="15.75" customHeight="1" x14ac:dyDescent="0.2">
      <c r="A776" s="38"/>
      <c r="B776" s="38"/>
      <c r="C776" s="36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</row>
    <row r="777" spans="1:14" ht="15.75" customHeight="1" x14ac:dyDescent="0.2">
      <c r="A777" s="38"/>
      <c r="B777" s="38"/>
      <c r="C777" s="36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</row>
    <row r="778" spans="1:14" ht="15.75" customHeight="1" x14ac:dyDescent="0.2">
      <c r="A778" s="38"/>
      <c r="B778" s="38"/>
      <c r="C778" s="36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</row>
    <row r="779" spans="1:14" ht="15.75" customHeight="1" x14ac:dyDescent="0.2">
      <c r="A779" s="38"/>
      <c r="B779" s="38"/>
      <c r="C779" s="36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</row>
    <row r="780" spans="1:14" ht="15.75" customHeight="1" x14ac:dyDescent="0.2">
      <c r="A780" s="38"/>
      <c r="B780" s="38"/>
      <c r="C780" s="36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</row>
    <row r="781" spans="1:14" ht="15.75" customHeight="1" x14ac:dyDescent="0.2">
      <c r="A781" s="38"/>
      <c r="B781" s="38"/>
      <c r="C781" s="36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</row>
    <row r="782" spans="1:14" ht="15.75" customHeight="1" x14ac:dyDescent="0.2">
      <c r="A782" s="38"/>
      <c r="B782" s="38"/>
      <c r="C782" s="36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</row>
    <row r="783" spans="1:14" ht="15.75" customHeight="1" x14ac:dyDescent="0.2">
      <c r="A783" s="38"/>
      <c r="B783" s="38"/>
      <c r="C783" s="36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</row>
    <row r="784" spans="1:14" ht="15.75" customHeight="1" x14ac:dyDescent="0.2">
      <c r="A784" s="38"/>
      <c r="B784" s="38"/>
      <c r="C784" s="36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</row>
    <row r="785" spans="1:14" ht="15.75" customHeight="1" x14ac:dyDescent="0.2">
      <c r="A785" s="38"/>
      <c r="B785" s="38"/>
      <c r="C785" s="36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</row>
    <row r="786" spans="1:14" ht="15.75" customHeight="1" x14ac:dyDescent="0.2">
      <c r="A786" s="38"/>
      <c r="B786" s="38"/>
      <c r="C786" s="36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</row>
    <row r="787" spans="1:14" ht="15.75" customHeight="1" x14ac:dyDescent="0.2">
      <c r="A787" s="38"/>
      <c r="B787" s="38"/>
      <c r="C787" s="36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</row>
    <row r="788" spans="1:14" ht="15.75" customHeight="1" x14ac:dyDescent="0.2">
      <c r="A788" s="38"/>
      <c r="B788" s="38"/>
      <c r="C788" s="36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</row>
    <row r="789" spans="1:14" ht="15.75" customHeight="1" x14ac:dyDescent="0.2">
      <c r="A789" s="38"/>
      <c r="B789" s="38"/>
      <c r="C789" s="36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</row>
    <row r="790" spans="1:14" ht="15.75" customHeight="1" x14ac:dyDescent="0.2">
      <c r="A790" s="38"/>
      <c r="B790" s="38"/>
      <c r="C790" s="36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</row>
    <row r="791" spans="1:14" ht="15.75" customHeight="1" x14ac:dyDescent="0.2">
      <c r="A791" s="38"/>
      <c r="B791" s="38"/>
      <c r="C791" s="36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</row>
    <row r="792" spans="1:14" ht="15.75" customHeight="1" x14ac:dyDescent="0.2">
      <c r="A792" s="38"/>
      <c r="B792" s="38"/>
      <c r="C792" s="36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</row>
    <row r="793" spans="1:14" ht="15.75" customHeight="1" x14ac:dyDescent="0.2">
      <c r="A793" s="38"/>
      <c r="B793" s="38"/>
      <c r="C793" s="36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</row>
    <row r="794" spans="1:14" ht="15.75" customHeight="1" x14ac:dyDescent="0.2">
      <c r="A794" s="38"/>
      <c r="B794" s="38"/>
      <c r="C794" s="36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</row>
    <row r="795" spans="1:14" ht="15.75" customHeight="1" x14ac:dyDescent="0.2">
      <c r="A795" s="38"/>
      <c r="B795" s="38"/>
      <c r="C795" s="36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</row>
    <row r="796" spans="1:14" ht="15.75" customHeight="1" x14ac:dyDescent="0.2">
      <c r="A796" s="38"/>
      <c r="B796" s="38"/>
      <c r="C796" s="36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</row>
    <row r="797" spans="1:14" ht="15.75" customHeight="1" x14ac:dyDescent="0.2">
      <c r="A797" s="38"/>
      <c r="B797" s="38"/>
      <c r="C797" s="36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</row>
    <row r="798" spans="1:14" ht="15.75" customHeight="1" x14ac:dyDescent="0.2">
      <c r="A798" s="38"/>
      <c r="B798" s="38"/>
      <c r="C798" s="36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</row>
    <row r="799" spans="1:14" ht="15.75" customHeight="1" x14ac:dyDescent="0.2">
      <c r="A799" s="38"/>
      <c r="B799" s="38"/>
      <c r="C799" s="36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</row>
    <row r="800" spans="1:14" ht="15.75" customHeight="1" x14ac:dyDescent="0.2">
      <c r="A800" s="38"/>
      <c r="B800" s="38"/>
      <c r="C800" s="36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</row>
    <row r="801" spans="1:14" ht="15.75" customHeight="1" x14ac:dyDescent="0.2">
      <c r="A801" s="38"/>
      <c r="B801" s="38"/>
      <c r="C801" s="36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</row>
    <row r="802" spans="1:14" ht="15.75" customHeight="1" x14ac:dyDescent="0.2">
      <c r="A802" s="38"/>
      <c r="B802" s="38"/>
      <c r="C802" s="36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</row>
    <row r="803" spans="1:14" ht="15.75" customHeight="1" x14ac:dyDescent="0.2">
      <c r="A803" s="38"/>
      <c r="B803" s="38"/>
      <c r="C803" s="36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</row>
    <row r="804" spans="1:14" ht="15.75" customHeight="1" x14ac:dyDescent="0.2">
      <c r="A804" s="38"/>
      <c r="B804" s="38"/>
      <c r="C804" s="36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</row>
    <row r="805" spans="1:14" ht="15.75" customHeight="1" x14ac:dyDescent="0.2">
      <c r="A805" s="38"/>
      <c r="B805" s="38"/>
      <c r="C805" s="36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</row>
    <row r="806" spans="1:14" ht="15.75" customHeight="1" x14ac:dyDescent="0.2">
      <c r="A806" s="38"/>
      <c r="B806" s="38"/>
      <c r="C806" s="36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</row>
    <row r="807" spans="1:14" ht="15.75" customHeight="1" x14ac:dyDescent="0.2">
      <c r="A807" s="38"/>
      <c r="B807" s="38"/>
      <c r="C807" s="36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</row>
    <row r="808" spans="1:14" ht="15.75" customHeight="1" x14ac:dyDescent="0.2">
      <c r="A808" s="38"/>
      <c r="B808" s="38"/>
      <c r="C808" s="36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</row>
    <row r="809" spans="1:14" ht="15.75" customHeight="1" x14ac:dyDescent="0.2">
      <c r="A809" s="38"/>
      <c r="B809" s="38"/>
      <c r="C809" s="36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</row>
    <row r="810" spans="1:14" ht="15.75" customHeight="1" x14ac:dyDescent="0.2">
      <c r="A810" s="38"/>
      <c r="B810" s="38"/>
      <c r="C810" s="36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</row>
    <row r="811" spans="1:14" ht="15.75" customHeight="1" x14ac:dyDescent="0.2">
      <c r="A811" s="38"/>
      <c r="B811" s="38"/>
      <c r="C811" s="36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</row>
    <row r="812" spans="1:14" ht="15.75" customHeight="1" x14ac:dyDescent="0.2">
      <c r="A812" s="38"/>
      <c r="B812" s="38"/>
      <c r="C812" s="36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</row>
    <row r="813" spans="1:14" ht="15.75" customHeight="1" x14ac:dyDescent="0.2">
      <c r="A813" s="38"/>
      <c r="B813" s="38"/>
      <c r="C813" s="36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</row>
    <row r="814" spans="1:14" ht="15.75" customHeight="1" x14ac:dyDescent="0.2">
      <c r="A814" s="38"/>
      <c r="B814" s="38"/>
      <c r="C814" s="36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</row>
    <row r="815" spans="1:14" ht="15.75" customHeight="1" x14ac:dyDescent="0.2">
      <c r="A815" s="38"/>
      <c r="B815" s="38"/>
      <c r="C815" s="36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</row>
    <row r="816" spans="1:14" ht="15.75" customHeight="1" x14ac:dyDescent="0.2">
      <c r="A816" s="38"/>
      <c r="B816" s="38"/>
      <c r="C816" s="36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</row>
    <row r="817" spans="1:14" ht="15.75" customHeight="1" x14ac:dyDescent="0.2">
      <c r="A817" s="38"/>
      <c r="B817" s="38"/>
      <c r="C817" s="36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</row>
    <row r="818" spans="1:14" ht="15.75" customHeight="1" x14ac:dyDescent="0.2">
      <c r="A818" s="38"/>
      <c r="B818" s="38"/>
      <c r="C818" s="36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</row>
    <row r="819" spans="1:14" ht="15.75" customHeight="1" x14ac:dyDescent="0.2">
      <c r="A819" s="38"/>
      <c r="B819" s="38"/>
      <c r="C819" s="36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</row>
    <row r="820" spans="1:14" ht="15.75" customHeight="1" x14ac:dyDescent="0.2">
      <c r="A820" s="38"/>
      <c r="B820" s="38"/>
      <c r="C820" s="36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</row>
    <row r="821" spans="1:14" ht="15.75" customHeight="1" x14ac:dyDescent="0.2">
      <c r="A821" s="38"/>
      <c r="B821" s="38"/>
      <c r="C821" s="36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</row>
    <row r="822" spans="1:14" ht="15.75" customHeight="1" x14ac:dyDescent="0.2">
      <c r="A822" s="38"/>
      <c r="B822" s="38"/>
      <c r="C822" s="36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</row>
    <row r="823" spans="1:14" ht="15.75" customHeight="1" x14ac:dyDescent="0.2">
      <c r="A823" s="38"/>
      <c r="B823" s="38"/>
      <c r="C823" s="36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</row>
    <row r="824" spans="1:14" ht="15.75" customHeight="1" x14ac:dyDescent="0.2">
      <c r="A824" s="38"/>
      <c r="B824" s="38"/>
      <c r="C824" s="36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</row>
    <row r="825" spans="1:14" ht="15.75" customHeight="1" x14ac:dyDescent="0.2">
      <c r="A825" s="38"/>
      <c r="B825" s="38"/>
      <c r="C825" s="36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</row>
    <row r="826" spans="1:14" ht="15.75" customHeight="1" x14ac:dyDescent="0.2">
      <c r="A826" s="38"/>
      <c r="B826" s="38"/>
      <c r="C826" s="36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</row>
    <row r="827" spans="1:14" ht="15.75" customHeight="1" x14ac:dyDescent="0.2">
      <c r="A827" s="38"/>
      <c r="B827" s="38"/>
      <c r="C827" s="36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</row>
    <row r="828" spans="1:14" ht="15.75" customHeight="1" x14ac:dyDescent="0.2">
      <c r="A828" s="38"/>
      <c r="B828" s="38"/>
      <c r="C828" s="36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</row>
    <row r="829" spans="1:14" ht="15.75" customHeight="1" x14ac:dyDescent="0.2">
      <c r="A829" s="38"/>
      <c r="B829" s="38"/>
      <c r="C829" s="36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</row>
    <row r="830" spans="1:14" ht="15.75" customHeight="1" x14ac:dyDescent="0.2">
      <c r="A830" s="38"/>
      <c r="B830" s="38"/>
      <c r="C830" s="36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</row>
    <row r="831" spans="1:14" ht="15.75" customHeight="1" x14ac:dyDescent="0.2">
      <c r="A831" s="38"/>
      <c r="B831" s="38"/>
      <c r="C831" s="36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</row>
    <row r="832" spans="1:14" ht="15.75" customHeight="1" x14ac:dyDescent="0.2">
      <c r="A832" s="38"/>
      <c r="B832" s="38"/>
      <c r="C832" s="36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</row>
    <row r="833" spans="1:14" ht="15.75" customHeight="1" x14ac:dyDescent="0.2">
      <c r="A833" s="38"/>
      <c r="B833" s="38"/>
      <c r="C833" s="36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</row>
    <row r="834" spans="1:14" ht="15.75" customHeight="1" x14ac:dyDescent="0.2">
      <c r="A834" s="38"/>
      <c r="B834" s="38"/>
      <c r="C834" s="36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</row>
    <row r="835" spans="1:14" ht="15.75" customHeight="1" x14ac:dyDescent="0.2">
      <c r="A835" s="38"/>
      <c r="B835" s="38"/>
      <c r="C835" s="36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</row>
    <row r="836" spans="1:14" ht="15.75" customHeight="1" x14ac:dyDescent="0.2">
      <c r="A836" s="38"/>
      <c r="B836" s="38"/>
      <c r="C836" s="36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</row>
    <row r="837" spans="1:14" ht="15.75" customHeight="1" x14ac:dyDescent="0.2">
      <c r="A837" s="38"/>
      <c r="B837" s="38"/>
      <c r="C837" s="36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</row>
    <row r="838" spans="1:14" ht="15.75" customHeight="1" x14ac:dyDescent="0.2">
      <c r="A838" s="38"/>
      <c r="B838" s="38"/>
      <c r="C838" s="36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</row>
    <row r="839" spans="1:14" ht="15.75" customHeight="1" x14ac:dyDescent="0.2">
      <c r="A839" s="38"/>
      <c r="B839" s="38"/>
      <c r="C839" s="36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</row>
    <row r="840" spans="1:14" ht="15.75" customHeight="1" x14ac:dyDescent="0.2">
      <c r="A840" s="38"/>
      <c r="B840" s="38"/>
      <c r="C840" s="36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</row>
    <row r="841" spans="1:14" ht="15.75" customHeight="1" x14ac:dyDescent="0.2">
      <c r="A841" s="38"/>
      <c r="B841" s="38"/>
      <c r="C841" s="36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</row>
    <row r="842" spans="1:14" ht="15.75" customHeight="1" x14ac:dyDescent="0.2">
      <c r="A842" s="38"/>
      <c r="B842" s="38"/>
      <c r="C842" s="36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</row>
    <row r="843" spans="1:14" ht="15.75" customHeight="1" x14ac:dyDescent="0.2">
      <c r="A843" s="38"/>
      <c r="B843" s="38"/>
      <c r="C843" s="36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</row>
    <row r="844" spans="1:14" ht="15.75" customHeight="1" x14ac:dyDescent="0.2">
      <c r="A844" s="38"/>
      <c r="B844" s="38"/>
      <c r="C844" s="36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</row>
    <row r="845" spans="1:14" ht="15.75" customHeight="1" x14ac:dyDescent="0.2">
      <c r="A845" s="38"/>
      <c r="B845" s="38"/>
      <c r="C845" s="36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</row>
    <row r="846" spans="1:14" ht="15.75" customHeight="1" x14ac:dyDescent="0.2">
      <c r="A846" s="38"/>
      <c r="B846" s="38"/>
      <c r="C846" s="36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</row>
    <row r="847" spans="1:14" ht="15.75" customHeight="1" x14ac:dyDescent="0.2">
      <c r="A847" s="38"/>
      <c r="B847" s="38"/>
      <c r="C847" s="36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</row>
    <row r="848" spans="1:14" ht="15.75" customHeight="1" x14ac:dyDescent="0.2">
      <c r="A848" s="38"/>
      <c r="B848" s="38"/>
      <c r="C848" s="36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</row>
    <row r="849" spans="1:14" ht="15.75" customHeight="1" x14ac:dyDescent="0.2">
      <c r="A849" s="38"/>
      <c r="B849" s="38"/>
      <c r="C849" s="36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</row>
    <row r="850" spans="1:14" ht="15.75" customHeight="1" x14ac:dyDescent="0.2">
      <c r="A850" s="38"/>
      <c r="B850" s="38"/>
      <c r="C850" s="36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</row>
    <row r="851" spans="1:14" ht="15.75" customHeight="1" x14ac:dyDescent="0.2">
      <c r="A851" s="38"/>
      <c r="B851" s="38"/>
      <c r="C851" s="36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</row>
    <row r="852" spans="1:14" ht="15.75" customHeight="1" x14ac:dyDescent="0.2">
      <c r="A852" s="38"/>
      <c r="B852" s="38"/>
      <c r="C852" s="36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</row>
    <row r="853" spans="1:14" ht="15.75" customHeight="1" x14ac:dyDescent="0.2">
      <c r="A853" s="38"/>
      <c r="B853" s="38"/>
      <c r="C853" s="36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</row>
    <row r="854" spans="1:14" ht="15.75" customHeight="1" x14ac:dyDescent="0.2">
      <c r="A854" s="38"/>
      <c r="B854" s="38"/>
      <c r="C854" s="36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</row>
    <row r="855" spans="1:14" ht="15.75" customHeight="1" x14ac:dyDescent="0.2">
      <c r="A855" s="38"/>
      <c r="B855" s="38"/>
      <c r="C855" s="36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</row>
    <row r="856" spans="1:14" ht="15.75" customHeight="1" x14ac:dyDescent="0.2">
      <c r="A856" s="38"/>
      <c r="B856" s="38"/>
      <c r="C856" s="36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</row>
    <row r="857" spans="1:14" ht="15.75" customHeight="1" x14ac:dyDescent="0.2">
      <c r="A857" s="38"/>
      <c r="B857" s="38"/>
      <c r="C857" s="36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</row>
    <row r="858" spans="1:14" ht="15.75" customHeight="1" x14ac:dyDescent="0.2">
      <c r="A858" s="38"/>
      <c r="B858" s="38"/>
      <c r="C858" s="36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</row>
    <row r="859" spans="1:14" ht="15.75" customHeight="1" x14ac:dyDescent="0.2">
      <c r="A859" s="38"/>
      <c r="B859" s="38"/>
      <c r="C859" s="36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</row>
    <row r="860" spans="1:14" ht="15.75" customHeight="1" x14ac:dyDescent="0.2">
      <c r="A860" s="38"/>
      <c r="B860" s="38"/>
      <c r="C860" s="36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</row>
    <row r="861" spans="1:14" ht="15.75" customHeight="1" x14ac:dyDescent="0.2">
      <c r="A861" s="38"/>
      <c r="B861" s="38"/>
      <c r="C861" s="36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</row>
    <row r="862" spans="1:14" ht="15.75" customHeight="1" x14ac:dyDescent="0.2">
      <c r="A862" s="38"/>
      <c r="B862" s="38"/>
      <c r="C862" s="36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</row>
    <row r="863" spans="1:14" ht="15.75" customHeight="1" x14ac:dyDescent="0.2">
      <c r="A863" s="38"/>
      <c r="B863" s="38"/>
      <c r="C863" s="36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</row>
    <row r="864" spans="1:14" ht="15.75" customHeight="1" x14ac:dyDescent="0.2">
      <c r="A864" s="38"/>
      <c r="B864" s="38"/>
      <c r="C864" s="36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</row>
    <row r="865" spans="1:14" ht="15.75" customHeight="1" x14ac:dyDescent="0.2">
      <c r="A865" s="38"/>
      <c r="B865" s="38"/>
      <c r="C865" s="36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</row>
    <row r="866" spans="1:14" ht="15.75" customHeight="1" x14ac:dyDescent="0.2">
      <c r="A866" s="38"/>
      <c r="B866" s="38"/>
      <c r="C866" s="36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</row>
    <row r="867" spans="1:14" ht="15.75" customHeight="1" x14ac:dyDescent="0.2">
      <c r="A867" s="38"/>
      <c r="B867" s="38"/>
      <c r="C867" s="36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</row>
    <row r="868" spans="1:14" ht="15.75" customHeight="1" x14ac:dyDescent="0.2">
      <c r="A868" s="38"/>
      <c r="B868" s="38"/>
      <c r="C868" s="36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</row>
    <row r="869" spans="1:14" ht="15.75" customHeight="1" x14ac:dyDescent="0.2">
      <c r="A869" s="38"/>
      <c r="B869" s="38"/>
      <c r="C869" s="36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</row>
    <row r="870" spans="1:14" ht="15.75" customHeight="1" x14ac:dyDescent="0.2">
      <c r="A870" s="38"/>
      <c r="B870" s="38"/>
      <c r="C870" s="36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</row>
    <row r="871" spans="1:14" ht="15.75" customHeight="1" x14ac:dyDescent="0.2">
      <c r="A871" s="38"/>
      <c r="B871" s="38"/>
      <c r="C871" s="36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</row>
    <row r="872" spans="1:14" ht="15.75" customHeight="1" x14ac:dyDescent="0.2">
      <c r="A872" s="38"/>
      <c r="B872" s="38"/>
      <c r="C872" s="36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</row>
    <row r="873" spans="1:14" ht="15.75" customHeight="1" x14ac:dyDescent="0.2">
      <c r="A873" s="38"/>
      <c r="B873" s="38"/>
      <c r="C873" s="36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</row>
    <row r="874" spans="1:14" ht="15.75" customHeight="1" x14ac:dyDescent="0.2">
      <c r="A874" s="38"/>
      <c r="B874" s="38"/>
      <c r="C874" s="36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</row>
    <row r="875" spans="1:14" ht="15.75" customHeight="1" x14ac:dyDescent="0.2">
      <c r="A875" s="38"/>
      <c r="B875" s="38"/>
      <c r="C875" s="36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</row>
    <row r="876" spans="1:14" ht="15.75" customHeight="1" x14ac:dyDescent="0.2">
      <c r="A876" s="38"/>
      <c r="B876" s="38"/>
      <c r="C876" s="36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</row>
    <row r="877" spans="1:14" ht="15.75" customHeight="1" x14ac:dyDescent="0.2">
      <c r="A877" s="38"/>
      <c r="B877" s="38"/>
      <c r="C877" s="36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</row>
    <row r="878" spans="1:14" ht="15.75" customHeight="1" x14ac:dyDescent="0.2">
      <c r="A878" s="38"/>
      <c r="B878" s="38"/>
      <c r="C878" s="36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</row>
    <row r="879" spans="1:14" ht="15.75" customHeight="1" x14ac:dyDescent="0.2">
      <c r="A879" s="38"/>
      <c r="B879" s="38"/>
      <c r="C879" s="36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</row>
    <row r="880" spans="1:14" ht="15.75" customHeight="1" x14ac:dyDescent="0.2">
      <c r="A880" s="38"/>
      <c r="B880" s="38"/>
      <c r="C880" s="36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</row>
    <row r="881" spans="1:14" ht="15.75" customHeight="1" x14ac:dyDescent="0.2">
      <c r="A881" s="38"/>
      <c r="B881" s="38"/>
      <c r="C881" s="36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</row>
    <row r="882" spans="1:14" ht="15.75" customHeight="1" x14ac:dyDescent="0.2">
      <c r="A882" s="38"/>
      <c r="B882" s="38"/>
      <c r="C882" s="36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</row>
    <row r="883" spans="1:14" ht="15.75" customHeight="1" x14ac:dyDescent="0.2">
      <c r="A883" s="38"/>
      <c r="B883" s="38"/>
      <c r="C883" s="36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</row>
    <row r="884" spans="1:14" ht="15.75" customHeight="1" x14ac:dyDescent="0.2">
      <c r="A884" s="38"/>
      <c r="B884" s="38"/>
      <c r="C884" s="36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</row>
    <row r="885" spans="1:14" ht="15.75" customHeight="1" x14ac:dyDescent="0.2">
      <c r="A885" s="38"/>
      <c r="B885" s="38"/>
      <c r="C885" s="36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</row>
    <row r="886" spans="1:14" ht="15.75" customHeight="1" x14ac:dyDescent="0.2">
      <c r="A886" s="38"/>
      <c r="B886" s="38"/>
      <c r="C886" s="36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</row>
    <row r="887" spans="1:14" ht="15.75" customHeight="1" x14ac:dyDescent="0.2">
      <c r="A887" s="38"/>
      <c r="B887" s="38"/>
      <c r="C887" s="36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</row>
    <row r="888" spans="1:14" ht="15.75" customHeight="1" x14ac:dyDescent="0.2">
      <c r="A888" s="38"/>
      <c r="B888" s="38"/>
      <c r="C888" s="36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</row>
    <row r="889" spans="1:14" ht="15.75" customHeight="1" x14ac:dyDescent="0.2">
      <c r="A889" s="38"/>
      <c r="B889" s="38"/>
      <c r="C889" s="36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</row>
    <row r="890" spans="1:14" ht="15.75" customHeight="1" x14ac:dyDescent="0.2">
      <c r="A890" s="38"/>
      <c r="B890" s="38"/>
      <c r="C890" s="36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</row>
    <row r="891" spans="1:14" ht="15.75" customHeight="1" x14ac:dyDescent="0.2">
      <c r="A891" s="38"/>
      <c r="B891" s="38"/>
      <c r="C891" s="36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</row>
    <row r="892" spans="1:14" ht="15.75" customHeight="1" x14ac:dyDescent="0.2">
      <c r="A892" s="38"/>
      <c r="B892" s="38"/>
      <c r="C892" s="36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</row>
    <row r="893" spans="1:14" ht="15.75" customHeight="1" x14ac:dyDescent="0.2">
      <c r="A893" s="38"/>
      <c r="B893" s="38"/>
      <c r="C893" s="36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</row>
    <row r="894" spans="1:14" ht="15.75" customHeight="1" x14ac:dyDescent="0.2">
      <c r="A894" s="38"/>
      <c r="B894" s="38"/>
      <c r="C894" s="36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</row>
    <row r="895" spans="1:14" ht="15.75" customHeight="1" x14ac:dyDescent="0.2">
      <c r="A895" s="38"/>
      <c r="B895" s="38"/>
      <c r="C895" s="36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</row>
    <row r="896" spans="1:14" ht="15.75" customHeight="1" x14ac:dyDescent="0.2">
      <c r="A896" s="38"/>
      <c r="B896" s="38"/>
      <c r="C896" s="36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</row>
    <row r="897" spans="1:14" ht="15.75" customHeight="1" x14ac:dyDescent="0.2">
      <c r="A897" s="38"/>
      <c r="B897" s="38"/>
      <c r="C897" s="36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</row>
    <row r="898" spans="1:14" ht="15.75" customHeight="1" x14ac:dyDescent="0.2">
      <c r="A898" s="38"/>
      <c r="B898" s="38"/>
      <c r="C898" s="36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</row>
    <row r="899" spans="1:14" ht="15.75" customHeight="1" x14ac:dyDescent="0.2">
      <c r="A899" s="38"/>
      <c r="B899" s="38"/>
      <c r="C899" s="36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</row>
    <row r="900" spans="1:14" ht="15.75" customHeight="1" x14ac:dyDescent="0.2">
      <c r="A900" s="38"/>
      <c r="B900" s="38"/>
      <c r="C900" s="36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</row>
    <row r="901" spans="1:14" ht="15.75" customHeight="1" x14ac:dyDescent="0.2">
      <c r="A901" s="38"/>
      <c r="B901" s="38"/>
      <c r="C901" s="36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</row>
    <row r="902" spans="1:14" ht="15.75" customHeight="1" x14ac:dyDescent="0.2">
      <c r="A902" s="38"/>
      <c r="B902" s="38"/>
      <c r="C902" s="36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</row>
    <row r="903" spans="1:14" ht="15.75" customHeight="1" x14ac:dyDescent="0.2">
      <c r="A903" s="38"/>
      <c r="B903" s="38"/>
      <c r="C903" s="36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</row>
    <row r="904" spans="1:14" ht="15.75" customHeight="1" x14ac:dyDescent="0.2">
      <c r="A904" s="38"/>
      <c r="B904" s="38"/>
      <c r="C904" s="36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</row>
    <row r="905" spans="1:14" ht="15.75" customHeight="1" x14ac:dyDescent="0.2">
      <c r="A905" s="38"/>
      <c r="B905" s="38"/>
      <c r="C905" s="36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</row>
    <row r="906" spans="1:14" ht="15.75" customHeight="1" x14ac:dyDescent="0.2">
      <c r="A906" s="38"/>
      <c r="B906" s="38"/>
      <c r="C906" s="36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</row>
    <row r="907" spans="1:14" ht="15.75" customHeight="1" x14ac:dyDescent="0.2">
      <c r="A907" s="38"/>
      <c r="B907" s="38"/>
      <c r="C907" s="36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</row>
    <row r="908" spans="1:14" ht="15.75" customHeight="1" x14ac:dyDescent="0.2">
      <c r="A908" s="38"/>
      <c r="B908" s="38"/>
      <c r="C908" s="36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</row>
    <row r="909" spans="1:14" ht="15.75" customHeight="1" x14ac:dyDescent="0.2">
      <c r="A909" s="38"/>
      <c r="B909" s="38"/>
      <c r="C909" s="36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</row>
    <row r="910" spans="1:14" ht="15.75" customHeight="1" x14ac:dyDescent="0.2">
      <c r="A910" s="38"/>
      <c r="B910" s="38"/>
      <c r="C910" s="36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</row>
    <row r="911" spans="1:14" ht="15.75" customHeight="1" x14ac:dyDescent="0.2">
      <c r="A911" s="38"/>
      <c r="B911" s="38"/>
      <c r="C911" s="36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</row>
    <row r="912" spans="1:14" ht="15.75" customHeight="1" x14ac:dyDescent="0.2">
      <c r="A912" s="38"/>
      <c r="B912" s="38"/>
      <c r="C912" s="36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</row>
    <row r="913" spans="1:3" ht="15.75" customHeight="1" x14ac:dyDescent="0.2">
      <c r="A913" s="38"/>
      <c r="C913" s="3"/>
    </row>
    <row r="914" spans="1:3" ht="15.75" customHeight="1" x14ac:dyDescent="0.2">
      <c r="A914" s="38"/>
      <c r="C914" s="3"/>
    </row>
    <row r="915" spans="1:3" ht="15.75" customHeight="1" x14ac:dyDescent="0.2">
      <c r="A915" s="38"/>
      <c r="C915" s="3"/>
    </row>
    <row r="916" spans="1:3" ht="15.75" customHeight="1" x14ac:dyDescent="0.2">
      <c r="A916" s="38"/>
      <c r="C916" s="3"/>
    </row>
    <row r="917" spans="1:3" ht="15.75" customHeight="1" x14ac:dyDescent="0.2">
      <c r="A917" s="38"/>
      <c r="C917" s="3"/>
    </row>
    <row r="918" spans="1:3" ht="15.75" customHeight="1" x14ac:dyDescent="0.2">
      <c r="A918" s="38"/>
      <c r="C918" s="3"/>
    </row>
    <row r="919" spans="1:3" ht="15.75" customHeight="1" x14ac:dyDescent="0.2">
      <c r="A919" s="38"/>
      <c r="C919" s="3"/>
    </row>
    <row r="920" spans="1:3" ht="15.75" customHeight="1" x14ac:dyDescent="0.2">
      <c r="A920" s="38"/>
      <c r="C920" s="3"/>
    </row>
    <row r="921" spans="1:3" ht="15.75" customHeight="1" x14ac:dyDescent="0.2">
      <c r="A921" s="38"/>
      <c r="C921" s="3"/>
    </row>
    <row r="922" spans="1:3" ht="15.75" customHeight="1" x14ac:dyDescent="0.2">
      <c r="A922" s="38"/>
      <c r="C922" s="3"/>
    </row>
    <row r="923" spans="1:3" ht="15.75" customHeight="1" x14ac:dyDescent="0.2">
      <c r="A923" s="38"/>
      <c r="C923" s="3"/>
    </row>
    <row r="924" spans="1:3" ht="15.75" customHeight="1" x14ac:dyDescent="0.2">
      <c r="A924" s="38"/>
      <c r="C924" s="3"/>
    </row>
    <row r="925" spans="1:3" ht="15.75" customHeight="1" x14ac:dyDescent="0.2">
      <c r="A925" s="38"/>
      <c r="C925" s="3"/>
    </row>
    <row r="926" spans="1:3" ht="15.75" customHeight="1" x14ac:dyDescent="0.2">
      <c r="A926" s="38"/>
      <c r="C926" s="3"/>
    </row>
    <row r="927" spans="1:3" ht="15.75" customHeight="1" x14ac:dyDescent="0.2">
      <c r="A927" s="38"/>
      <c r="C927" s="3"/>
    </row>
    <row r="928" spans="1:3" ht="15.75" customHeight="1" x14ac:dyDescent="0.2">
      <c r="A928" s="38"/>
      <c r="C928" s="3"/>
    </row>
    <row r="929" spans="1:3" ht="15.75" customHeight="1" x14ac:dyDescent="0.2">
      <c r="A929" s="38"/>
      <c r="C929" s="3"/>
    </row>
    <row r="930" spans="1:3" ht="15.75" customHeight="1" x14ac:dyDescent="0.2">
      <c r="A930" s="38"/>
      <c r="C930" s="3"/>
    </row>
    <row r="931" spans="1:3" ht="15.75" customHeight="1" x14ac:dyDescent="0.2">
      <c r="A931" s="38"/>
      <c r="C931" s="3"/>
    </row>
    <row r="932" spans="1:3" ht="15.75" customHeight="1" x14ac:dyDescent="0.2">
      <c r="A932" s="38"/>
      <c r="C932" s="3"/>
    </row>
    <row r="933" spans="1:3" ht="15.75" customHeight="1" x14ac:dyDescent="0.2">
      <c r="A933" s="38"/>
      <c r="C933" s="3"/>
    </row>
    <row r="934" spans="1:3" ht="15.75" customHeight="1" x14ac:dyDescent="0.2">
      <c r="A934" s="38"/>
      <c r="C934" s="3"/>
    </row>
    <row r="935" spans="1:3" ht="15.75" customHeight="1" x14ac:dyDescent="0.2">
      <c r="A935" s="38"/>
      <c r="C935" s="3"/>
    </row>
    <row r="936" spans="1:3" ht="15.75" customHeight="1" x14ac:dyDescent="0.2">
      <c r="A936" s="38"/>
      <c r="C936" s="3"/>
    </row>
    <row r="937" spans="1:3" ht="15.75" customHeight="1" x14ac:dyDescent="0.2">
      <c r="A937" s="38"/>
      <c r="C937" s="3"/>
    </row>
    <row r="938" spans="1:3" ht="15.75" customHeight="1" x14ac:dyDescent="0.2">
      <c r="A938" s="38"/>
      <c r="C938" s="3"/>
    </row>
    <row r="939" spans="1:3" ht="15.75" customHeight="1" x14ac:dyDescent="0.2">
      <c r="A939" s="38"/>
      <c r="C939" s="3"/>
    </row>
    <row r="940" spans="1:3" ht="15.75" customHeight="1" x14ac:dyDescent="0.2">
      <c r="A940" s="38"/>
      <c r="C940" s="3"/>
    </row>
    <row r="941" spans="1:3" ht="15.75" customHeight="1" x14ac:dyDescent="0.2">
      <c r="A941" s="38"/>
      <c r="C941" s="3"/>
    </row>
    <row r="942" spans="1:3" ht="15.75" customHeight="1" x14ac:dyDescent="0.2">
      <c r="A942" s="38"/>
      <c r="C942" s="3"/>
    </row>
    <row r="943" spans="1:3" ht="15.75" customHeight="1" x14ac:dyDescent="0.2">
      <c r="A943" s="38"/>
      <c r="C943" s="3"/>
    </row>
    <row r="944" spans="1:3" ht="15.75" customHeight="1" x14ac:dyDescent="0.2">
      <c r="A944" s="38"/>
      <c r="C944" s="3"/>
    </row>
    <row r="945" spans="1:3" ht="15.75" customHeight="1" x14ac:dyDescent="0.2">
      <c r="A945" s="38"/>
      <c r="C945" s="3"/>
    </row>
    <row r="946" spans="1:3" ht="15.75" customHeight="1" x14ac:dyDescent="0.2">
      <c r="A946" s="38"/>
      <c r="C946" s="3"/>
    </row>
    <row r="947" spans="1:3" ht="15.75" customHeight="1" x14ac:dyDescent="0.2">
      <c r="A947" s="38"/>
      <c r="C947" s="3"/>
    </row>
    <row r="948" spans="1:3" ht="15.75" customHeight="1" x14ac:dyDescent="0.2">
      <c r="A948" s="38"/>
      <c r="C948" s="3"/>
    </row>
    <row r="949" spans="1:3" ht="15.75" customHeight="1" x14ac:dyDescent="0.2">
      <c r="A949" s="38"/>
      <c r="C949" s="3"/>
    </row>
    <row r="950" spans="1:3" ht="15.75" customHeight="1" x14ac:dyDescent="0.2">
      <c r="A950" s="38"/>
      <c r="C950" s="3"/>
    </row>
    <row r="951" spans="1:3" ht="15.75" customHeight="1" x14ac:dyDescent="0.2">
      <c r="A951" s="38"/>
      <c r="C951" s="3"/>
    </row>
    <row r="952" spans="1:3" ht="15.75" customHeight="1" x14ac:dyDescent="0.2">
      <c r="A952" s="38"/>
      <c r="C952" s="3"/>
    </row>
    <row r="953" spans="1:3" ht="15.75" customHeight="1" x14ac:dyDescent="0.2">
      <c r="A953" s="38"/>
      <c r="C953" s="3"/>
    </row>
    <row r="954" spans="1:3" ht="15.75" customHeight="1" x14ac:dyDescent="0.2">
      <c r="A954" s="38"/>
      <c r="C954" s="3"/>
    </row>
    <row r="955" spans="1:3" ht="15.75" customHeight="1" x14ac:dyDescent="0.2">
      <c r="A955" s="38"/>
      <c r="C955" s="3"/>
    </row>
    <row r="956" spans="1:3" ht="15.75" customHeight="1" x14ac:dyDescent="0.2">
      <c r="A956" s="38"/>
      <c r="C956" s="3"/>
    </row>
    <row r="957" spans="1:3" ht="15.75" customHeight="1" x14ac:dyDescent="0.2">
      <c r="A957" s="38"/>
      <c r="C957" s="3"/>
    </row>
    <row r="958" spans="1:3" ht="15.75" customHeight="1" x14ac:dyDescent="0.2">
      <c r="A958" s="38"/>
      <c r="C958" s="3"/>
    </row>
    <row r="959" spans="1:3" ht="15.75" customHeight="1" x14ac:dyDescent="0.2">
      <c r="A959" s="38"/>
      <c r="C959" s="3"/>
    </row>
    <row r="960" spans="1:3" ht="15.75" customHeight="1" x14ac:dyDescent="0.2">
      <c r="A960" s="38"/>
      <c r="C960" s="3"/>
    </row>
    <row r="961" spans="1:3" ht="15.75" customHeight="1" x14ac:dyDescent="0.2">
      <c r="A961" s="38"/>
      <c r="C961" s="3"/>
    </row>
    <row r="962" spans="1:3" ht="15.75" customHeight="1" x14ac:dyDescent="0.2">
      <c r="A962" s="38"/>
      <c r="C962" s="3"/>
    </row>
    <row r="963" spans="1:3" ht="15.75" customHeight="1" x14ac:dyDescent="0.2">
      <c r="A963" s="38"/>
      <c r="C963" s="3"/>
    </row>
    <row r="964" spans="1:3" ht="15.75" customHeight="1" x14ac:dyDescent="0.2">
      <c r="A964" s="38"/>
      <c r="C964" s="3"/>
    </row>
    <row r="965" spans="1:3" ht="15.75" customHeight="1" x14ac:dyDescent="0.2">
      <c r="A965" s="38"/>
      <c r="C965" s="3"/>
    </row>
    <row r="966" spans="1:3" ht="15.75" customHeight="1" x14ac:dyDescent="0.2">
      <c r="A966" s="38"/>
      <c r="C966" s="3"/>
    </row>
    <row r="967" spans="1:3" ht="15.75" customHeight="1" x14ac:dyDescent="0.2">
      <c r="A967" s="38"/>
      <c r="C967" s="3"/>
    </row>
    <row r="968" spans="1:3" ht="15.75" customHeight="1" x14ac:dyDescent="0.2">
      <c r="A968" s="38"/>
      <c r="C968" s="3"/>
    </row>
    <row r="969" spans="1:3" ht="15.75" customHeight="1" x14ac:dyDescent="0.2">
      <c r="A969" s="38"/>
      <c r="C969" s="3"/>
    </row>
    <row r="970" spans="1:3" ht="15.75" customHeight="1" x14ac:dyDescent="0.2">
      <c r="A970" s="38"/>
      <c r="C970" s="3"/>
    </row>
    <row r="971" spans="1:3" ht="15.75" customHeight="1" x14ac:dyDescent="0.2">
      <c r="A971" s="38"/>
      <c r="C971" s="3"/>
    </row>
    <row r="972" spans="1:3" ht="15.75" customHeight="1" x14ac:dyDescent="0.2">
      <c r="A972" s="38"/>
      <c r="C972" s="3"/>
    </row>
    <row r="973" spans="1:3" ht="15.75" customHeight="1" x14ac:dyDescent="0.2">
      <c r="A973" s="38"/>
      <c r="C973" s="3"/>
    </row>
    <row r="974" spans="1:3" ht="15.75" customHeight="1" x14ac:dyDescent="0.2">
      <c r="A974" s="38"/>
      <c r="C974" s="3"/>
    </row>
    <row r="975" spans="1:3" ht="15.75" customHeight="1" x14ac:dyDescent="0.2">
      <c r="A975" s="38"/>
      <c r="C975" s="3"/>
    </row>
    <row r="976" spans="1:3" ht="15.75" customHeight="1" x14ac:dyDescent="0.2">
      <c r="A976" s="38"/>
      <c r="C976" s="3"/>
    </row>
    <row r="977" spans="1:3" ht="15.75" customHeight="1" x14ac:dyDescent="0.2">
      <c r="A977" s="38"/>
      <c r="C977" s="3"/>
    </row>
    <row r="978" spans="1:3" ht="15.75" customHeight="1" x14ac:dyDescent="0.2">
      <c r="A978" s="38"/>
      <c r="C978" s="3"/>
    </row>
    <row r="979" spans="1:3" ht="15.75" customHeight="1" x14ac:dyDescent="0.2">
      <c r="A979" s="38"/>
      <c r="C979" s="3"/>
    </row>
    <row r="980" spans="1:3" ht="15.75" customHeight="1" x14ac:dyDescent="0.2">
      <c r="A980" s="38"/>
      <c r="C980" s="3"/>
    </row>
    <row r="981" spans="1:3" ht="15.75" customHeight="1" x14ac:dyDescent="0.2">
      <c r="A981" s="38"/>
      <c r="C981" s="3"/>
    </row>
    <row r="982" spans="1:3" ht="15.75" customHeight="1" x14ac:dyDescent="0.2">
      <c r="A982" s="38"/>
      <c r="C982" s="3"/>
    </row>
    <row r="983" spans="1:3" ht="15.75" customHeight="1" x14ac:dyDescent="0.2">
      <c r="A983" s="38"/>
      <c r="C983" s="3"/>
    </row>
    <row r="984" spans="1:3" ht="15.75" customHeight="1" x14ac:dyDescent="0.2">
      <c r="A984" s="38"/>
      <c r="C984" s="3"/>
    </row>
    <row r="985" spans="1:3" ht="15.75" customHeight="1" x14ac:dyDescent="0.2">
      <c r="A985" s="38"/>
      <c r="C985" s="3"/>
    </row>
    <row r="986" spans="1:3" ht="15.75" customHeight="1" x14ac:dyDescent="0.2">
      <c r="A986" s="38"/>
      <c r="C986" s="3"/>
    </row>
    <row r="987" spans="1:3" ht="15.75" customHeight="1" x14ac:dyDescent="0.2">
      <c r="A987" s="38"/>
      <c r="C987" s="3"/>
    </row>
    <row r="988" spans="1:3" ht="15.75" customHeight="1" x14ac:dyDescent="0.2">
      <c r="A988" s="38"/>
      <c r="C988" s="3"/>
    </row>
    <row r="989" spans="1:3" ht="15.75" customHeight="1" x14ac:dyDescent="0.2">
      <c r="A989" s="38"/>
      <c r="C989" s="3"/>
    </row>
    <row r="990" spans="1:3" ht="15.75" customHeight="1" x14ac:dyDescent="0.2">
      <c r="A990" s="38"/>
      <c r="C990" s="3"/>
    </row>
    <row r="991" spans="1:3" ht="15.75" customHeight="1" x14ac:dyDescent="0.2">
      <c r="A991" s="38"/>
      <c r="C991" s="3"/>
    </row>
    <row r="992" spans="1:3" ht="15.75" customHeight="1" x14ac:dyDescent="0.2">
      <c r="A992" s="38"/>
      <c r="C992" s="3"/>
    </row>
    <row r="993" spans="1:3" ht="15.75" customHeight="1" x14ac:dyDescent="0.2">
      <c r="A993" s="38"/>
      <c r="C993" s="3"/>
    </row>
    <row r="994" spans="1:3" ht="15.75" customHeight="1" x14ac:dyDescent="0.2">
      <c r="A994" s="38"/>
      <c r="C994" s="3"/>
    </row>
    <row r="995" spans="1:3" ht="15.75" customHeight="1" x14ac:dyDescent="0.2">
      <c r="A995" s="38"/>
      <c r="C995" s="3"/>
    </row>
    <row r="996" spans="1:3" ht="15.75" customHeight="1" x14ac:dyDescent="0.2">
      <c r="A996" s="38"/>
      <c r="C996" s="3"/>
    </row>
    <row r="997" spans="1:3" ht="15.75" customHeight="1" x14ac:dyDescent="0.2">
      <c r="A997" s="38"/>
      <c r="C997" s="3"/>
    </row>
    <row r="998" spans="1:3" ht="15.75" customHeight="1" x14ac:dyDescent="0.2">
      <c r="A998" s="38"/>
      <c r="C998" s="3"/>
    </row>
    <row r="999" spans="1:3" ht="15.75" customHeight="1" x14ac:dyDescent="0.2">
      <c r="A999" s="38"/>
      <c r="C999" s="3"/>
    </row>
    <row r="1000" spans="1:3" ht="15.75" customHeight="1" x14ac:dyDescent="0.2">
      <c r="A1000" s="38"/>
      <c r="C100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Site Data</vt:lpstr>
      <vt:lpstr>BREK</vt:lpstr>
      <vt:lpstr>CAV Bay</vt:lpstr>
      <vt:lpstr>COOL</vt:lpstr>
      <vt:lpstr>DIST</vt:lpstr>
      <vt:lpstr>GNAR</vt:lpstr>
      <vt:lpstr>HUCK</vt:lpstr>
      <vt:lpstr>INDI</vt:lpstr>
      <vt:lpstr>KALI</vt:lpstr>
      <vt:lpstr>LWPR</vt:lpstr>
      <vt:lpstr>LWQA-S</vt:lpstr>
      <vt:lpstr>MOSQ</vt:lpstr>
      <vt:lpstr>OUTL</vt:lpstr>
      <vt:lpstr>PLNO</vt:lpstr>
      <vt:lpstr>SQUA</vt:lpstr>
      <vt:lpstr>PLSO</vt:lpstr>
      <vt:lpstr>UPLK</vt:lpstr>
      <vt:lpstr>LUBY</vt:lpstr>
      <vt:lpstr>Sampling Frequency</vt:lpstr>
      <vt:lpstr>Rothrock Historic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Ephraim Romesberg</cp:lastModifiedBy>
  <dcterms:created xsi:type="dcterms:W3CDTF">2024-10-17T16:48:55Z</dcterms:created>
  <dcterms:modified xsi:type="dcterms:W3CDTF">2024-11-11T02:43:13Z</dcterms:modified>
</cp:coreProperties>
</file>