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3380"/>
  </bookViews>
  <sheets>
    <sheet name="Sheet1" sheetId="1" r:id="rId1"/>
    <sheet name="Sheet2" sheetId="2" r:id="rId2"/>
  </sheets>
  <externalReferences>
    <externalReference r:id="rId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L2" authorId="0">
      <text>
        <r>
          <rPr>
            <sz val="9"/>
            <rFont val="宋体"/>
            <charset val="134"/>
          </rPr>
          <t>包装材料，生产材料，运费等</t>
        </r>
      </text>
    </comment>
    <comment ref="C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</t>
        </r>
      </text>
    </comment>
    <comment ref="E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山东绿航11月份到苗款</t>
        </r>
      </text>
    </comment>
    <comment ref="F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3月2日之前到开花株款</t>
        </r>
      </text>
    </comment>
    <comment ref="J4" authorId="0">
      <text>
        <r>
          <rPr>
            <sz val="9"/>
            <rFont val="宋体"/>
            <charset val="134"/>
          </rPr>
          <t>长松园换膜尾款36049.98+小街基地换膜50%货款，</t>
        </r>
      </text>
    </comment>
    <comment ref="K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大胶带/农药/荣记托盘8千，运费2万</t>
        </r>
      </text>
    </comment>
    <comment ref="C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34211.2美元+阿洪苗定金12960美元(14076.5+12960+840+540)*6.8</t>
        </r>
      </text>
    </comment>
    <comment ref="E5" authorId="0">
      <text>
        <r>
          <rPr>
            <sz val="9"/>
            <rFont val="宋体"/>
            <charset val="134"/>
          </rPr>
          <t>和鸣花卉1月6日到苗款</t>
        </r>
      </text>
    </comment>
    <comment ref="F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3月13日到开花株款</t>
        </r>
      </text>
    </comment>
    <comment ref="I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真善美30万</t>
        </r>
      </text>
    </comment>
    <comment ref="J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仓库纳米瓦费用
</t>
        </r>
      </text>
    </comment>
    <comment ref="C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印尼尾款8392.5美元</t>
        </r>
      </text>
    </comment>
    <comment ref="F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3月23日到开花株款</t>
        </r>
      </text>
    </comment>
    <comment ref="C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迪拜或者其他国外</t>
        </r>
      </text>
    </comment>
    <comment ref="E7" authorId="0">
      <text>
        <r>
          <rPr>
            <sz val="9"/>
            <rFont val="宋体"/>
            <charset val="134"/>
          </rPr>
          <t>山东绿航2026年1月12日苗款</t>
        </r>
      </text>
    </comment>
    <comment ref="F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3月23日</t>
        </r>
      </text>
    </comment>
    <comment ref="J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朱洋斌工程款17万的25%</t>
        </r>
      </text>
    </comment>
    <comment ref="K7" authorId="0">
      <text>
        <r>
          <rPr>
            <sz val="9"/>
            <rFont val="宋体"/>
            <charset val="134"/>
          </rPr>
          <t>水苔款13万</t>
        </r>
      </text>
    </comment>
    <comment ref="I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大城村租金34万+，砚山16.25万+押金9万</t>
        </r>
      </text>
    </comment>
    <comment ref="K8" authorId="0">
      <text>
        <r>
          <rPr>
            <sz val="9"/>
            <rFont val="宋体"/>
            <charset val="134"/>
          </rPr>
          <t>纸箱款12万</t>
        </r>
      </text>
    </comment>
    <comment ref="C1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出口167129株</t>
        </r>
      </text>
    </comment>
    <comment ref="F1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贷款500万</t>
        </r>
      </text>
    </comment>
    <comment ref="F2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绿航2026年2月10日到货IQ26016  124620元和鸣2026年2月11日到货IQ26018+1月份出瓶款 372820元+88280元+汇海3月6日到货</t>
        </r>
      </text>
    </comment>
    <comment ref="G2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</t>
        </r>
      </text>
    </comment>
    <comment ref="E2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房贷24000元
</t>
        </r>
      </text>
    </comment>
  </commentList>
</comments>
</file>

<file path=xl/comments2.xml><?xml version="1.0" encoding="utf-8"?>
<comments xmlns="http://schemas.openxmlformats.org/spreadsheetml/2006/main">
  <authors>
    <author>Administrator</author>
  </authors>
  <commentList>
    <comment ref="F3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6月份</t>
        </r>
      </text>
    </comment>
    <comment ref="F3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7月份</t>
        </r>
      </text>
    </comment>
    <comment ref="F3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8月份</t>
        </r>
      </text>
    </comment>
    <comment ref="J3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地租78400元+林业生产辅助设施使用费7088元</t>
        </r>
      </text>
    </comment>
  </commentList>
</comments>
</file>

<file path=xl/sharedStrings.xml><?xml version="1.0" encoding="utf-8"?>
<sst xmlns="http://schemas.openxmlformats.org/spreadsheetml/2006/main" count="589" uniqueCount="367">
  <si>
    <t>2026年5月份每周支出预算</t>
  </si>
  <si>
    <t>五月周次</t>
  </si>
  <si>
    <t>银行期初余额</t>
  </si>
  <si>
    <t>预计收款</t>
  </si>
  <si>
    <t>预计付款</t>
  </si>
  <si>
    <t>归还借款</t>
  </si>
  <si>
    <t>工资及社保、税费、员工保险费</t>
  </si>
  <si>
    <t>水电费和租金</t>
  </si>
  <si>
    <t>项目及工程</t>
  </si>
  <si>
    <t>生产、物资、运费</t>
  </si>
  <si>
    <t>差旅费、招待费、加油费、伙食费</t>
  </si>
  <si>
    <t>每周预计付款小计</t>
  </si>
  <si>
    <t>每周预计收支盈亏</t>
  </si>
  <si>
    <t>预计银行余额（建行基本户）</t>
  </si>
  <si>
    <t>备注</t>
  </si>
  <si>
    <t>国外</t>
  </si>
  <si>
    <t>国内</t>
  </si>
  <si>
    <t>预计应付苗款</t>
  </si>
  <si>
    <t>预计应付开花株款</t>
  </si>
  <si>
    <t>第一周（4月27日-5月3日）</t>
  </si>
  <si>
    <t>第二周（5月4日-5月10日）</t>
  </si>
  <si>
    <t>第三周（5月11日-5月17日）</t>
  </si>
  <si>
    <t>截止到4/29日报表余额</t>
  </si>
  <si>
    <t>第四周（5月18日-5月24日）</t>
  </si>
  <si>
    <t>款项</t>
  </si>
  <si>
    <t>金额</t>
  </si>
  <si>
    <t>不可用</t>
  </si>
  <si>
    <t xml:space="preserve">可用金额 </t>
  </si>
  <si>
    <t>第五周（5月25日-5月31日）</t>
  </si>
  <si>
    <t>基本户</t>
  </si>
  <si>
    <t>合计</t>
  </si>
  <si>
    <t>中行理财</t>
  </si>
  <si>
    <t>总计</t>
  </si>
  <si>
    <t>中行货款</t>
  </si>
  <si>
    <t>5月份可以销售的花有大约12万株</t>
  </si>
  <si>
    <t>100000*18.25*0.7现款1270000元（包括4月份的欠款一起）</t>
  </si>
  <si>
    <t>已到账未结汇</t>
  </si>
  <si>
    <t>废品户</t>
  </si>
  <si>
    <t>现可用款</t>
  </si>
  <si>
    <t>预计现金余额</t>
  </si>
  <si>
    <t>4月</t>
  </si>
  <si>
    <t>预算</t>
  </si>
  <si>
    <t>5月</t>
  </si>
  <si>
    <t>6月</t>
  </si>
  <si>
    <t>7月</t>
  </si>
  <si>
    <t>8月</t>
  </si>
  <si>
    <t>9月</t>
  </si>
  <si>
    <t>10月</t>
  </si>
  <si>
    <t>11月</t>
  </si>
  <si>
    <t>12月</t>
  </si>
  <si>
    <t>1月</t>
  </si>
  <si>
    <t>2月</t>
  </si>
  <si>
    <t>3月</t>
  </si>
  <si>
    <t>月初</t>
  </si>
  <si>
    <t>国外收款</t>
  </si>
  <si>
    <t>15万珠*19元/珠，5万珠小花*16元/珠</t>
  </si>
  <si>
    <t>国内收款</t>
  </si>
  <si>
    <t>100000*18.25*0.7货款+贷款500万+5万大城村租金</t>
  </si>
  <si>
    <t>本月的70%销售款+上月货款的30%款</t>
  </si>
  <si>
    <t>本月的70%销售款+上月货款的30%款+24万大城村租金</t>
  </si>
  <si>
    <t>本月货款+上月货款的30%，假设全部款都收回来</t>
  </si>
  <si>
    <t>大城村租金收回59万</t>
  </si>
  <si>
    <t>合计收款</t>
  </si>
  <si>
    <t>开花株</t>
  </si>
  <si>
    <t>苗款</t>
  </si>
  <si>
    <t>1月之前苗款及瓶苗款</t>
  </si>
  <si>
    <t>绿航2026年2月10日到货IQ26016  124620元和鸣2026年2月11日到货IQ26018+1月份出瓶款 372820元+88280元+汇海3月6日到货</t>
  </si>
  <si>
    <t>3月份25日之前含3月27日和鸣苗款</t>
  </si>
  <si>
    <t>3月27日和鸣/新百盛。绿航苗款，2-3月份和鸣出瓶苗款</t>
  </si>
  <si>
    <t>4月份和鸣/新百盛苗款+汇海生物瓶苗款</t>
  </si>
  <si>
    <t>5月份到苗款</t>
  </si>
  <si>
    <t>6月份到苗款</t>
  </si>
  <si>
    <t>7月到苗款-8份部分苗款</t>
  </si>
  <si>
    <t>8月份到苗款-10月份部分秒开</t>
  </si>
  <si>
    <t>10月份到苗款-12月份苗款</t>
  </si>
  <si>
    <t>1月份苗款进8万珠苗平均单价10元/珠</t>
  </si>
  <si>
    <t>2月份苗款进8万珠苗平均单价10元/珠</t>
  </si>
  <si>
    <t>3月份苗款进8万珠苗平均单价10元/珠</t>
  </si>
  <si>
    <t>4月份苗款进8万珠苗平均单价10元/珠</t>
  </si>
  <si>
    <t>5月份苗款进8万珠苗平均单价10元/珠</t>
  </si>
  <si>
    <t>6月份苗款进8万珠苗平均单价10元/珠</t>
  </si>
  <si>
    <t>7月份苗款进8万珠苗平均单价10元/珠</t>
  </si>
  <si>
    <t>8月份苗款进8万珠苗平均单价10元/珠</t>
  </si>
  <si>
    <t>9月份苗款进8万珠苗平均单价10元/珠</t>
  </si>
  <si>
    <t>10月份苗款进8万珠苗平均单价10元/珠</t>
  </si>
  <si>
    <t>工资</t>
  </si>
  <si>
    <t>保险3万元</t>
  </si>
  <si>
    <t>水电</t>
  </si>
  <si>
    <t>工程</t>
  </si>
  <si>
    <t>朱洋斌换摸尾款+工程其他款</t>
  </si>
  <si>
    <t>物资（生产物资、包装材料，运费）</t>
  </si>
  <si>
    <t>纸箱，水苔款</t>
  </si>
  <si>
    <t>加高托盘肥料款</t>
  </si>
  <si>
    <t>包装材料1元//珠，生产材料0.8元/珠</t>
  </si>
  <si>
    <t>其他（不能对公付款的五金材料、伙食费和出差等）和借款、租金</t>
  </si>
  <si>
    <t>大城村租金34万+真善美30万，砚山25.25万+其他3万</t>
  </si>
  <si>
    <t>房贷2.4万+项目等5万+运费等10万+还贷款450万+砚山1号棚下半年租金16.032万</t>
  </si>
  <si>
    <t>房贷45000元+其他费用5万+运费5万</t>
  </si>
  <si>
    <t>运费10万，其他费用5万</t>
  </si>
  <si>
    <t>（奔驰）云A589TY车辆保险费（捷豹）云A9B1Z6  6500元+小街基地租金+真善美9号下半年租金14万+房贷2.4万+运费10万，其他5万</t>
  </si>
  <si>
    <t>房贷45000元.人寿保险6人保险到期+房贷4.5万+运费10万，其他5万+敬项目款10.8万</t>
  </si>
  <si>
    <t>大众D3+蔚来的保险费用+真善美下半年租金30万+砚山2号棚租金+运费10万，其他5万</t>
  </si>
  <si>
    <t>员工意外保险到期+房贷2.4万+运费10万，其他5万</t>
  </si>
  <si>
    <t>房贷4.5万元+运费10万，+砚山1号棚半年租金+其他8万</t>
  </si>
  <si>
    <t>运费15万，其他8万</t>
  </si>
  <si>
    <t>房贷2.4万+运费10万，其他5万+敬总项目款10万+长松园租金81944元+真善美8号棚租金13.9万</t>
  </si>
  <si>
    <t>房贷4.5万+运费10万，其他5万</t>
  </si>
  <si>
    <t>大城村租金34万+真善美30万，砚山16.25万+其他3万</t>
  </si>
  <si>
    <t>（奔驰）云A589TY车辆保险费（捷豹）云A9B1Z6  6500元+小街基地租金+真善美9号下半年租金13.9万+房贷2.4万+运费10万，其他5万</t>
  </si>
  <si>
    <t>房贷45000元.人寿保险6人保险到期+房贷4.5万+运费10万，其他5万</t>
  </si>
  <si>
    <t>大众D3+蔚来的保险费用+真善美下半年租金30万+运费10万，其他5万</t>
  </si>
  <si>
    <t>房贷4.5万元+运费10万，+砚山1号棚租金16.032万+其他8万</t>
  </si>
  <si>
    <t>合计支出</t>
  </si>
  <si>
    <t>月末</t>
  </si>
  <si>
    <t>预计5月份应付账款统计表（截止应付款日期2026年4月23日）</t>
  </si>
  <si>
    <t>紧急程度用一级、二级、三级划分（一级为没有弹性的应付款，二级为有一周弹性的款，三级为弹性在一个月以内，四级为弹性在3个月以内）。一级黄色、二级白色、三级绿色，四级为蓝色。</t>
  </si>
  <si>
    <t>2026年已到开花株应付款</t>
  </si>
  <si>
    <t>厂家</t>
  </si>
  <si>
    <t>到货时间</t>
  </si>
  <si>
    <t>付款紧急度</t>
  </si>
  <si>
    <t>目前应付物资及运费款</t>
  </si>
  <si>
    <t>供货方</t>
  </si>
  <si>
    <t>物资名称/用途</t>
  </si>
  <si>
    <t>纳美</t>
  </si>
  <si>
    <t>2026年2月9日到货IQ26015</t>
  </si>
  <si>
    <t>三级</t>
  </si>
  <si>
    <t>一级</t>
  </si>
  <si>
    <t>2月应付开花株</t>
  </si>
  <si>
    <t>广东全美</t>
  </si>
  <si>
    <t>2026年3月1日到货IQ26021</t>
  </si>
  <si>
    <t>2月13日到货</t>
  </si>
  <si>
    <t>玉溪周学相</t>
  </si>
  <si>
    <t>水苔</t>
  </si>
  <si>
    <t>新领航</t>
  </si>
  <si>
    <t>2026年3月1日到货IQ26022</t>
  </si>
  <si>
    <t>3月24到货（原先说要现款现货）</t>
  </si>
  <si>
    <t>大胶带</t>
  </si>
  <si>
    <t>2026年3月2日到货IQ26023</t>
  </si>
  <si>
    <t>漂白水和酒精</t>
  </si>
  <si>
    <t>0871</t>
  </si>
  <si>
    <t>2026年3月2日到货IQ26024</t>
  </si>
  <si>
    <t>1月28-2.29之间到货</t>
  </si>
  <si>
    <t>成制纸箱</t>
  </si>
  <si>
    <t>纸箱</t>
  </si>
  <si>
    <t>涵泽</t>
  </si>
  <si>
    <t>2026年3月3日到货IQ26025</t>
  </si>
  <si>
    <t>3月14日到货</t>
  </si>
  <si>
    <t>合众力拓</t>
  </si>
  <si>
    <t>农药</t>
  </si>
  <si>
    <t>2026年3月9日到货IQ26030</t>
  </si>
  <si>
    <t>3.15到货</t>
  </si>
  <si>
    <t>荣记</t>
  </si>
  <si>
    <t>2.5寸托盘</t>
  </si>
  <si>
    <t>2026年3月13日到货DN2989</t>
  </si>
  <si>
    <t>4.2日到货</t>
  </si>
  <si>
    <t>临沂市兰山区志德锅炉厂</t>
  </si>
  <si>
    <t>除湿机</t>
  </si>
  <si>
    <t>广东全好</t>
  </si>
  <si>
    <t>2026年3月23日到货IQ26034</t>
  </si>
  <si>
    <t>大概4月5日到货</t>
  </si>
  <si>
    <t>佛山顺德环铭</t>
  </si>
  <si>
    <t>3.5寸加高托盘</t>
  </si>
  <si>
    <t>四级</t>
  </si>
  <si>
    <t>2026年3月23日到货IQ26035</t>
  </si>
  <si>
    <t>预计4月初进货</t>
  </si>
  <si>
    <t>肥料</t>
  </si>
  <si>
    <t>5月份付一半6月初付一半</t>
  </si>
  <si>
    <t>2026年3月23日到货IQ26036</t>
  </si>
  <si>
    <t>预计4月10左右进货</t>
  </si>
  <si>
    <t>铁丝</t>
  </si>
  <si>
    <t>2026年3月23日到货IQ26037</t>
  </si>
  <si>
    <t>4月5日到货</t>
  </si>
  <si>
    <t>夹子</t>
  </si>
  <si>
    <t>嵩明浩丰</t>
  </si>
  <si>
    <t>2026年3月23日到货IQ26038</t>
  </si>
  <si>
    <t>粘虫纸</t>
  </si>
  <si>
    <t>目前应付工程及项目款</t>
  </si>
  <si>
    <t>对方单位</t>
  </si>
  <si>
    <t>进度</t>
  </si>
  <si>
    <t>3月应付开花株</t>
  </si>
  <si>
    <t>小街电费</t>
  </si>
  <si>
    <t>小街</t>
  </si>
  <si>
    <t>每月份第一周</t>
  </si>
  <si>
    <t>开花珠合计</t>
  </si>
  <si>
    <t>电费</t>
  </si>
  <si>
    <t>长松园和大城村</t>
  </si>
  <si>
    <t>每月第三周20号前</t>
  </si>
  <si>
    <t>已到苗应付款</t>
  </si>
  <si>
    <t>级别</t>
  </si>
  <si>
    <t>砚山阿猛基地</t>
  </si>
  <si>
    <t>每月第二周15号前</t>
  </si>
  <si>
    <t>山东绿航</t>
  </si>
  <si>
    <t>2025年11月16日到货IQ25233</t>
  </si>
  <si>
    <t>已付150000元，扣除安徽宿州退苗款35000元，剩余105139元</t>
  </si>
  <si>
    <t>3月27日已付150000元，剩余140139元+35000元，安徽宿州的苗款从他家扣</t>
  </si>
  <si>
    <t>更换1-4号棚薄膜承建工程</t>
  </si>
  <si>
    <t>朱洋斌</t>
  </si>
  <si>
    <t>二级</t>
  </si>
  <si>
    <t>全款72099.96元3月20日已付50%36049.98元，完工后验收完成付剩余的</t>
  </si>
  <si>
    <t>11月到苗款</t>
  </si>
  <si>
    <t>长松园更换1-6号棚薄膜承建工程</t>
  </si>
  <si>
    <t>全款170000元，签订时支付85000元，完工后42500元，验收后支付42500元</t>
  </si>
  <si>
    <t>品诚源</t>
  </si>
  <si>
    <t>2025年12月4日到货IQ25241</t>
  </si>
  <si>
    <t>办公室改造</t>
  </si>
  <si>
    <t>乐浩美家（云南）装饰有限公司</t>
  </si>
  <si>
    <t>完成设计后正在动工</t>
  </si>
  <si>
    <t>9月份看合同进度付一部分50000元左右已付9千元</t>
  </si>
  <si>
    <t>12月到苗款</t>
  </si>
  <si>
    <t>云路中心房贷</t>
  </si>
  <si>
    <t>房贷</t>
  </si>
  <si>
    <t>每季度付一次</t>
  </si>
  <si>
    <t>汇海生物</t>
  </si>
  <si>
    <t>2025年12月27日到货IQ25258</t>
  </si>
  <si>
    <t>和鸣花卉（代养）</t>
  </si>
  <si>
    <t>2025年1月6日到货IQ25259</t>
  </si>
  <si>
    <t>蝴蝶兰自动分级系统研发</t>
  </si>
  <si>
    <t>华北电力大学</t>
  </si>
  <si>
    <t>按进度付款</t>
  </si>
  <si>
    <t>2024年12月30日已付21万，预计2025年12月或者1月付16.8万，2026年4月付4.2万</t>
  </si>
  <si>
    <t>2026年1月12日到货IQ26003</t>
  </si>
  <si>
    <t>科创服务保障协议</t>
  </si>
  <si>
    <t>云南昊旭网络科技有限公司</t>
  </si>
  <si>
    <t>正在进行</t>
  </si>
  <si>
    <t>2025.7.18付5千，8月6日付2.5万，2025.7-2027.7期间立项补助资金到账付剩余款，超的部分按照25%在付报酬，小于对应套餐金额付金额10%，对于已付的多退少补。</t>
  </si>
  <si>
    <t>1月到苗款</t>
  </si>
  <si>
    <t>统一花卉销售思维导图</t>
  </si>
  <si>
    <t>沈阳锦腾创新科技有限公司</t>
  </si>
  <si>
    <t>2026.1.9付30%4800元。完成验收后付70%11200元</t>
  </si>
  <si>
    <t>2026年2月10日到货IQ26016</t>
  </si>
  <si>
    <t>2026年2月14日到货IQ26017</t>
  </si>
  <si>
    <t>目前合计全部应付款合计</t>
  </si>
  <si>
    <t>和鸣</t>
  </si>
  <si>
    <t>2026年2月11日到货IQ26018</t>
  </si>
  <si>
    <t>长期固定支付款项（暂未列进近期付款计划）</t>
  </si>
  <si>
    <t>2月到苗款</t>
  </si>
  <si>
    <t>到期应付款</t>
  </si>
  <si>
    <t>2026年2月26日到货IQ26020</t>
  </si>
  <si>
    <t>小街基地租金</t>
  </si>
  <si>
    <t>花卉示范园管委会</t>
  </si>
  <si>
    <t>未到期</t>
  </si>
  <si>
    <t>2026年9月30日前</t>
  </si>
  <si>
    <t>2026年3月6日到货IQ26027</t>
  </si>
  <si>
    <t>斗南门市租金</t>
  </si>
  <si>
    <t>斗南</t>
  </si>
  <si>
    <t>2027年1月31日前</t>
  </si>
  <si>
    <t>2026年3月9日到货IQ26028</t>
  </si>
  <si>
    <t>大城村租金</t>
  </si>
  <si>
    <t>大城村村委会</t>
  </si>
  <si>
    <t>2026年5月30日之前</t>
  </si>
  <si>
    <t>山东绿航（扣定金104000）</t>
  </si>
  <si>
    <t>2026年3月9日到货IQ26029</t>
  </si>
  <si>
    <t>真善美租金</t>
  </si>
  <si>
    <t>真善美</t>
  </si>
  <si>
    <t>7-8号2027年5月份15日之前30万，11月15日之前30万，每半年付一次。9号棚3月13日已付139370元，9月付另一半139370万。7号1728²-8号3808²棚2027年2月份商讨是否续租，9号棚2534²2026年12月商讨是否续租。</t>
  </si>
  <si>
    <t>2026年3月10日到货IQ26032</t>
  </si>
  <si>
    <t>长松园租金</t>
  </si>
  <si>
    <t>长松园</t>
  </si>
  <si>
    <t>2027年3月31日前</t>
  </si>
  <si>
    <t>天下兰园</t>
  </si>
  <si>
    <t>2026年3月25日到货IQ26033</t>
  </si>
  <si>
    <t>砚山阿猛基地租金</t>
  </si>
  <si>
    <t>砚山智卉园艺有限公司</t>
  </si>
  <si>
    <t>2025年7月份已付1号棚押金9万。2026年2月13日付租金1号棚160320万元，预计6月30日之前月付1号下半年租金16万，2号棚5月份投入使用，付一半租金32.5/2+押金9万，11月30日之前付下半年2号棚的租金16.25万</t>
  </si>
  <si>
    <t>2026年3月26日到货IQ26039</t>
  </si>
  <si>
    <t>厂家垫付运费5900元</t>
  </si>
  <si>
    <t>钉钉认证年费</t>
  </si>
  <si>
    <t>钉钉（中国）信息技术有限公司</t>
  </si>
  <si>
    <t>2026年11月18日到期</t>
  </si>
  <si>
    <t>新百盛</t>
  </si>
  <si>
    <t>2026年3月27日到货IQ26040</t>
  </si>
  <si>
    <t>好队友年费</t>
  </si>
  <si>
    <t>武汉万云科技</t>
  </si>
  <si>
    <t>2024.7.3-2027.7.2到期三年4200元</t>
  </si>
  <si>
    <t>2026年3月27日到货IQ26041</t>
  </si>
  <si>
    <t>专利费</t>
  </si>
  <si>
    <t>国家专利局平台</t>
  </si>
  <si>
    <t>2027年3月15日之前</t>
  </si>
  <si>
    <t>2026年3月27日到货IQ26042</t>
  </si>
  <si>
    <t>6人（李文云是其他个人意外险）</t>
  </si>
  <si>
    <t>人寿保险</t>
  </si>
  <si>
    <t>2026年10月22日到期  290元/人</t>
  </si>
  <si>
    <t>3月到苗款</t>
  </si>
  <si>
    <t>34人</t>
  </si>
  <si>
    <t>平安意外险</t>
  </si>
  <si>
    <t>2026年12月11日到期  245元/人</t>
  </si>
  <si>
    <t>2026年4月12日到货IQ26044</t>
  </si>
  <si>
    <t>（大众D3）云ADA2385车辆保险费</t>
  </si>
  <si>
    <t>中国人寿保险</t>
  </si>
  <si>
    <t>2026年11月14日之前</t>
  </si>
  <si>
    <t>2026年4月13日到货IQ26045</t>
  </si>
  <si>
    <t>（奔驰）云A589TY车辆保险费</t>
  </si>
  <si>
    <t>中国平安</t>
  </si>
  <si>
    <t>2026年9月27日到期</t>
  </si>
  <si>
    <t>2026年4月23日到货IQ26046</t>
  </si>
  <si>
    <t>（捷豹）云A9B1Z6车辆保险费</t>
  </si>
  <si>
    <t>2026年9月2日到期</t>
  </si>
  <si>
    <t>4月应付苗款</t>
  </si>
  <si>
    <t>（东南）云A618XX车辆保险费</t>
  </si>
  <si>
    <t>2027年4月30日到期</t>
  </si>
  <si>
    <t>合计应付苗款</t>
  </si>
  <si>
    <t>（蔚来）云ADS5092车辆保险费</t>
  </si>
  <si>
    <t>2026年11月24日到期（4月份省车）</t>
  </si>
  <si>
    <t>瓶苗款</t>
  </si>
  <si>
    <t>1月出瓶</t>
  </si>
  <si>
    <t>出口货物险</t>
  </si>
  <si>
    <t>出口信用保险公司</t>
  </si>
  <si>
    <t>2026年9月2日到期（会返70%）</t>
  </si>
  <si>
    <t>2、3月出瓶</t>
  </si>
  <si>
    <t>未到苗应付款</t>
  </si>
  <si>
    <t>绿聚隆花卉</t>
  </si>
  <si>
    <t>购销合同书（瓶苗）</t>
  </si>
  <si>
    <t>合同签订.出货前付清本次瓶苗款</t>
  </si>
  <si>
    <t>2023年11月已付定金23155元.交货时间5月31日前，剩余货款交货前付清208395元</t>
  </si>
  <si>
    <t>瓶苗款合计</t>
  </si>
  <si>
    <t>厦门品诚有限公司</t>
  </si>
  <si>
    <t>订货单KMTYP-25032（成熟苗）</t>
  </si>
  <si>
    <t>8月8日付定金67030元</t>
  </si>
  <si>
    <t>2026年2月份2.8寸成熟苗91000株</t>
  </si>
  <si>
    <t>苗和开花株加代养费合计应付款</t>
  </si>
  <si>
    <t>山东绿航农业科技有限公司</t>
  </si>
  <si>
    <t>订货单KMTYP-25033（成熟苗）</t>
  </si>
  <si>
    <t>8月8日付定金104000元</t>
  </si>
  <si>
    <t>2026年2月份2.8寸成熟苗141000株</t>
  </si>
  <si>
    <t>佛山润喆卉花卉有限公司</t>
  </si>
  <si>
    <t>订货单KMTYP-25034（成熟苗）</t>
  </si>
  <si>
    <t>10月17付定金14600元</t>
  </si>
  <si>
    <t>2026年2月到苗2.8寸成熟苗20000株（9月份先付定金10%发货前付70%，到货后15天内付20%）</t>
  </si>
  <si>
    <t>订货单KMTYP-25036（成熟苗）</t>
  </si>
  <si>
    <t>2025年7月到3.5寸成熟苗5200株，3寸4000株</t>
  </si>
  <si>
    <t>订货单KMTYP-25037（成熟苗）</t>
  </si>
  <si>
    <t>2025年8月份到货3寸成熟苗2500株，2.8寸成熟苗20500株</t>
  </si>
  <si>
    <t>漳州新百盛</t>
  </si>
  <si>
    <t>订货单KMTYP-25040（成熟苗）</t>
  </si>
  <si>
    <t>8月8日付定金87500元</t>
  </si>
  <si>
    <t>2026年2月份2.8寸成熟苗126000株</t>
  </si>
  <si>
    <t>订货单KMTYP-25041（成熟苗）</t>
  </si>
  <si>
    <t>10月17日付定金36000元</t>
  </si>
  <si>
    <t>3.5寸成熟苗30000株，25年10月-2026年3月，每月到苗5000株</t>
  </si>
  <si>
    <t>昆明安祖花园艺有限公司</t>
  </si>
  <si>
    <t>合同号20250241-01</t>
  </si>
  <si>
    <t>8月22日付定金25000元</t>
  </si>
  <si>
    <t>2026年1月出瓶1.7寸20万株</t>
  </si>
  <si>
    <t>厦门和鸣花卉科技有限公司</t>
  </si>
  <si>
    <t>10月31日付定金126640元</t>
  </si>
  <si>
    <t>2026年1-12月陆续出瓶</t>
  </si>
  <si>
    <t>生辉兰园</t>
  </si>
  <si>
    <t>订货单KMTYP-25042（成熟苗）</t>
  </si>
  <si>
    <t>2025年10月31日左右到货5000株抽梗成熟苗及400株开花株</t>
  </si>
  <si>
    <t>济南鲁台生物科技有限公司</t>
  </si>
  <si>
    <t>订货单KMTYP-25043（成熟苗）</t>
  </si>
  <si>
    <t>10月31日付定金15750元</t>
  </si>
  <si>
    <t>2026年6月左右到货3.8寸10500株</t>
  </si>
  <si>
    <t>订货单KMTYP-25044（2.8成熟苗）</t>
  </si>
  <si>
    <t>11月14日付定金47137元</t>
  </si>
  <si>
    <t>11月开始每月到苗1万株左右</t>
  </si>
  <si>
    <t>订货单KMTYP-25045（2.8-3.5成熟苗）</t>
  </si>
  <si>
    <t>2025年11月15日到货3.5寸19500株，2.8寸8500株。</t>
  </si>
  <si>
    <t>KMTYP-25046（3.5成熟苗）</t>
  </si>
  <si>
    <t>小街11月底2000株</t>
  </si>
  <si>
    <t>KMTYP-25047（3寸和3.5寸成熟苗）</t>
  </si>
  <si>
    <t>砚山11月4500株，小街11月4000株</t>
  </si>
  <si>
    <t>订货单KMTYP-26001（3-3.5成熟苗）</t>
  </si>
  <si>
    <t>1月30日付定金94000元</t>
  </si>
  <si>
    <t>2026年3月份到苗成熟苗3寸4000株，3.5寸成熟苗5000株</t>
  </si>
  <si>
    <t>订货单KMTYP-26002（2.8-3-3.5成熟苗）</t>
  </si>
  <si>
    <t>2026年3月份到2.8成熟苗7000株，3寸2000株，3.5寸成熟苗8800株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</si>
</sst>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43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4"/>
      <color theme="1"/>
      <name val="宋体"/>
      <charset val="134"/>
      <scheme val="minor"/>
    </font>
    <font>
      <sz val="14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name val="宋体"/>
      <charset val="134"/>
      <scheme val="minor"/>
    </font>
    <font>
      <sz val="12"/>
      <color rgb="FFFF000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2"/>
      <name val="宋体"/>
      <charset val="134"/>
      <scheme val="minor"/>
    </font>
    <font>
      <b/>
      <sz val="16"/>
      <color rgb="FFFF0000"/>
      <name val="宋体"/>
      <charset val="134"/>
      <scheme val="minor"/>
    </font>
    <font>
      <b/>
      <sz val="9"/>
      <color theme="1"/>
      <name val="宋体"/>
      <charset val="134"/>
      <scheme val="minor"/>
    </font>
    <font>
      <b/>
      <sz val="9"/>
      <name val="宋体"/>
      <charset val="134"/>
      <scheme val="minor"/>
    </font>
    <font>
      <sz val="10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12"/>
      <color theme="1"/>
      <name val="Calibri"/>
      <charset val="134"/>
    </font>
    <font>
      <sz val="11"/>
      <color theme="1"/>
      <name val="宋体"/>
      <charset val="134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5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9" tint="0.39994506668294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0" fillId="20" borderId="9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21" borderId="12" applyNumberFormat="0" applyAlignment="0" applyProtection="0">
      <alignment vertical="center"/>
    </xf>
    <xf numFmtId="0" fontId="31" fillId="22" borderId="13" applyNumberFormat="0" applyAlignment="0" applyProtection="0">
      <alignment vertical="center"/>
    </xf>
    <xf numFmtId="0" fontId="32" fillId="22" borderId="12" applyNumberFormat="0" applyAlignment="0" applyProtection="0">
      <alignment vertical="center"/>
    </xf>
    <xf numFmtId="0" fontId="33" fillId="23" borderId="14" applyNumberFormat="0" applyAlignment="0" applyProtection="0">
      <alignment vertical="center"/>
    </xf>
    <xf numFmtId="0" fontId="34" fillId="0" borderId="15" applyNumberFormat="0" applyFill="0" applyAlignment="0" applyProtection="0">
      <alignment vertical="center"/>
    </xf>
    <xf numFmtId="0" fontId="35" fillId="0" borderId="16" applyNumberFormat="0" applyFill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40" fillId="36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1" borderId="0" applyNumberFormat="0" applyBorder="0" applyAlignment="0" applyProtection="0">
      <alignment vertical="center"/>
    </xf>
    <xf numFmtId="0" fontId="39" fillId="42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39" fillId="45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39" fillId="49" borderId="0" applyNumberFormat="0" applyBorder="0" applyAlignment="0" applyProtection="0">
      <alignment vertical="center"/>
    </xf>
  </cellStyleXfs>
  <cellXfs count="170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4" fontId="5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0" fillId="2" borderId="0" xfId="0" applyFill="1" applyAlignment="1">
      <alignment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4" fontId="7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4" fontId="7" fillId="3" borderId="1" xfId="0" applyNumberFormat="1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4" fontId="9" fillId="2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vertical="center"/>
    </xf>
    <xf numFmtId="0" fontId="10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0" fillId="0" borderId="1" xfId="0" applyFill="1" applyBorder="1" applyAlignment="1">
      <alignment horizontal="center" vertical="center"/>
    </xf>
    <xf numFmtId="0" fontId="0" fillId="2" borderId="4" xfId="0" applyFill="1" applyBorder="1" applyAlignment="1">
      <alignment vertical="center"/>
    </xf>
    <xf numFmtId="0" fontId="11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vertic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left" vertical="center"/>
    </xf>
    <xf numFmtId="0" fontId="2" fillId="5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4" fontId="11" fillId="3" borderId="1" xfId="0" applyNumberFormat="1" applyFont="1" applyFill="1" applyBorder="1" applyAlignment="1">
      <alignment horizontal="center" vertical="center"/>
    </xf>
    <xf numFmtId="4" fontId="12" fillId="3" borderId="1" xfId="0" applyNumberFormat="1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/>
    </xf>
    <xf numFmtId="176" fontId="0" fillId="0" borderId="1" xfId="0" applyNumberForma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 wrapText="1"/>
    </xf>
    <xf numFmtId="0" fontId="10" fillId="6" borderId="1" xfId="0" applyFont="1" applyFill="1" applyBorder="1" applyAlignment="1">
      <alignment vertical="center"/>
    </xf>
    <xf numFmtId="0" fontId="0" fillId="3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horizontal="center" vertical="center"/>
    </xf>
    <xf numFmtId="4" fontId="7" fillId="5" borderId="1" xfId="0" applyNumberFormat="1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vertical="center"/>
    </xf>
    <xf numFmtId="0" fontId="0" fillId="7" borderId="1" xfId="0" applyFill="1" applyBorder="1" applyAlignment="1">
      <alignment horizontal="center" vertical="center" wrapText="1"/>
    </xf>
    <xf numFmtId="0" fontId="0" fillId="7" borderId="1" xfId="0" applyFont="1" applyFill="1" applyBorder="1" applyAlignment="1">
      <alignment horizontal="center" vertical="center"/>
    </xf>
    <xf numFmtId="0" fontId="0" fillId="7" borderId="1" xfId="0" applyFont="1" applyFill="1" applyBorder="1" applyAlignment="1">
      <alignment vertical="center"/>
    </xf>
    <xf numFmtId="0" fontId="0" fillId="7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left" vertical="center" wrapText="1"/>
    </xf>
    <xf numFmtId="4" fontId="0" fillId="0" borderId="0" xfId="0" applyNumberFormat="1" applyFill="1" applyAlignment="1">
      <alignment vertical="center"/>
    </xf>
    <xf numFmtId="0" fontId="0" fillId="7" borderId="1" xfId="0" applyFill="1" applyBorder="1" applyAlignment="1">
      <alignment horizontal="left" vertical="center"/>
    </xf>
    <xf numFmtId="0" fontId="0" fillId="0" borderId="0" xfId="0" applyFill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7" fillId="2" borderId="1" xfId="0" applyFont="1" applyFill="1" applyBorder="1" applyAlignment="1">
      <alignment vertical="center"/>
    </xf>
    <xf numFmtId="0" fontId="7" fillId="5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 wrapText="1"/>
    </xf>
    <xf numFmtId="31" fontId="0" fillId="2" borderId="1" xfId="0" applyNumberFormat="1" applyFill="1" applyBorder="1" applyAlignment="1">
      <alignment horizontal="left" vertical="center"/>
    </xf>
    <xf numFmtId="4" fontId="11" fillId="5" borderId="1" xfId="0" applyNumberFormat="1" applyFont="1" applyFill="1" applyBorder="1" applyAlignment="1">
      <alignment horizontal="center" vertical="center"/>
    </xf>
    <xf numFmtId="4" fontId="11" fillId="0" borderId="1" xfId="0" applyNumberFormat="1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 wrapText="1"/>
    </xf>
    <xf numFmtId="4" fontId="15" fillId="0" borderId="1" xfId="0" applyNumberFormat="1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 wrapText="1"/>
    </xf>
    <xf numFmtId="4" fontId="16" fillId="2" borderId="1" xfId="0" applyNumberFormat="1" applyFont="1" applyFill="1" applyBorder="1" applyAlignment="1">
      <alignment horizontal="center" vertical="center"/>
    </xf>
    <xf numFmtId="0" fontId="16" fillId="9" borderId="1" xfId="0" applyFont="1" applyFill="1" applyBorder="1" applyAlignment="1">
      <alignment horizontal="center" vertical="center" wrapText="1"/>
    </xf>
    <xf numFmtId="4" fontId="0" fillId="0" borderId="1" xfId="0" applyNumberForma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4" fontId="7" fillId="10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17" fillId="0" borderId="3" xfId="0" applyFont="1" applyFill="1" applyBorder="1" applyAlignment="1">
      <alignment horizontal="center" vertical="center"/>
    </xf>
    <xf numFmtId="0" fontId="17" fillId="0" borderId="5" xfId="0" applyFont="1" applyFill="1" applyBorder="1" applyAlignment="1">
      <alignment horizontal="center" vertical="center"/>
    </xf>
    <xf numFmtId="0" fontId="17" fillId="0" borderId="4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2" fillId="12" borderId="6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 wrapText="1"/>
    </xf>
    <xf numFmtId="0" fontId="2" fillId="13" borderId="6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horizontal="center" vertical="center"/>
    </xf>
    <xf numFmtId="0" fontId="2" fillId="12" borderId="7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/>
    </xf>
    <xf numFmtId="0" fontId="2" fillId="13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4" fontId="2" fillId="5" borderId="1" xfId="0" applyNumberFormat="1" applyFont="1" applyFill="1" applyBorder="1" applyAlignment="1">
      <alignment horizontal="center" vertical="center"/>
    </xf>
    <xf numFmtId="0" fontId="2" fillId="0" borderId="2" xfId="0" applyFont="1" applyFill="1" applyBorder="1" applyAlignment="1">
      <alignment vertical="center"/>
    </xf>
    <xf numFmtId="0" fontId="0" fillId="0" borderId="1" xfId="0" applyFont="1" applyFill="1" applyBorder="1" applyAlignment="1">
      <alignment vertical="center" wrapText="1"/>
    </xf>
    <xf numFmtId="0" fontId="18" fillId="0" borderId="0" xfId="0" applyFont="1" applyFill="1" applyAlignment="1">
      <alignment vertical="center"/>
    </xf>
    <xf numFmtId="4" fontId="0" fillId="14" borderId="1" xfId="0" applyNumberFormat="1" applyFill="1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4" fontId="0" fillId="2" borderId="1" xfId="0" applyNumberFormat="1" applyFill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7" fillId="5" borderId="6" xfId="0" applyFont="1" applyFill="1" applyBorder="1" applyAlignment="1">
      <alignment horizontal="center" vertical="center"/>
    </xf>
    <xf numFmtId="0" fontId="7" fillId="13" borderId="6" xfId="0" applyFont="1" applyFill="1" applyBorder="1" applyAlignment="1">
      <alignment horizontal="center" vertical="center"/>
    </xf>
    <xf numFmtId="0" fontId="19" fillId="2" borderId="0" xfId="0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center" vertical="center"/>
    </xf>
    <xf numFmtId="0" fontId="7" fillId="15" borderId="3" xfId="0" applyFont="1" applyFill="1" applyBorder="1" applyAlignment="1">
      <alignment horizontal="center" vertical="center"/>
    </xf>
    <xf numFmtId="0" fontId="7" fillId="15" borderId="4" xfId="0" applyFont="1" applyFill="1" applyBorder="1" applyAlignment="1">
      <alignment horizontal="center" vertical="center"/>
    </xf>
    <xf numFmtId="0" fontId="7" fillId="15" borderId="1" xfId="0" applyFont="1" applyFill="1" applyBorder="1" applyAlignment="1">
      <alignment horizontal="center" vertical="center"/>
    </xf>
    <xf numFmtId="0" fontId="2" fillId="16" borderId="1" xfId="0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vertical="center"/>
    </xf>
    <xf numFmtId="0" fontId="10" fillId="0" borderId="0" xfId="0" applyFont="1" applyFill="1" applyAlignment="1">
      <alignment vertical="center"/>
    </xf>
    <xf numFmtId="4" fontId="10" fillId="2" borderId="1" xfId="0" applyNumberFormat="1" applyFont="1" applyFill="1" applyBorder="1" applyAlignment="1">
      <alignment horizontal="center" vertical="center"/>
    </xf>
    <xf numFmtId="0" fontId="20" fillId="7" borderId="1" xfId="0" applyFont="1" applyFill="1" applyBorder="1" applyAlignment="1">
      <alignment horizontal="center" vertical="center"/>
    </xf>
    <xf numFmtId="0" fontId="20" fillId="17" borderId="1" xfId="0" applyFont="1" applyFill="1" applyBorder="1" applyAlignment="1">
      <alignment horizontal="center" vertical="center"/>
    </xf>
    <xf numFmtId="4" fontId="20" fillId="17" borderId="1" xfId="0" applyNumberFormat="1" applyFont="1" applyFill="1" applyBorder="1" applyAlignment="1">
      <alignment horizontal="center" vertical="center"/>
    </xf>
    <xf numFmtId="0" fontId="20" fillId="17" borderId="1" xfId="0" applyFont="1" applyFill="1" applyBorder="1" applyAlignment="1">
      <alignment horizontal="center" vertical="center" wrapText="1"/>
    </xf>
    <xf numFmtId="0" fontId="20" fillId="17" borderId="1" xfId="0" applyFont="1" applyFill="1" applyBorder="1" applyAlignment="1">
      <alignment vertical="center" wrapText="1"/>
    </xf>
    <xf numFmtId="0" fontId="20" fillId="17" borderId="1" xfId="0" applyFont="1" applyFill="1" applyBorder="1" applyAlignment="1">
      <alignment vertical="center"/>
    </xf>
    <xf numFmtId="0" fontId="21" fillId="17" borderId="8" xfId="0" applyFont="1" applyFill="1" applyBorder="1" applyAlignment="1">
      <alignment horizontal="center" vertical="center"/>
    </xf>
    <xf numFmtId="0" fontId="20" fillId="18" borderId="1" xfId="0" applyFont="1" applyFill="1" applyBorder="1" applyAlignment="1">
      <alignment horizontal="center" vertical="center"/>
    </xf>
    <xf numFmtId="4" fontId="20" fillId="18" borderId="1" xfId="0" applyNumberFormat="1" applyFont="1" applyFill="1" applyBorder="1" applyAlignment="1">
      <alignment horizontal="center" vertical="center"/>
    </xf>
    <xf numFmtId="0" fontId="20" fillId="18" borderId="1" xfId="0" applyFont="1" applyFill="1" applyBorder="1" applyAlignment="1">
      <alignment horizontal="center" vertical="center" wrapText="1"/>
    </xf>
    <xf numFmtId="0" fontId="20" fillId="18" borderId="1" xfId="0" applyFont="1" applyFill="1" applyBorder="1" applyAlignment="1">
      <alignment vertical="center" wrapText="1"/>
    </xf>
    <xf numFmtId="58" fontId="20" fillId="18" borderId="1" xfId="0" applyNumberFormat="1" applyFont="1" applyFill="1" applyBorder="1" applyAlignment="1">
      <alignment horizontal="center" vertical="center" wrapText="1"/>
    </xf>
    <xf numFmtId="0" fontId="20" fillId="18" borderId="1" xfId="0" applyFont="1" applyFill="1" applyBorder="1" applyAlignment="1">
      <alignment vertical="center"/>
    </xf>
    <xf numFmtId="0" fontId="21" fillId="18" borderId="8" xfId="0" applyFont="1" applyFill="1" applyBorder="1" applyAlignment="1">
      <alignment horizontal="center" vertical="center"/>
    </xf>
    <xf numFmtId="4" fontId="20" fillId="18" borderId="1" xfId="0" applyNumberFormat="1" applyFont="1" applyFill="1" applyBorder="1" applyAlignment="1">
      <alignment vertical="center" wrapText="1"/>
    </xf>
    <xf numFmtId="4" fontId="20" fillId="18" borderId="1" xfId="0" applyNumberFormat="1" applyFont="1" applyFill="1" applyBorder="1" applyAlignment="1">
      <alignment vertical="center"/>
    </xf>
    <xf numFmtId="0" fontId="20" fillId="19" borderId="1" xfId="0" applyFont="1" applyFill="1" applyBorder="1" applyAlignment="1">
      <alignment horizontal="center" vertical="center"/>
    </xf>
    <xf numFmtId="4" fontId="20" fillId="19" borderId="1" xfId="0" applyNumberFormat="1" applyFont="1" applyFill="1" applyBorder="1" applyAlignment="1">
      <alignment horizontal="center" vertical="center"/>
    </xf>
    <xf numFmtId="0" fontId="20" fillId="19" borderId="1" xfId="0" applyFont="1" applyFill="1" applyBorder="1" applyAlignment="1">
      <alignment horizontal="center" vertical="center" wrapText="1"/>
    </xf>
    <xf numFmtId="4" fontId="20" fillId="19" borderId="1" xfId="0" applyNumberFormat="1" applyFont="1" applyFill="1" applyBorder="1" applyAlignment="1">
      <alignment vertical="center" wrapText="1"/>
    </xf>
    <xf numFmtId="4" fontId="20" fillId="19" borderId="1" xfId="0" applyNumberFormat="1" applyFont="1" applyFill="1" applyBorder="1" applyAlignment="1">
      <alignment horizontal="center" vertical="center" wrapText="1"/>
    </xf>
    <xf numFmtId="4" fontId="20" fillId="19" borderId="1" xfId="0" applyNumberFormat="1" applyFont="1" applyFill="1" applyBorder="1" applyAlignment="1">
      <alignment vertical="center"/>
    </xf>
    <xf numFmtId="4" fontId="21" fillId="19" borderId="8" xfId="0" applyNumberFormat="1" applyFont="1" applyFill="1" applyBorder="1" applyAlignment="1">
      <alignment horizontal="center" vertical="center"/>
    </xf>
    <xf numFmtId="4" fontId="20" fillId="19" borderId="4" xfId="0" applyNumberFormat="1" applyFont="1" applyFill="1" applyBorder="1" applyAlignment="1">
      <alignment horizontal="center" vertical="center"/>
    </xf>
    <xf numFmtId="4" fontId="20" fillId="2" borderId="0" xfId="0" applyNumberFormat="1" applyFont="1" applyFill="1" applyBorder="1" applyAlignment="1">
      <alignment horizontal="center" vertical="center"/>
    </xf>
    <xf numFmtId="0" fontId="20" fillId="2" borderId="0" xfId="0" applyFont="1" applyFill="1" applyBorder="1" applyAlignment="1">
      <alignment horizontal="center" vertical="center" wrapText="1"/>
    </xf>
    <xf numFmtId="0" fontId="20" fillId="0" borderId="0" xfId="0" applyFont="1" applyFill="1" applyAlignment="1">
      <alignment vertical="center"/>
    </xf>
    <xf numFmtId="0" fontId="20" fillId="0" borderId="0" xfId="0" applyFont="1" applyFill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7" fillId="2" borderId="2" xfId="0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109220</xdr:colOff>
      <xdr:row>59</xdr:row>
      <xdr:rowOff>90805</xdr:rowOff>
    </xdr:from>
    <xdr:to>
      <xdr:col>5</xdr:col>
      <xdr:colOff>773430</xdr:colOff>
      <xdr:row>103</xdr:row>
      <xdr:rowOff>193040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9220" y="21882100"/>
          <a:ext cx="7976235" cy="1204023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2025&#24180;&#36130;&#21153;&#25968;&#25454;\&#20844;&#21496;&#26412;&#21608;&#24212;&#20184;&#36134;&#27454;&#26126;&#32454;&#34920;(6)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汇总表"/>
      <sheetName val="备用金"/>
      <sheetName val="对公付款"/>
      <sheetName val="1-24"/>
      <sheetName val="2-14"/>
      <sheetName val="2.18日现金付款"/>
      <sheetName val="2.20对公付款"/>
      <sheetName val="2.24现金付款"/>
      <sheetName val="2.28日对公付款"/>
      <sheetName val="2.28日现金付款"/>
      <sheetName val="3.7对公付款"/>
      <sheetName val="3.13对公付款"/>
      <sheetName val="3.21对公付款"/>
      <sheetName val="3.28日对公付款"/>
      <sheetName val="4月3日对公付款"/>
      <sheetName val="4月11日对公付款"/>
      <sheetName val="4.18日对公付款"/>
      <sheetName val="4月25日对公付款"/>
      <sheetName val="5月8日对公付款"/>
      <sheetName val="5.14对公付款"/>
      <sheetName val="5.22对公付款"/>
      <sheetName val="5.29日付款"/>
      <sheetName val="6.4日付款"/>
      <sheetName val="6.13日付款"/>
      <sheetName val="6.20日付款"/>
      <sheetName val="6.27日付款"/>
      <sheetName val="7.3日付款"/>
      <sheetName val="7.11日付款"/>
      <sheetName val="7.17日付款"/>
      <sheetName val="7.25日付款"/>
      <sheetName val="8.1日付款"/>
      <sheetName val="8.8日付款"/>
      <sheetName val="8.15日付款"/>
      <sheetName val="8.22付款"/>
      <sheetName val="8.29日付款"/>
      <sheetName val="9.5日付款"/>
      <sheetName val="9.12日付款"/>
      <sheetName val="9.19日付款"/>
      <sheetName val="9.26日付款"/>
      <sheetName val="9.30日付款"/>
      <sheetName val="10.9付款"/>
      <sheetName val="10.17付款"/>
      <sheetName val="10.24付款"/>
      <sheetName val="10.31付款"/>
      <sheetName val="11月7日"/>
      <sheetName val="11月14日"/>
      <sheetName val="11月21日"/>
      <sheetName val="11月28日"/>
      <sheetName val="12月4日"/>
      <sheetName val="12月11日"/>
      <sheetName val="12月16日"/>
      <sheetName val="12月19日"/>
      <sheetName val="12月26日付款"/>
      <sheetName val="2026.1.9"/>
      <sheetName val="1.16"/>
      <sheetName val="1.23"/>
      <sheetName val="1.30"/>
      <sheetName val="2.6"/>
      <sheetName val="2.13"/>
      <sheetName val="3.6"/>
      <sheetName val="3.13"/>
      <sheetName val="3.20"/>
      <sheetName val="3.27"/>
      <sheetName val="4.3"/>
      <sheetName val="4.17"/>
      <sheetName val="4.24"/>
      <sheetName val="4.30"/>
      <sheetName val="Sheet1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>
        <row r="20">
          <cell r="E20">
            <v>401871.45</v>
          </cell>
        </row>
      </sheetData>
      <sheetData sheetId="67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334"/>
  <sheetViews>
    <sheetView tabSelected="1" workbookViewId="0">
      <pane xSplit="1" topLeftCell="B1" activePane="topRight" state="frozen"/>
      <selection/>
      <selection pane="topRight" activeCell="N13" sqref="N13"/>
    </sheetView>
  </sheetViews>
  <sheetFormatPr defaultColWidth="9" defaultRowHeight="60" customHeight="1"/>
  <cols>
    <col min="1" max="1" width="33.6666666666667" style="1" customWidth="1"/>
    <col min="2" max="2" width="18.2592592592593" style="1" customWidth="1"/>
    <col min="3" max="3" width="17.4444444444444" style="1" customWidth="1"/>
    <col min="4" max="4" width="13.8888888888889" style="1" customWidth="1"/>
    <col min="5" max="5" width="16.8796296296296" style="1" customWidth="1"/>
    <col min="6" max="6" width="20.7777777777778" style="1" customWidth="1"/>
    <col min="7" max="7" width="15.3333333333333" style="1" customWidth="1"/>
    <col min="8" max="8" width="20.2222222222222" style="1" customWidth="1"/>
    <col min="9" max="9" width="13.3333333333333" style="1" customWidth="1"/>
    <col min="10" max="10" width="15.462962962963" style="1" customWidth="1"/>
    <col min="11" max="11" width="17.3796296296296" style="1" customWidth="1"/>
    <col min="12" max="12" width="23.1111111111111" style="76" customWidth="1"/>
    <col min="13" max="13" width="23.4444444444444" style="76" customWidth="1"/>
    <col min="14" max="14" width="19.1666666666667" style="76" customWidth="1"/>
    <col min="15" max="15" width="18.5925925925926" style="76" customWidth="1"/>
    <col min="16" max="16" width="21.3333333333333" style="76" customWidth="1"/>
    <col min="17" max="17" width="19" style="76" customWidth="1"/>
    <col min="18" max="18" width="22.3333333333333" style="76" customWidth="1"/>
    <col min="19" max="19" width="14.8148148148148" style="76" customWidth="1"/>
    <col min="20" max="20" width="24" style="76" customWidth="1"/>
    <col min="21" max="21" width="15.8333333333333" style="76" customWidth="1"/>
    <col min="22" max="22" width="31.1111111111111" style="76" customWidth="1"/>
    <col min="23" max="23" width="15.2777777777778" style="76" customWidth="1"/>
    <col min="24" max="24" width="22.3425925925926" style="76" customWidth="1"/>
    <col min="25" max="25" width="16.1111111111111" style="76" customWidth="1"/>
    <col min="26" max="26" width="26.3333333333333" style="76" customWidth="1"/>
    <col min="27" max="27" width="26.7777777777778" style="76" customWidth="1"/>
    <col min="28" max="28" width="25.3055555555556" style="1" customWidth="1"/>
    <col min="29" max="29" width="13.3333333333333" style="1" customWidth="1"/>
    <col min="30" max="16378" width="14.1296296296296" style="1" customWidth="1"/>
    <col min="16379" max="16384" width="9" style="1"/>
  </cols>
  <sheetData>
    <row r="1" s="1" customFormat="1" customHeight="1" spans="1:45">
      <c r="A1" s="99" t="s">
        <v>0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1"/>
      <c r="P1" s="1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</row>
    <row r="2" s="1" customFormat="1" ht="50" customHeight="1" spans="1:45">
      <c r="A2" s="102" t="s">
        <v>1</v>
      </c>
      <c r="B2" s="103" t="s">
        <v>2</v>
      </c>
      <c r="C2" s="104" t="s">
        <v>3</v>
      </c>
      <c r="D2" s="105"/>
      <c r="E2" s="106" t="s">
        <v>4</v>
      </c>
      <c r="F2" s="107"/>
      <c r="G2" s="108" t="s">
        <v>5</v>
      </c>
      <c r="H2" s="108" t="s">
        <v>6</v>
      </c>
      <c r="I2" s="108" t="s">
        <v>7</v>
      </c>
      <c r="J2" s="102" t="s">
        <v>8</v>
      </c>
      <c r="K2" s="108" t="s">
        <v>9</v>
      </c>
      <c r="L2" s="108" t="s">
        <v>10</v>
      </c>
      <c r="M2" s="109" t="s">
        <v>11</v>
      </c>
      <c r="N2" s="109" t="s">
        <v>12</v>
      </c>
      <c r="O2" s="110" t="s">
        <v>13</v>
      </c>
      <c r="P2" s="102" t="s">
        <v>14</v>
      </c>
      <c r="Q2" s="76"/>
      <c r="R2" s="76"/>
      <c r="S2" s="76"/>
      <c r="T2" s="76"/>
      <c r="U2" s="76"/>
      <c r="V2" s="76"/>
      <c r="W2" s="76"/>
      <c r="X2" s="76"/>
      <c r="Y2" s="76"/>
      <c r="Z2" s="76"/>
      <c r="AA2" s="76"/>
    </row>
    <row r="3" s="1" customFormat="1" ht="56" customHeight="1" spans="1:45">
      <c r="A3" s="111"/>
      <c r="B3" s="112"/>
      <c r="C3" s="102" t="s">
        <v>15</v>
      </c>
      <c r="D3" s="102" t="s">
        <v>16</v>
      </c>
      <c r="E3" s="6" t="s">
        <v>17</v>
      </c>
      <c r="F3" s="6" t="s">
        <v>18</v>
      </c>
      <c r="G3" s="113"/>
      <c r="H3" s="113"/>
      <c r="I3" s="113"/>
      <c r="J3" s="114"/>
      <c r="K3" s="113"/>
      <c r="L3" s="113"/>
      <c r="M3" s="115"/>
      <c r="N3" s="115"/>
      <c r="O3" s="116"/>
      <c r="P3" s="114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</row>
    <row r="4" s="1" customFormat="1" ht="37" customHeight="1" spans="1:45">
      <c r="A4" s="108" t="s">
        <v>19</v>
      </c>
      <c r="B4" s="103">
        <v>4227701.72</v>
      </c>
      <c r="C4" s="117"/>
      <c r="D4" s="117">
        <v>264953.850000001</v>
      </c>
      <c r="E4" s="16">
        <f>105139+8657+16303.5</f>
        <v>130099.5</v>
      </c>
      <c r="F4" s="118">
        <f>7761+54382.5</f>
        <v>62143.5</v>
      </c>
      <c r="G4" s="16"/>
      <c r="H4" s="119"/>
      <c r="I4" s="119"/>
      <c r="J4" s="119">
        <f>85000+36049.98+11200</f>
        <v>132249.98</v>
      </c>
      <c r="K4" s="119">
        <f>52296.47+5000+2000+760+736+6435+1000+3866+285</f>
        <v>72378.47</v>
      </c>
      <c r="L4" s="120">
        <v>5000</v>
      </c>
      <c r="M4" s="121">
        <f t="shared" ref="M4:M8" si="0">SUM(E4:L4)</f>
        <v>401871.45</v>
      </c>
      <c r="N4" s="121">
        <f t="shared" ref="N4:N9" si="1">(C4+D4)-(E4+F4+G4+H4+I4+J4+K4+L4)</f>
        <v>-136917.599999999</v>
      </c>
      <c r="O4" s="122">
        <f>B4+C4+D4-M4</f>
        <v>4090784.12</v>
      </c>
      <c r="P4" s="123"/>
    </row>
    <row r="5" s="1" customFormat="1" ht="37" customHeight="1" spans="1:45">
      <c r="A5" s="108" t="s">
        <v>20</v>
      </c>
      <c r="B5" s="103">
        <f>O4</f>
        <v>4090784.12</v>
      </c>
      <c r="C5" s="117">
        <f>230000+190000</f>
        <v>420000</v>
      </c>
      <c r="D5" s="117">
        <v>300000</v>
      </c>
      <c r="E5" s="16">
        <v>380000</v>
      </c>
      <c r="F5" s="16">
        <v>90000</v>
      </c>
      <c r="G5" s="16"/>
      <c r="H5" s="119">
        <f>36000+30000</f>
        <v>66000</v>
      </c>
      <c r="I5" s="119">
        <f>50000+300000</f>
        <v>350000</v>
      </c>
      <c r="J5" s="119">
        <f>13166.9</f>
        <v>13166.9</v>
      </c>
      <c r="K5" s="119">
        <f>10000+15000</f>
        <v>25000</v>
      </c>
      <c r="L5" s="119">
        <v>5000</v>
      </c>
      <c r="M5" s="121">
        <f t="shared" si="0"/>
        <v>929166.9</v>
      </c>
      <c r="N5" s="121">
        <f t="shared" si="1"/>
        <v>-209166.9</v>
      </c>
      <c r="O5" s="122">
        <f>B5+C5+D5-M5</f>
        <v>3881617.22</v>
      </c>
      <c r="P5" s="124"/>
    </row>
    <row r="6" s="1" customFormat="1" ht="37" customHeight="1" spans="1:45">
      <c r="A6" s="108" t="s">
        <v>21</v>
      </c>
      <c r="B6" s="103">
        <f>O5</f>
        <v>3881617.22</v>
      </c>
      <c r="C6" s="117">
        <v>55000</v>
      </c>
      <c r="D6" s="117">
        <v>250000</v>
      </c>
      <c r="E6" s="16"/>
      <c r="F6" s="16">
        <v>110000</v>
      </c>
      <c r="G6" s="16"/>
      <c r="H6" s="119">
        <v>314000</v>
      </c>
      <c r="I6" s="119">
        <v>60000</v>
      </c>
      <c r="J6" s="119">
        <v>10000</v>
      </c>
      <c r="K6" s="119">
        <f>10000</f>
        <v>10000</v>
      </c>
      <c r="L6" s="119">
        <v>5000</v>
      </c>
      <c r="M6" s="121">
        <f t="shared" si="0"/>
        <v>509000</v>
      </c>
      <c r="N6" s="121">
        <f t="shared" si="1"/>
        <v>-204000</v>
      </c>
      <c r="O6" s="122">
        <f>B6+C6+D6-M6</f>
        <v>3677617.22</v>
      </c>
      <c r="P6" s="124"/>
      <c r="Q6" s="125" t="s">
        <v>22</v>
      </c>
      <c r="T6" s="76"/>
    </row>
    <row r="7" s="1" customFormat="1" ht="37" customHeight="1" spans="1:45">
      <c r="A7" s="108" t="s">
        <v>23</v>
      </c>
      <c r="B7" s="103">
        <f>O6</f>
        <v>3677617.22</v>
      </c>
      <c r="C7" s="117">
        <v>50000</v>
      </c>
      <c r="D7" s="117">
        <f>250000</f>
        <v>250000</v>
      </c>
      <c r="E7" s="16">
        <v>130000</v>
      </c>
      <c r="F7" s="16">
        <v>50000</v>
      </c>
      <c r="G7" s="16"/>
      <c r="H7" s="119"/>
      <c r="I7" s="119"/>
      <c r="J7" s="119">
        <v>42500</v>
      </c>
      <c r="K7" s="119">
        <f>130000+15000</f>
        <v>145000</v>
      </c>
      <c r="L7" s="119">
        <v>5000</v>
      </c>
      <c r="M7" s="121">
        <f t="shared" si="0"/>
        <v>372500</v>
      </c>
      <c r="N7" s="121">
        <f t="shared" si="1"/>
        <v>-72500</v>
      </c>
      <c r="O7" s="122">
        <f>B7+C7+D7-M7</f>
        <v>3605117.22</v>
      </c>
      <c r="P7" s="124"/>
      <c r="Q7" s="126" t="s">
        <v>24</v>
      </c>
      <c r="R7" s="127" t="s">
        <v>25</v>
      </c>
      <c r="S7" s="126" t="s">
        <v>26</v>
      </c>
      <c r="T7" s="127" t="s">
        <v>27</v>
      </c>
      <c r="U7" s="1">
        <f>T13-'[1]4.30'!$E$20</f>
        <v>4090784.12</v>
      </c>
    </row>
    <row r="8" s="1" customFormat="1" ht="37" customHeight="1" spans="1:45">
      <c r="A8" s="108" t="s">
        <v>28</v>
      </c>
      <c r="B8" s="103">
        <f>O7</f>
        <v>3605117.22</v>
      </c>
      <c r="C8" s="117"/>
      <c r="D8" s="117">
        <f>220000</f>
        <v>220000</v>
      </c>
      <c r="E8" s="16"/>
      <c r="F8" s="16"/>
      <c r="G8" s="16"/>
      <c r="H8" s="119"/>
      <c r="I8" s="119">
        <f>339206+252500</f>
        <v>591706</v>
      </c>
      <c r="J8" s="120"/>
      <c r="K8" s="119">
        <f>120000+20000</f>
        <v>140000</v>
      </c>
      <c r="L8" s="119">
        <v>5000</v>
      </c>
      <c r="M8" s="121">
        <f t="shared" si="0"/>
        <v>736706</v>
      </c>
      <c r="N8" s="121">
        <f t="shared" si="1"/>
        <v>-516706</v>
      </c>
      <c r="O8" s="122">
        <f>B8+C8+D8-M8</f>
        <v>3088411.22</v>
      </c>
      <c r="P8" s="124"/>
      <c r="Q8" s="128" t="s">
        <v>29</v>
      </c>
      <c r="R8" s="128">
        <v>1022452.93</v>
      </c>
      <c r="S8" s="128"/>
      <c r="T8" s="128">
        <f t="shared" ref="T8:T12" si="2">R8</f>
        <v>1022452.93</v>
      </c>
      <c r="AC8" s="129"/>
      <c r="AD8" s="129"/>
    </row>
    <row r="9" s="1" customFormat="1" ht="56.1" customHeight="1" spans="1:45">
      <c r="A9" s="49" t="s">
        <v>30</v>
      </c>
      <c r="B9" s="49"/>
      <c r="C9" s="49">
        <f t="shared" ref="C9:M9" si="3">SUM(C4:C8)</f>
        <v>525000</v>
      </c>
      <c r="D9" s="49">
        <f t="shared" si="3"/>
        <v>1284953.85</v>
      </c>
      <c r="E9" s="80">
        <f t="shared" si="3"/>
        <v>640099.5</v>
      </c>
      <c r="F9" s="80">
        <f t="shared" si="3"/>
        <v>312143.5</v>
      </c>
      <c r="G9" s="130">
        <f t="shared" si="3"/>
        <v>0</v>
      </c>
      <c r="H9" s="130">
        <f t="shared" si="3"/>
        <v>380000</v>
      </c>
      <c r="I9" s="130">
        <f t="shared" si="3"/>
        <v>1001706</v>
      </c>
      <c r="J9" s="130">
        <f t="shared" si="3"/>
        <v>197916.88</v>
      </c>
      <c r="K9" s="130">
        <f t="shared" si="3"/>
        <v>392378.47</v>
      </c>
      <c r="L9" s="130">
        <f t="shared" si="3"/>
        <v>25000</v>
      </c>
      <c r="M9" s="131">
        <f t="shared" si="3"/>
        <v>2949244.35</v>
      </c>
      <c r="N9" s="121">
        <f t="shared" si="1"/>
        <v>-1139290.5</v>
      </c>
      <c r="O9" s="122"/>
      <c r="P9" s="40"/>
      <c r="Q9" s="128" t="s">
        <v>31</v>
      </c>
      <c r="R9" s="128">
        <v>3017278.86</v>
      </c>
      <c r="S9" s="128"/>
      <c r="T9" s="128">
        <f t="shared" si="2"/>
        <v>3017278.86</v>
      </c>
      <c r="AC9" s="132"/>
      <c r="AD9" s="129"/>
    </row>
    <row r="10" s="1" customFormat="1" ht="56.1" customHeight="1" spans="1:45">
      <c r="A10" s="133" t="s">
        <v>32</v>
      </c>
      <c r="B10" s="133"/>
      <c r="C10" s="134">
        <f>C9+D9</f>
        <v>1809953.85</v>
      </c>
      <c r="D10" s="135"/>
      <c r="E10" s="134">
        <f>E9+F9</f>
        <v>952243</v>
      </c>
      <c r="F10" s="135"/>
      <c r="G10" s="136">
        <f>G9+H9+I9+J9+K9+L9</f>
        <v>1997001.35</v>
      </c>
      <c r="H10" s="136"/>
      <c r="I10" s="136"/>
      <c r="J10" s="136"/>
      <c r="K10" s="136"/>
      <c r="L10" s="136"/>
      <c r="M10" s="136"/>
      <c r="N10" s="137">
        <f>(C10+D10)-(E10+F10+G10+H10+I10+J10+K10)</f>
        <v>-1139290.5</v>
      </c>
      <c r="O10" s="133"/>
      <c r="P10" s="138"/>
      <c r="Q10" s="128" t="s">
        <v>33</v>
      </c>
      <c r="R10" s="128">
        <v>259691.58</v>
      </c>
      <c r="S10" s="128"/>
      <c r="T10" s="128">
        <f t="shared" si="2"/>
        <v>259691.58</v>
      </c>
      <c r="AC10" s="132"/>
      <c r="AD10" s="129"/>
    </row>
    <row r="11" s="1" customFormat="1" ht="29" customHeight="1" spans="1:45">
      <c r="A11" s="139" t="s">
        <v>34</v>
      </c>
      <c r="B11" s="1" t="s">
        <v>35</v>
      </c>
      <c r="Q11" s="128" t="s">
        <v>36</v>
      </c>
      <c r="R11" s="128">
        <f>(14076.5+12960+840+540)*6.8</f>
        <v>193232.2</v>
      </c>
      <c r="S11" s="128"/>
      <c r="T11" s="128">
        <f t="shared" si="2"/>
        <v>193232.2</v>
      </c>
      <c r="AC11" s="132"/>
      <c r="AD11" s="129"/>
    </row>
    <row r="12" s="1" customFormat="1" ht="27" customHeight="1" spans="1:45">
      <c r="Q12" s="128" t="s">
        <v>37</v>
      </c>
      <c r="R12" s="128"/>
      <c r="S12" s="128">
        <v>50000</v>
      </c>
      <c r="T12" s="128">
        <f t="shared" si="2"/>
        <v>0</v>
      </c>
      <c r="AC12" s="132"/>
      <c r="AD12" s="129"/>
    </row>
    <row r="13" s="1" customFormat="1" ht="29" customHeight="1" spans="1:45">
      <c r="Q13" s="140" t="s">
        <v>38</v>
      </c>
      <c r="R13" s="140">
        <f t="shared" ref="R13:T13" si="4">SUM(R8:R12)</f>
        <v>4492655.57</v>
      </c>
      <c r="S13" s="140">
        <f t="shared" si="4"/>
        <v>50000</v>
      </c>
      <c r="T13" s="140">
        <f t="shared" si="4"/>
        <v>4492655.57</v>
      </c>
      <c r="AC13" s="129"/>
      <c r="AD13" s="129"/>
    </row>
    <row r="14" s="1" customFormat="1" ht="29" customHeight="1" spans="1:45">
      <c r="Q14" s="140"/>
      <c r="R14" s="140"/>
      <c r="S14" s="140"/>
      <c r="T14" s="140"/>
    </row>
    <row r="15" s="1" customFormat="1" ht="27.95" customHeight="1" spans="1:45">
      <c r="A15" s="141" t="s">
        <v>39</v>
      </c>
      <c r="B15" s="141" t="s">
        <v>40</v>
      </c>
      <c r="C15" s="141" t="s">
        <v>41</v>
      </c>
      <c r="D15" s="141" t="s">
        <v>42</v>
      </c>
      <c r="E15" s="141" t="s">
        <v>41</v>
      </c>
      <c r="F15" s="141" t="s">
        <v>43</v>
      </c>
      <c r="G15" s="141" t="s">
        <v>41</v>
      </c>
      <c r="H15" s="141" t="s">
        <v>44</v>
      </c>
      <c r="I15" s="141" t="s">
        <v>41</v>
      </c>
      <c r="J15" s="141" t="s">
        <v>45</v>
      </c>
      <c r="K15" s="141" t="s">
        <v>41</v>
      </c>
      <c r="L15" s="141" t="s">
        <v>46</v>
      </c>
      <c r="M15" s="141" t="s">
        <v>41</v>
      </c>
      <c r="N15" s="141" t="s">
        <v>47</v>
      </c>
      <c r="O15" s="141" t="s">
        <v>41</v>
      </c>
      <c r="P15" s="141" t="s">
        <v>48</v>
      </c>
      <c r="Q15" s="141" t="s">
        <v>41</v>
      </c>
      <c r="R15" s="141" t="s">
        <v>49</v>
      </c>
      <c r="S15" s="141" t="s">
        <v>41</v>
      </c>
      <c r="T15" s="141" t="s">
        <v>50</v>
      </c>
      <c r="U15" s="141" t="s">
        <v>41</v>
      </c>
      <c r="V15" s="141" t="s">
        <v>51</v>
      </c>
      <c r="W15" s="141" t="s">
        <v>41</v>
      </c>
      <c r="X15" s="141" t="s">
        <v>52</v>
      </c>
      <c r="Y15" s="141" t="s">
        <v>41</v>
      </c>
      <c r="Z15" s="141" t="s">
        <v>40</v>
      </c>
      <c r="AA15" s="141" t="s">
        <v>41</v>
      </c>
      <c r="AB15" s="141" t="s">
        <v>42</v>
      </c>
      <c r="AC15" s="141" t="s">
        <v>41</v>
      </c>
      <c r="AD15" s="141" t="s">
        <v>43</v>
      </c>
      <c r="AE15" s="141" t="s">
        <v>41</v>
      </c>
      <c r="AF15" s="141" t="s">
        <v>44</v>
      </c>
      <c r="AG15" s="141" t="s">
        <v>41</v>
      </c>
      <c r="AH15" s="141" t="s">
        <v>45</v>
      </c>
      <c r="AI15" s="141" t="s">
        <v>41</v>
      </c>
      <c r="AJ15" s="141" t="s">
        <v>46</v>
      </c>
      <c r="AK15" s="141" t="s">
        <v>41</v>
      </c>
      <c r="AL15" s="141" t="s">
        <v>47</v>
      </c>
      <c r="AM15" s="141" t="s">
        <v>41</v>
      </c>
      <c r="AN15" s="141" t="s">
        <v>48</v>
      </c>
      <c r="AO15" s="141" t="s">
        <v>41</v>
      </c>
      <c r="AP15" s="141" t="s">
        <v>49</v>
      </c>
      <c r="AQ15" s="141" t="s">
        <v>41</v>
      </c>
      <c r="AR15" s="141" t="s">
        <v>50</v>
      </c>
      <c r="AS15" s="141" t="s">
        <v>41</v>
      </c>
    </row>
    <row r="16" s="1" customFormat="1" ht="44" customHeight="1" spans="1:45">
      <c r="A16" s="142" t="s">
        <v>53</v>
      </c>
      <c r="B16" s="143">
        <v>4285807.15</v>
      </c>
      <c r="C16" s="144"/>
      <c r="D16" s="143">
        <f>B28</f>
        <v>4227701.72</v>
      </c>
      <c r="E16" s="142"/>
      <c r="F16" s="142">
        <f>D28</f>
        <v>3138411.22</v>
      </c>
      <c r="G16" s="145"/>
      <c r="H16" s="142">
        <f>F28</f>
        <v>3708043.22</v>
      </c>
      <c r="I16" s="142"/>
      <c r="J16" s="142">
        <f>H28</f>
        <v>3230543.22</v>
      </c>
      <c r="K16" s="146"/>
      <c r="L16" s="147">
        <f>J28</f>
        <v>3138043.22</v>
      </c>
      <c r="M16" s="144"/>
      <c r="N16" s="143">
        <f>L28</f>
        <v>3133043.22</v>
      </c>
      <c r="O16" s="142"/>
      <c r="P16" s="143">
        <f>N28</f>
        <v>2904709.22</v>
      </c>
      <c r="Q16" s="142"/>
      <c r="R16" s="143">
        <f>P28</f>
        <v>2348709.22</v>
      </c>
      <c r="S16" s="142"/>
      <c r="T16" s="143">
        <f>R28</f>
        <v>2463609.22</v>
      </c>
      <c r="U16" s="144"/>
      <c r="V16" s="143">
        <f t="shared" ref="V16:Z16" si="5">T28</f>
        <v>4208289.22</v>
      </c>
      <c r="W16" s="144"/>
      <c r="X16" s="143">
        <f t="shared" si="5"/>
        <v>4765789.22</v>
      </c>
      <c r="Y16" s="142"/>
      <c r="Z16" s="143">
        <f t="shared" si="5"/>
        <v>4255845.22</v>
      </c>
      <c r="AA16" s="142"/>
      <c r="AB16" s="143">
        <f t="shared" ref="AB16:AF16" si="6">Z28</f>
        <v>4415845.22</v>
      </c>
      <c r="AC16" s="142"/>
      <c r="AD16" s="143">
        <f t="shared" si="6"/>
        <v>4539139.22</v>
      </c>
      <c r="AE16" s="142"/>
      <c r="AF16" s="143">
        <f t="shared" si="6"/>
        <v>4559819.22</v>
      </c>
      <c r="AG16" s="142"/>
      <c r="AH16" s="143">
        <f t="shared" ref="AH16:AL16" si="7">AF28</f>
        <v>4769819.22</v>
      </c>
      <c r="AI16" s="142"/>
      <c r="AJ16" s="143">
        <f t="shared" si="7"/>
        <v>4974819.22</v>
      </c>
      <c r="AK16" s="142"/>
      <c r="AL16" s="143">
        <f t="shared" si="7"/>
        <v>4948319.22</v>
      </c>
      <c r="AM16" s="142"/>
      <c r="AN16" s="143">
        <f t="shared" ref="AN16:AR16" si="8">AL28</f>
        <v>5105485.22</v>
      </c>
      <c r="AO16" s="142"/>
      <c r="AP16" s="143">
        <f t="shared" si="8"/>
        <v>4999485.22</v>
      </c>
      <c r="AQ16" s="142"/>
      <c r="AR16" s="143">
        <f t="shared" si="8"/>
        <v>5081885.22</v>
      </c>
      <c r="AS16" s="142"/>
    </row>
    <row r="17" s="1" customFormat="1" ht="100" customHeight="1" spans="1:49">
      <c r="A17" s="148" t="s">
        <v>54</v>
      </c>
      <c r="B17" s="149">
        <v>505996.66</v>
      </c>
      <c r="C17" s="150"/>
      <c r="D17" s="149">
        <f>C9</f>
        <v>525000</v>
      </c>
      <c r="E17" s="150"/>
      <c r="F17" s="148"/>
      <c r="G17" s="151"/>
      <c r="H17" s="148"/>
      <c r="I17" s="152"/>
      <c r="J17" s="148"/>
      <c r="K17" s="153"/>
      <c r="L17" s="154"/>
      <c r="M17" s="150"/>
      <c r="N17" s="149"/>
      <c r="O17" s="150"/>
      <c r="P17" s="149"/>
      <c r="Q17" s="150"/>
      <c r="R17" s="149"/>
      <c r="S17" s="150"/>
      <c r="T17" s="149"/>
      <c r="U17" s="150" t="s">
        <v>55</v>
      </c>
      <c r="V17" s="149"/>
      <c r="W17" s="150"/>
      <c r="X17" s="149"/>
      <c r="Y17" s="150"/>
      <c r="Z17" s="149"/>
      <c r="AA17" s="150"/>
      <c r="AB17" s="149"/>
      <c r="AC17" s="150"/>
      <c r="AD17" s="149"/>
      <c r="AE17" s="150"/>
      <c r="AF17" s="149"/>
      <c r="AG17" s="150"/>
      <c r="AH17" s="149"/>
      <c r="AI17" s="150"/>
      <c r="AJ17" s="149"/>
      <c r="AK17" s="150"/>
      <c r="AL17" s="149"/>
      <c r="AM17" s="150"/>
      <c r="AN17" s="149"/>
      <c r="AO17" s="150"/>
      <c r="AP17" s="149"/>
      <c r="AQ17" s="150"/>
      <c r="AR17" s="149"/>
      <c r="AS17" s="150"/>
    </row>
    <row r="18" s="1" customFormat="1" ht="63" customHeight="1" spans="1:49">
      <c r="A18" s="148" t="s">
        <v>56</v>
      </c>
      <c r="B18" s="149">
        <v>1181776.42</v>
      </c>
      <c r="C18" s="150"/>
      <c r="D18" s="149">
        <f>D9+50000</f>
        <v>1334953.85</v>
      </c>
      <c r="E18" s="150" t="s">
        <v>57</v>
      </c>
      <c r="F18" s="149">
        <f>100000*18.25*0.7+540000+5000000</f>
        <v>6817500</v>
      </c>
      <c r="G18" s="155" t="s">
        <v>58</v>
      </c>
      <c r="H18" s="149">
        <f t="shared" ref="H18:L18" si="9">100000*18.25*0.7+540000</f>
        <v>1817500</v>
      </c>
      <c r="I18" s="155" t="s">
        <v>58</v>
      </c>
      <c r="J18" s="149">
        <f t="shared" si="9"/>
        <v>1817500</v>
      </c>
      <c r="K18" s="155" t="s">
        <v>58</v>
      </c>
      <c r="L18" s="149">
        <f>100000*18.25*0.7+540000+240000</f>
        <v>2057500</v>
      </c>
      <c r="M18" s="155" t="s">
        <v>59</v>
      </c>
      <c r="N18" s="149">
        <f t="shared" ref="N18:R18" si="10">100000*18.25*0.7+540000</f>
        <v>1817500</v>
      </c>
      <c r="O18" s="155" t="s">
        <v>58</v>
      </c>
      <c r="P18" s="149">
        <f t="shared" si="10"/>
        <v>1817500</v>
      </c>
      <c r="Q18" s="155" t="s">
        <v>58</v>
      </c>
      <c r="R18" s="149">
        <f t="shared" si="10"/>
        <v>1817500</v>
      </c>
      <c r="S18" s="155" t="s">
        <v>58</v>
      </c>
      <c r="T18" s="149">
        <f>150000*19+50000*16+540000</f>
        <v>4190000</v>
      </c>
      <c r="U18" s="150" t="s">
        <v>60</v>
      </c>
      <c r="V18" s="149">
        <f>150000*18.25</f>
        <v>2737500</v>
      </c>
      <c r="W18" s="150"/>
      <c r="X18" s="149">
        <f>100000*18.25</f>
        <v>1825000</v>
      </c>
      <c r="Y18" s="150"/>
      <c r="Z18" s="149">
        <f>100000*18.25</f>
        <v>1825000</v>
      </c>
      <c r="AA18" s="150"/>
      <c r="AB18" s="149">
        <f>100000*18.25+590000</f>
        <v>2415000</v>
      </c>
      <c r="AC18" s="150" t="s">
        <v>61</v>
      </c>
      <c r="AD18" s="149">
        <f t="shared" ref="AD18:AH18" si="11">100000*18.25</f>
        <v>1825000</v>
      </c>
      <c r="AE18" s="150"/>
      <c r="AF18" s="149">
        <f t="shared" si="11"/>
        <v>1825000</v>
      </c>
      <c r="AG18" s="150"/>
      <c r="AH18" s="149">
        <f t="shared" si="11"/>
        <v>1825000</v>
      </c>
      <c r="AI18" s="150"/>
      <c r="AJ18" s="149">
        <f t="shared" ref="AJ18:AN18" si="12">100000*18.25</f>
        <v>1825000</v>
      </c>
      <c r="AK18" s="150"/>
      <c r="AL18" s="149">
        <f t="shared" si="12"/>
        <v>1825000</v>
      </c>
      <c r="AM18" s="150"/>
      <c r="AN18" s="149">
        <f t="shared" si="12"/>
        <v>1825000</v>
      </c>
      <c r="AO18" s="150"/>
      <c r="AP18" s="149">
        <f>100000*18.25</f>
        <v>1825000</v>
      </c>
      <c r="AQ18" s="150"/>
      <c r="AR18" s="149">
        <f>150000*19</f>
        <v>2850000</v>
      </c>
      <c r="AS18" s="150"/>
    </row>
    <row r="19" s="1" customFormat="1" ht="27.95" customHeight="1" spans="1:49">
      <c r="A19" s="148" t="s">
        <v>62</v>
      </c>
      <c r="B19" s="149">
        <v>1687773.08</v>
      </c>
      <c r="C19" s="148"/>
      <c r="D19" s="149">
        <f>SUM(D17:D18)</f>
        <v>1859953.85</v>
      </c>
      <c r="E19" s="148"/>
      <c r="F19" s="149">
        <f>SUM(F17:F18)</f>
        <v>6817500</v>
      </c>
      <c r="G19" s="155"/>
      <c r="H19" s="149">
        <f t="shared" ref="H19:L19" si="13">SUM(H17:H18)</f>
        <v>1817500</v>
      </c>
      <c r="I19" s="149"/>
      <c r="J19" s="149">
        <f t="shared" si="13"/>
        <v>1817500</v>
      </c>
      <c r="K19" s="156"/>
      <c r="L19" s="149">
        <f t="shared" si="13"/>
        <v>2057500</v>
      </c>
      <c r="M19" s="149"/>
      <c r="N19" s="149">
        <f t="shared" ref="N19:R19" si="14">SUM(N17:N18)</f>
        <v>1817500</v>
      </c>
      <c r="O19" s="149"/>
      <c r="P19" s="149">
        <f t="shared" si="14"/>
        <v>1817500</v>
      </c>
      <c r="Q19" s="149"/>
      <c r="R19" s="149">
        <f t="shared" si="14"/>
        <v>1817500</v>
      </c>
      <c r="S19" s="148"/>
      <c r="T19" s="149">
        <f t="shared" ref="T19:X19" si="15">SUM(T17:T18)</f>
        <v>4190000</v>
      </c>
      <c r="U19" s="148"/>
      <c r="V19" s="149">
        <f t="shared" si="15"/>
        <v>2737500</v>
      </c>
      <c r="W19" s="148"/>
      <c r="X19" s="149">
        <f t="shared" si="15"/>
        <v>1825000</v>
      </c>
      <c r="Y19" s="148"/>
      <c r="Z19" s="149">
        <f t="shared" ref="Z19:AD19" si="16">SUM(Z17:Z18)</f>
        <v>1825000</v>
      </c>
      <c r="AA19" s="148"/>
      <c r="AB19" s="149">
        <f t="shared" si="16"/>
        <v>2415000</v>
      </c>
      <c r="AC19" s="148"/>
      <c r="AD19" s="149">
        <f t="shared" si="16"/>
        <v>1825000</v>
      </c>
      <c r="AE19" s="148"/>
      <c r="AF19" s="149">
        <f t="shared" ref="AF19:AJ19" si="17">SUM(AF17:AF18)</f>
        <v>1825000</v>
      </c>
      <c r="AG19" s="148"/>
      <c r="AH19" s="149">
        <f t="shared" si="17"/>
        <v>1825000</v>
      </c>
      <c r="AI19" s="148"/>
      <c r="AJ19" s="149">
        <f t="shared" si="17"/>
        <v>1825000</v>
      </c>
      <c r="AK19" s="148"/>
      <c r="AL19" s="149">
        <f t="shared" ref="AL19:AP19" si="18">SUM(AL17:AL18)</f>
        <v>1825000</v>
      </c>
      <c r="AM19" s="148"/>
      <c r="AN19" s="149">
        <f t="shared" si="18"/>
        <v>1825000</v>
      </c>
      <c r="AO19" s="148"/>
      <c r="AP19" s="149">
        <f t="shared" si="18"/>
        <v>1825000</v>
      </c>
      <c r="AQ19" s="148"/>
      <c r="AR19" s="149">
        <f>SUM(AR17:AR18)</f>
        <v>2850000</v>
      </c>
      <c r="AS19" s="148"/>
    </row>
    <row r="20" s="1" customFormat="1" ht="56" customHeight="1" spans="1:49">
      <c r="A20" s="157" t="s">
        <v>63</v>
      </c>
      <c r="B20" s="158">
        <v>22770</v>
      </c>
      <c r="C20" s="157"/>
      <c r="D20" s="158">
        <f>F9</f>
        <v>312143.5</v>
      </c>
      <c r="E20" s="159"/>
      <c r="F20" s="158"/>
      <c r="G20" s="160"/>
      <c r="H20" s="158"/>
      <c r="I20" s="161"/>
      <c r="J20" s="158"/>
      <c r="K20" s="162"/>
      <c r="L20" s="163"/>
      <c r="M20" s="158"/>
      <c r="N20" s="158"/>
      <c r="O20" s="161"/>
      <c r="P20" s="158"/>
      <c r="Q20" s="161"/>
      <c r="R20" s="158"/>
      <c r="S20" s="159"/>
      <c r="T20" s="158"/>
      <c r="U20" s="157"/>
      <c r="V20" s="158"/>
      <c r="W20" s="157"/>
      <c r="X20" s="158"/>
      <c r="Y20" s="159"/>
      <c r="Z20" s="158"/>
      <c r="AA20" s="159"/>
      <c r="AB20" s="158"/>
      <c r="AC20" s="159"/>
      <c r="AD20" s="158"/>
      <c r="AE20" s="159"/>
      <c r="AF20" s="158"/>
      <c r="AG20" s="159"/>
      <c r="AH20" s="158"/>
      <c r="AI20" s="159"/>
      <c r="AJ20" s="158"/>
      <c r="AK20" s="159"/>
      <c r="AL20" s="158"/>
      <c r="AM20" s="159"/>
      <c r="AN20" s="158"/>
      <c r="AO20" s="159"/>
      <c r="AP20" s="158"/>
      <c r="AQ20" s="159"/>
      <c r="AR20" s="158"/>
      <c r="AS20" s="159"/>
    </row>
    <row r="21" s="1" customFormat="1" ht="61" customHeight="1" spans="1:49">
      <c r="A21" s="157" t="s">
        <v>64</v>
      </c>
      <c r="B21" s="158">
        <v>486875</v>
      </c>
      <c r="C21" s="159"/>
      <c r="D21" s="158">
        <f>E9</f>
        <v>640099.5</v>
      </c>
      <c r="E21" s="159" t="s">
        <v>65</v>
      </c>
      <c r="F21" s="158">
        <f>Sheet2!D31+Sheet2!D33+Sheet2!D51+Sheet2!D36</f>
        <v>641048</v>
      </c>
      <c r="G21" s="160" t="s">
        <v>66</v>
      </c>
      <c r="H21" s="158">
        <v>1480000</v>
      </c>
      <c r="I21" s="161" t="s">
        <v>67</v>
      </c>
      <c r="J21" s="158">
        <v>1090000</v>
      </c>
      <c r="K21" s="161" t="s">
        <v>68</v>
      </c>
      <c r="L21" s="163">
        <v>1010000</v>
      </c>
      <c r="M21" s="161" t="s">
        <v>69</v>
      </c>
      <c r="N21" s="158">
        <v>1070000</v>
      </c>
      <c r="O21" s="161" t="s">
        <v>70</v>
      </c>
      <c r="P21" s="158">
        <v>1080000</v>
      </c>
      <c r="Q21" s="161" t="s">
        <v>70</v>
      </c>
      <c r="R21" s="158">
        <v>780000</v>
      </c>
      <c r="S21" s="159" t="s">
        <v>71</v>
      </c>
      <c r="T21" s="158">
        <v>1060000</v>
      </c>
      <c r="U21" s="159" t="s">
        <v>72</v>
      </c>
      <c r="V21" s="158">
        <v>1060000</v>
      </c>
      <c r="W21" s="159" t="s">
        <v>73</v>
      </c>
      <c r="X21" s="158">
        <v>1060000</v>
      </c>
      <c r="Y21" s="159" t="s">
        <v>74</v>
      </c>
      <c r="Z21" s="158">
        <f t="shared" ref="Z21:AD21" si="19">550000+250000</f>
        <v>800000</v>
      </c>
      <c r="AA21" s="159" t="s">
        <v>75</v>
      </c>
      <c r="AB21" s="158">
        <f t="shared" si="19"/>
        <v>800000</v>
      </c>
      <c r="AC21" s="159" t="s">
        <v>76</v>
      </c>
      <c r="AD21" s="158">
        <f t="shared" si="19"/>
        <v>800000</v>
      </c>
      <c r="AE21" s="159" t="s">
        <v>77</v>
      </c>
      <c r="AF21" s="158">
        <f t="shared" ref="AF21:AJ21" si="20">550000+250000</f>
        <v>800000</v>
      </c>
      <c r="AG21" s="159" t="s">
        <v>78</v>
      </c>
      <c r="AH21" s="158">
        <f t="shared" si="20"/>
        <v>800000</v>
      </c>
      <c r="AI21" s="159" t="s">
        <v>79</v>
      </c>
      <c r="AJ21" s="158">
        <f t="shared" si="20"/>
        <v>800000</v>
      </c>
      <c r="AK21" s="159" t="s">
        <v>80</v>
      </c>
      <c r="AL21" s="158">
        <f t="shared" ref="AL21:AP21" si="21">550000+250000</f>
        <v>800000</v>
      </c>
      <c r="AM21" s="159" t="s">
        <v>81</v>
      </c>
      <c r="AN21" s="158">
        <f t="shared" si="21"/>
        <v>800000</v>
      </c>
      <c r="AO21" s="159" t="s">
        <v>82</v>
      </c>
      <c r="AP21" s="158">
        <f t="shared" si="21"/>
        <v>800000</v>
      </c>
      <c r="AQ21" s="159" t="s">
        <v>83</v>
      </c>
      <c r="AR21" s="158">
        <f>550000+250000</f>
        <v>800000</v>
      </c>
      <c r="AS21" s="159" t="s">
        <v>84</v>
      </c>
    </row>
    <row r="22" s="1" customFormat="1" ht="27.95" customHeight="1" spans="1:49">
      <c r="A22" s="157" t="s">
        <v>85</v>
      </c>
      <c r="B22" s="158">
        <v>464986.62</v>
      </c>
      <c r="C22" s="159"/>
      <c r="D22" s="158">
        <f>H9</f>
        <v>380000</v>
      </c>
      <c r="E22" s="158" t="s">
        <v>86</v>
      </c>
      <c r="F22" s="158">
        <v>350000</v>
      </c>
      <c r="G22" s="160"/>
      <c r="H22" s="158">
        <v>350000</v>
      </c>
      <c r="I22" s="158"/>
      <c r="J22" s="158">
        <v>350000</v>
      </c>
      <c r="K22" s="162"/>
      <c r="L22" s="158">
        <v>350000</v>
      </c>
      <c r="M22" s="158"/>
      <c r="N22" s="158">
        <v>350000</v>
      </c>
      <c r="O22" s="161"/>
      <c r="P22" s="158">
        <v>350000</v>
      </c>
      <c r="Q22" s="161"/>
      <c r="R22" s="158">
        <v>400000</v>
      </c>
      <c r="S22" s="159"/>
      <c r="T22" s="158">
        <v>460000</v>
      </c>
      <c r="U22" s="159"/>
      <c r="V22" s="158">
        <v>460000</v>
      </c>
      <c r="W22" s="159"/>
      <c r="X22" s="158">
        <f>460000</f>
        <v>460000</v>
      </c>
      <c r="Y22" s="158"/>
      <c r="Z22" s="158">
        <v>350000</v>
      </c>
      <c r="AA22" s="158"/>
      <c r="AB22" s="158">
        <v>350000</v>
      </c>
      <c r="AC22" s="158"/>
      <c r="AD22" s="158">
        <v>350000</v>
      </c>
      <c r="AE22" s="158"/>
      <c r="AF22" s="158">
        <v>350000</v>
      </c>
      <c r="AG22" s="158"/>
      <c r="AH22" s="158">
        <v>350000</v>
      </c>
      <c r="AI22" s="158"/>
      <c r="AJ22" s="158">
        <v>350000</v>
      </c>
      <c r="AK22" s="158"/>
      <c r="AL22" s="158">
        <v>350000</v>
      </c>
      <c r="AM22" s="158"/>
      <c r="AN22" s="158">
        <v>350000</v>
      </c>
      <c r="AO22" s="158"/>
      <c r="AP22" s="158">
        <v>400000</v>
      </c>
      <c r="AQ22" s="158"/>
      <c r="AR22" s="158">
        <v>460000</v>
      </c>
      <c r="AS22" s="158"/>
    </row>
    <row r="23" s="1" customFormat="1" ht="27.95" customHeight="1" spans="1:49">
      <c r="A23" s="157" t="s">
        <v>87</v>
      </c>
      <c r="B23" s="158">
        <v>103276.36</v>
      </c>
      <c r="C23" s="157"/>
      <c r="D23" s="158">
        <f>110000</f>
        <v>110000</v>
      </c>
      <c r="E23" s="157"/>
      <c r="F23" s="158">
        <v>110000</v>
      </c>
      <c r="G23" s="160"/>
      <c r="H23" s="158">
        <v>110000</v>
      </c>
      <c r="I23" s="158"/>
      <c r="J23" s="158">
        <v>110000</v>
      </c>
      <c r="K23" s="162"/>
      <c r="L23" s="158">
        <v>110000</v>
      </c>
      <c r="M23" s="158"/>
      <c r="N23" s="158">
        <v>110000</v>
      </c>
      <c r="O23" s="158"/>
      <c r="P23" s="158">
        <v>110000</v>
      </c>
      <c r="Q23" s="158"/>
      <c r="R23" s="158">
        <v>130000</v>
      </c>
      <c r="S23" s="157"/>
      <c r="T23" s="158">
        <v>150000</v>
      </c>
      <c r="U23" s="157"/>
      <c r="V23" s="158">
        <v>130000</v>
      </c>
      <c r="W23" s="157"/>
      <c r="X23" s="158">
        <v>110000</v>
      </c>
      <c r="Y23" s="157"/>
      <c r="Z23" s="158">
        <v>110000</v>
      </c>
      <c r="AA23" s="157"/>
      <c r="AB23" s="158">
        <v>110000</v>
      </c>
      <c r="AC23" s="157"/>
      <c r="AD23" s="158">
        <v>110000</v>
      </c>
      <c r="AE23" s="157"/>
      <c r="AF23" s="158">
        <v>110000</v>
      </c>
      <c r="AG23" s="157"/>
      <c r="AH23" s="158">
        <v>110000</v>
      </c>
      <c r="AI23" s="157"/>
      <c r="AJ23" s="158">
        <v>110000</v>
      </c>
      <c r="AK23" s="157"/>
      <c r="AL23" s="158">
        <v>110000</v>
      </c>
      <c r="AM23" s="157"/>
      <c r="AN23" s="158">
        <v>110000</v>
      </c>
      <c r="AO23" s="157"/>
      <c r="AP23" s="158">
        <v>150000</v>
      </c>
      <c r="AQ23" s="157"/>
      <c r="AR23" s="158">
        <v>150000</v>
      </c>
      <c r="AS23" s="157"/>
    </row>
    <row r="24" s="1" customFormat="1" ht="35" customHeight="1" spans="1:49">
      <c r="A24" s="157" t="s">
        <v>88</v>
      </c>
      <c r="B24" s="158">
        <v>25478</v>
      </c>
      <c r="C24" s="159"/>
      <c r="D24" s="158">
        <f>J9</f>
        <v>197916.88</v>
      </c>
      <c r="E24" s="159"/>
      <c r="F24" s="158">
        <f>42500+20000</f>
        <v>62500</v>
      </c>
      <c r="G24" s="160" t="s">
        <v>89</v>
      </c>
      <c r="H24" s="158">
        <v>30000</v>
      </c>
      <c r="I24" s="161"/>
      <c r="J24" s="158">
        <v>30000</v>
      </c>
      <c r="K24" s="162"/>
      <c r="L24" s="158">
        <v>30000</v>
      </c>
      <c r="M24" s="158"/>
      <c r="N24" s="158">
        <v>30000</v>
      </c>
      <c r="O24" s="161"/>
      <c r="P24" s="158">
        <v>30000</v>
      </c>
      <c r="Q24" s="161"/>
      <c r="R24" s="158">
        <v>30000</v>
      </c>
      <c r="S24" s="159"/>
      <c r="T24" s="158">
        <v>30000</v>
      </c>
      <c r="U24" s="159"/>
      <c r="V24" s="158">
        <v>30000</v>
      </c>
      <c r="W24" s="159"/>
      <c r="X24" s="158">
        <v>30000</v>
      </c>
      <c r="Y24" s="159"/>
      <c r="Z24" s="158">
        <v>30000</v>
      </c>
      <c r="AA24" s="159"/>
      <c r="AB24" s="158">
        <v>30000</v>
      </c>
      <c r="AC24" s="159"/>
      <c r="AD24" s="158">
        <v>30000</v>
      </c>
      <c r="AE24" s="159"/>
      <c r="AF24" s="158">
        <v>30000</v>
      </c>
      <c r="AG24" s="159"/>
      <c r="AH24" s="158">
        <v>30000</v>
      </c>
      <c r="AI24" s="159"/>
      <c r="AJ24" s="158">
        <v>30000</v>
      </c>
      <c r="AK24" s="159"/>
      <c r="AL24" s="158">
        <v>30000</v>
      </c>
      <c r="AM24" s="159"/>
      <c r="AN24" s="158">
        <v>30000</v>
      </c>
      <c r="AO24" s="159"/>
      <c r="AP24" s="158">
        <v>30000</v>
      </c>
      <c r="AQ24" s="159"/>
      <c r="AR24" s="158">
        <v>30000</v>
      </c>
      <c r="AS24" s="159"/>
    </row>
    <row r="25" s="1" customFormat="1" ht="56" customHeight="1" spans="1:49">
      <c r="A25" s="159" t="s">
        <v>90</v>
      </c>
      <c r="B25" s="158">
        <v>211192.53</v>
      </c>
      <c r="C25" s="159"/>
      <c r="D25" s="158">
        <f>K9</f>
        <v>392378.47</v>
      </c>
      <c r="E25" s="159" t="s">
        <v>91</v>
      </c>
      <c r="F25" s="158">
        <f>200000+50000</f>
        <v>250000</v>
      </c>
      <c r="G25" s="160" t="s">
        <v>92</v>
      </c>
      <c r="H25" s="158">
        <f t="shared" ref="H25:L25" si="22">180000</f>
        <v>180000</v>
      </c>
      <c r="I25" s="161" t="s">
        <v>93</v>
      </c>
      <c r="J25" s="158">
        <f t="shared" si="22"/>
        <v>180000</v>
      </c>
      <c r="K25" s="162"/>
      <c r="L25" s="158">
        <f t="shared" si="22"/>
        <v>180000</v>
      </c>
      <c r="M25" s="161"/>
      <c r="N25" s="158">
        <f t="shared" ref="N25:R25" si="23">180000</f>
        <v>180000</v>
      </c>
      <c r="O25" s="161"/>
      <c r="P25" s="158">
        <f t="shared" si="23"/>
        <v>180000</v>
      </c>
      <c r="Q25" s="161"/>
      <c r="R25" s="158">
        <f t="shared" si="23"/>
        <v>180000</v>
      </c>
      <c r="S25" s="159"/>
      <c r="T25" s="158">
        <v>360000</v>
      </c>
      <c r="U25" s="159"/>
      <c r="V25" s="158">
        <v>270000</v>
      </c>
      <c r="W25" s="159"/>
      <c r="X25" s="158">
        <v>180000</v>
      </c>
      <c r="Y25" s="159"/>
      <c r="Z25" s="158">
        <v>180000</v>
      </c>
      <c r="AA25" s="159"/>
      <c r="AB25" s="158">
        <v>180000</v>
      </c>
      <c r="AC25" s="159"/>
      <c r="AD25" s="158">
        <v>180000</v>
      </c>
      <c r="AE25" s="159"/>
      <c r="AF25" s="158">
        <v>180000</v>
      </c>
      <c r="AG25" s="159"/>
      <c r="AH25" s="158">
        <v>180000</v>
      </c>
      <c r="AI25" s="159"/>
      <c r="AJ25" s="158">
        <v>180000</v>
      </c>
      <c r="AK25" s="159"/>
      <c r="AL25" s="158">
        <v>180000</v>
      </c>
      <c r="AM25" s="159"/>
      <c r="AN25" s="158">
        <v>180000</v>
      </c>
      <c r="AO25" s="159"/>
      <c r="AP25" s="158">
        <v>180000</v>
      </c>
      <c r="AQ25" s="159"/>
      <c r="AR25" s="158">
        <v>270000</v>
      </c>
      <c r="AS25" s="159"/>
    </row>
    <row r="26" s="1" customFormat="1" ht="89" customHeight="1" spans="1:49">
      <c r="A26" s="159" t="s">
        <v>94</v>
      </c>
      <c r="B26" s="158">
        <v>431300</v>
      </c>
      <c r="C26" s="159"/>
      <c r="D26" s="158">
        <f>339206+252500+300000+L9</f>
        <v>916706</v>
      </c>
      <c r="E26" s="159" t="s">
        <v>95</v>
      </c>
      <c r="F26" s="158">
        <f>50000+100000+24000+4500000+160320</f>
        <v>4834320</v>
      </c>
      <c r="G26" s="160" t="s">
        <v>96</v>
      </c>
      <c r="H26" s="158">
        <f>45000+50000+50000</f>
        <v>145000</v>
      </c>
      <c r="I26" s="161" t="s">
        <v>97</v>
      </c>
      <c r="J26" s="158">
        <f>100000+50000</f>
        <v>150000</v>
      </c>
      <c r="K26" s="161" t="s">
        <v>98</v>
      </c>
      <c r="L26" s="164">
        <f>6500+62000+140000+24000+100000+50000</f>
        <v>382500</v>
      </c>
      <c r="M26" s="161" t="s">
        <v>99</v>
      </c>
      <c r="N26" s="161">
        <f>45000+2834+100000+50000+108000</f>
        <v>305834</v>
      </c>
      <c r="O26" s="161" t="s">
        <v>100</v>
      </c>
      <c r="P26" s="158">
        <f>11000+300000+100000+50000+162500</f>
        <v>623500</v>
      </c>
      <c r="Q26" s="161" t="s">
        <v>101</v>
      </c>
      <c r="R26" s="158">
        <f>8600+24000+100000+50000</f>
        <v>182600</v>
      </c>
      <c r="S26" s="159" t="s">
        <v>102</v>
      </c>
      <c r="T26" s="161">
        <f>45000+100000+80000+160320</f>
        <v>385320</v>
      </c>
      <c r="U26" s="159" t="s">
        <v>103</v>
      </c>
      <c r="V26" s="158">
        <f>150000+80000</f>
        <v>230000</v>
      </c>
      <c r="W26" s="159" t="s">
        <v>104</v>
      </c>
      <c r="X26" s="158">
        <f>24000+100000+50000+100000+81944+139000</f>
        <v>494944</v>
      </c>
      <c r="Y26" s="159" t="s">
        <v>105</v>
      </c>
      <c r="Z26" s="158">
        <f>45000+100000+50000</f>
        <v>195000</v>
      </c>
      <c r="AA26" s="159" t="s">
        <v>106</v>
      </c>
      <c r="AB26" s="158">
        <f>339206+162500+300000+20000</f>
        <v>821706</v>
      </c>
      <c r="AC26" s="159" t="s">
        <v>107</v>
      </c>
      <c r="AD26" s="158">
        <f>50000+100000+24000+160320</f>
        <v>334320</v>
      </c>
      <c r="AE26" s="160" t="s">
        <v>96</v>
      </c>
      <c r="AF26" s="158">
        <f>45000+50000+50000</f>
        <v>145000</v>
      </c>
      <c r="AG26" s="161" t="s">
        <v>97</v>
      </c>
      <c r="AH26" s="158">
        <f>100000+50000</f>
        <v>150000</v>
      </c>
      <c r="AI26" s="161" t="s">
        <v>98</v>
      </c>
      <c r="AJ26" s="164">
        <f>6500+62000+139000+24000+100000+50000</f>
        <v>381500</v>
      </c>
      <c r="AK26" s="161" t="s">
        <v>108</v>
      </c>
      <c r="AL26" s="161">
        <f>45000+2834+100000+50000</f>
        <v>197834</v>
      </c>
      <c r="AM26" s="161" t="s">
        <v>109</v>
      </c>
      <c r="AN26" s="158">
        <f>11000+300000+100000+50000</f>
        <v>461000</v>
      </c>
      <c r="AO26" s="161" t="s">
        <v>110</v>
      </c>
      <c r="AP26" s="158">
        <f>8600+24000+100000+50000</f>
        <v>182600</v>
      </c>
      <c r="AQ26" s="159" t="s">
        <v>102</v>
      </c>
      <c r="AR26" s="161">
        <f>45000+100000+80000+160320</f>
        <v>385320</v>
      </c>
      <c r="AS26" s="159" t="s">
        <v>111</v>
      </c>
      <c r="AT26" s="165"/>
      <c r="AU26" s="166"/>
      <c r="AV26" s="165"/>
      <c r="AW26" s="166"/>
    </row>
    <row r="27" s="1" customFormat="1" ht="27.95" customHeight="1" spans="1:49">
      <c r="A27" s="157" t="s">
        <v>112</v>
      </c>
      <c r="B27" s="158">
        <v>1745878.51</v>
      </c>
      <c r="C27" s="157"/>
      <c r="D27" s="158">
        <f>SUM(D20:D26)</f>
        <v>2949244.35</v>
      </c>
      <c r="E27" s="157"/>
      <c r="F27" s="158">
        <f>SUM(F20:F26)</f>
        <v>6247868</v>
      </c>
      <c r="G27" s="160"/>
      <c r="H27" s="158">
        <f>SUM(H20:H26)</f>
        <v>2295000</v>
      </c>
      <c r="I27" s="158"/>
      <c r="J27" s="158">
        <f t="shared" ref="H27:L27" si="24">SUM(J20:J26)</f>
        <v>1910000</v>
      </c>
      <c r="K27" s="162"/>
      <c r="L27" s="158">
        <f t="shared" si="24"/>
        <v>2062500</v>
      </c>
      <c r="M27" s="158"/>
      <c r="N27" s="158">
        <f t="shared" ref="N27:R27" si="25">SUM(N20:N26)</f>
        <v>2045834</v>
      </c>
      <c r="O27" s="158"/>
      <c r="P27" s="158">
        <f t="shared" si="25"/>
        <v>2373500</v>
      </c>
      <c r="Q27" s="158"/>
      <c r="R27" s="158">
        <f t="shared" si="25"/>
        <v>1702600</v>
      </c>
      <c r="S27" s="157"/>
      <c r="T27" s="158">
        <f t="shared" ref="T27:X27" si="26">SUM(T20:T26)</f>
        <v>2445320</v>
      </c>
      <c r="U27" s="157"/>
      <c r="V27" s="158">
        <f t="shared" si="26"/>
        <v>2180000</v>
      </c>
      <c r="W27" s="157"/>
      <c r="X27" s="158">
        <f t="shared" si="26"/>
        <v>2334944</v>
      </c>
      <c r="Y27" s="157"/>
      <c r="Z27" s="158">
        <f t="shared" ref="Z27:AD27" si="27">SUM(Z20:Z26)</f>
        <v>1665000</v>
      </c>
      <c r="AA27" s="157"/>
      <c r="AB27" s="158">
        <f t="shared" si="27"/>
        <v>2291706</v>
      </c>
      <c r="AC27" s="157"/>
      <c r="AD27" s="158">
        <f t="shared" si="27"/>
        <v>1804320</v>
      </c>
      <c r="AE27" s="157"/>
      <c r="AF27" s="158">
        <f t="shared" ref="AF27:AJ27" si="28">SUM(AF20:AF26)</f>
        <v>1615000</v>
      </c>
      <c r="AG27" s="157"/>
      <c r="AH27" s="158">
        <f t="shared" si="28"/>
        <v>1620000</v>
      </c>
      <c r="AI27" s="157"/>
      <c r="AJ27" s="158">
        <f t="shared" si="28"/>
        <v>1851500</v>
      </c>
      <c r="AK27" s="157"/>
      <c r="AL27" s="158">
        <f t="shared" ref="AL27:AP27" si="29">SUM(AL20:AL26)</f>
        <v>1667834</v>
      </c>
      <c r="AM27" s="157"/>
      <c r="AN27" s="158">
        <f t="shared" si="29"/>
        <v>1931000</v>
      </c>
      <c r="AO27" s="157"/>
      <c r="AP27" s="158">
        <f t="shared" si="29"/>
        <v>1742600</v>
      </c>
      <c r="AQ27" s="157"/>
      <c r="AR27" s="158">
        <f>SUM(AR20:AR26)</f>
        <v>2095320</v>
      </c>
      <c r="AS27" s="157"/>
    </row>
    <row r="28" s="1" customFormat="1" ht="27.95" customHeight="1" spans="1:49">
      <c r="A28" s="142" t="s">
        <v>113</v>
      </c>
      <c r="B28" s="143">
        <v>4227701.72</v>
      </c>
      <c r="C28" s="142"/>
      <c r="D28" s="143">
        <f>D16+D19-D27</f>
        <v>3138411.22</v>
      </c>
      <c r="E28" s="142"/>
      <c r="F28" s="142">
        <f>F16+F19-F27</f>
        <v>3708043.22</v>
      </c>
      <c r="G28" s="145"/>
      <c r="H28" s="142">
        <f>H16+H19-H27</f>
        <v>3230543.22</v>
      </c>
      <c r="I28" s="142"/>
      <c r="J28" s="142">
        <f>J16+J19-J27</f>
        <v>3138043.22</v>
      </c>
      <c r="K28" s="146"/>
      <c r="L28" s="142">
        <f>L16+L19-L27</f>
        <v>3133043.22</v>
      </c>
      <c r="M28" s="142"/>
      <c r="N28" s="143">
        <f>N16+N19-N27</f>
        <v>2904709.22</v>
      </c>
      <c r="O28" s="142"/>
      <c r="P28" s="143">
        <f>P16+P19-P27</f>
        <v>2348709.22</v>
      </c>
      <c r="Q28" s="142"/>
      <c r="R28" s="143">
        <f>R16+R19-R27</f>
        <v>2463609.22</v>
      </c>
      <c r="S28" s="142"/>
      <c r="T28" s="143">
        <f>T16+T19-T27</f>
        <v>4208289.22</v>
      </c>
      <c r="U28" s="142"/>
      <c r="V28" s="143">
        <f t="shared" ref="V28:Z28" si="30">V16+V19-V27</f>
        <v>4765789.22</v>
      </c>
      <c r="W28" s="142"/>
      <c r="X28" s="143">
        <f t="shared" si="30"/>
        <v>4255845.22</v>
      </c>
      <c r="Y28" s="142"/>
      <c r="Z28" s="143">
        <f>Z16+Z19-Z27</f>
        <v>4415845.22</v>
      </c>
      <c r="AA28" s="142"/>
      <c r="AB28" s="143">
        <f t="shared" ref="AB28:AF28" si="31">AB16+AB19-AB27</f>
        <v>4539139.22</v>
      </c>
      <c r="AC28" s="142"/>
      <c r="AD28" s="143">
        <f t="shared" si="31"/>
        <v>4559819.22</v>
      </c>
      <c r="AE28" s="142"/>
      <c r="AF28" s="143">
        <f t="shared" si="31"/>
        <v>4769819.22</v>
      </c>
      <c r="AG28" s="142"/>
      <c r="AH28" s="143">
        <f t="shared" ref="AH28:AL28" si="32">AH16+AH19-AH27</f>
        <v>4974819.22</v>
      </c>
      <c r="AI28" s="142"/>
      <c r="AJ28" s="143">
        <f t="shared" si="32"/>
        <v>4948319.22</v>
      </c>
      <c r="AK28" s="142"/>
      <c r="AL28" s="143">
        <f t="shared" si="32"/>
        <v>5105485.22</v>
      </c>
      <c r="AM28" s="142"/>
      <c r="AN28" s="143">
        <f t="shared" ref="AN28:AR28" si="33">AN16+AN19-AN27</f>
        <v>4999485.22</v>
      </c>
      <c r="AO28" s="142"/>
      <c r="AP28" s="143">
        <f t="shared" si="33"/>
        <v>5081885.22</v>
      </c>
      <c r="AQ28" s="142"/>
      <c r="AR28" s="143">
        <f t="shared" si="33"/>
        <v>5836565.22</v>
      </c>
      <c r="AS28" s="142"/>
    </row>
    <row r="29" s="1" customFormat="1" ht="27.95" customHeight="1" spans="1:49">
      <c r="A29" s="167"/>
      <c r="B29" s="167"/>
      <c r="C29" s="167"/>
      <c r="D29" s="167"/>
      <c r="E29" s="167"/>
      <c r="F29" s="167"/>
      <c r="G29" s="167"/>
      <c r="H29" s="167"/>
      <c r="I29" s="167"/>
      <c r="J29" s="167"/>
      <c r="K29" s="167"/>
      <c r="L29" s="168"/>
      <c r="M29" s="168"/>
      <c r="N29" s="168"/>
      <c r="O29" s="168"/>
      <c r="P29" s="168"/>
      <c r="Q29" s="168"/>
      <c r="R29" s="168"/>
      <c r="S29" s="168"/>
      <c r="T29" s="168"/>
      <c r="U29" s="168"/>
      <c r="V29" s="168"/>
      <c r="W29" s="168"/>
      <c r="X29" s="168"/>
      <c r="Y29" s="168"/>
      <c r="Z29" s="76"/>
      <c r="AA29" s="169"/>
      <c r="AB29" s="129"/>
    </row>
    <row r="30" s="1" customFormat="1" ht="27.95" customHeight="1" spans="1:49">
      <c r="L30" s="76"/>
      <c r="M30" s="76"/>
      <c r="N30" s="76"/>
      <c r="O30" s="76"/>
      <c r="P30" s="76"/>
      <c r="Q30" s="76"/>
      <c r="R30" s="76"/>
      <c r="S30" s="76"/>
      <c r="T30" s="76"/>
      <c r="U30" s="76"/>
      <c r="V30" s="76"/>
      <c r="W30" s="76"/>
      <c r="X30" s="76"/>
      <c r="Y30" s="76"/>
      <c r="Z30" s="76"/>
      <c r="AA30" s="169"/>
      <c r="AB30" s="129"/>
    </row>
    <row r="31" s="1" customFormat="1" ht="27.95" customHeight="1" spans="1:49">
      <c r="L31" s="76"/>
      <c r="M31" s="76"/>
      <c r="N31" s="76"/>
      <c r="O31" s="76"/>
      <c r="P31" s="76"/>
      <c r="Q31" s="76"/>
      <c r="R31" s="76"/>
      <c r="S31" s="76"/>
      <c r="T31" s="76"/>
      <c r="U31" s="76"/>
      <c r="V31" s="76"/>
      <c r="W31" s="76"/>
      <c r="X31" s="76"/>
      <c r="Y31" s="76"/>
      <c r="Z31" s="76"/>
      <c r="AA31" s="169"/>
      <c r="AB31" s="129"/>
    </row>
    <row r="32" s="1" customFormat="1" ht="27.95" customHeight="1" spans="1:49">
      <c r="L32" s="76"/>
      <c r="M32" s="76"/>
      <c r="N32" s="76"/>
      <c r="O32" s="76"/>
      <c r="P32" s="76"/>
      <c r="Q32" s="76"/>
      <c r="R32" s="76"/>
      <c r="S32" s="76"/>
      <c r="T32" s="76"/>
      <c r="U32" s="76"/>
      <c r="V32" s="76"/>
      <c r="W32" s="76"/>
      <c r="X32" s="76"/>
      <c r="Y32" s="76"/>
      <c r="Z32" s="76"/>
      <c r="AA32" s="169"/>
      <c r="AB32" s="129"/>
    </row>
    <row r="33" s="1" customFormat="1" ht="27.95" customHeight="1" spans="12:27">
      <c r="L33" s="76"/>
      <c r="M33" s="76"/>
      <c r="N33" s="76"/>
      <c r="O33" s="76"/>
      <c r="P33" s="76"/>
      <c r="Q33" s="76"/>
      <c r="R33" s="76"/>
      <c r="S33" s="76"/>
      <c r="T33" s="76"/>
      <c r="U33" s="76"/>
      <c r="V33" s="76"/>
      <c r="W33" s="76"/>
      <c r="X33" s="76"/>
      <c r="Y33" s="76"/>
      <c r="Z33" s="76"/>
      <c r="AA33" s="76"/>
    </row>
    <row r="34" s="1" customFormat="1" ht="27.95" customHeight="1" spans="12:27">
      <c r="L34" s="76"/>
      <c r="M34" s="76"/>
      <c r="N34" s="76"/>
      <c r="O34" s="76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  <c r="AA34" s="76"/>
    </row>
    <row r="35" s="1" customFormat="1" ht="27.95" customHeight="1" spans="12:27"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</row>
    <row r="36" s="1" customFormat="1" ht="27.95" customHeight="1" spans="12:27">
      <c r="L36" s="76"/>
      <c r="M36" s="76"/>
      <c r="N36" s="76"/>
      <c r="O36" s="76"/>
      <c r="P36" s="76"/>
      <c r="Q36" s="76"/>
      <c r="R36" s="76"/>
      <c r="S36" s="76"/>
      <c r="T36" s="76"/>
      <c r="U36" s="76"/>
      <c r="V36" s="76"/>
      <c r="W36" s="76"/>
      <c r="X36" s="76"/>
      <c r="Y36" s="76"/>
      <c r="Z36" s="76"/>
      <c r="AA36" s="76"/>
    </row>
    <row r="37" s="1" customFormat="1" ht="27.95" customHeight="1" spans="12:27">
      <c r="L37" s="76"/>
      <c r="M37" s="76"/>
      <c r="N37" s="76"/>
      <c r="O37" s="76"/>
      <c r="P37" s="76"/>
      <c r="Q37" s="76"/>
      <c r="R37" s="76"/>
      <c r="S37" s="76"/>
      <c r="T37" s="76"/>
      <c r="U37" s="76"/>
      <c r="V37" s="76"/>
      <c r="W37" s="76"/>
      <c r="X37" s="76"/>
      <c r="Y37" s="76"/>
      <c r="Z37" s="76"/>
      <c r="AA37" s="76"/>
    </row>
    <row r="38" s="1" customFormat="1" ht="27.95" customHeight="1" spans="12:27">
      <c r="L38" s="76"/>
      <c r="M38" s="76"/>
      <c r="N38" s="76"/>
      <c r="O38" s="76"/>
      <c r="P38" s="76"/>
      <c r="Q38" s="76"/>
      <c r="R38" s="76"/>
      <c r="S38" s="76"/>
      <c r="T38" s="76"/>
      <c r="U38" s="76"/>
      <c r="V38" s="76"/>
      <c r="W38" s="76"/>
      <c r="X38" s="76"/>
      <c r="Y38" s="76"/>
      <c r="Z38" s="76"/>
      <c r="AA38" s="76"/>
    </row>
    <row r="39" s="1" customFormat="1" ht="27.95" customHeight="1" spans="12:27">
      <c r="L39" s="76"/>
      <c r="M39" s="76"/>
      <c r="N39" s="76"/>
      <c r="O39" s="76"/>
      <c r="P39" s="76"/>
      <c r="Q39" s="76"/>
      <c r="R39" s="76"/>
      <c r="S39" s="76"/>
      <c r="T39" s="76"/>
      <c r="U39" s="76"/>
      <c r="V39" s="76"/>
      <c r="W39" s="76"/>
      <c r="X39" s="76"/>
      <c r="Y39" s="76"/>
      <c r="Z39" s="76"/>
      <c r="AA39" s="76"/>
    </row>
    <row r="40" s="1" customFormat="1" ht="27.95" customHeight="1" spans="12:27">
      <c r="L40" s="76"/>
      <c r="M40" s="76"/>
      <c r="N40" s="76"/>
      <c r="O40" s="76"/>
      <c r="P40" s="76"/>
      <c r="Q40" s="76"/>
      <c r="R40" s="76"/>
      <c r="S40" s="76"/>
      <c r="T40" s="76"/>
      <c r="U40" s="76"/>
      <c r="V40" s="76"/>
      <c r="W40" s="76"/>
      <c r="X40" s="76"/>
      <c r="Y40" s="76"/>
      <c r="Z40" s="76"/>
      <c r="AA40" s="76"/>
    </row>
    <row r="41" s="1" customFormat="1" ht="27.95" customHeight="1" spans="12:27">
      <c r="L41" s="76"/>
      <c r="M41" s="76"/>
      <c r="N41" s="76"/>
      <c r="O41" s="76"/>
      <c r="P41" s="76"/>
      <c r="Q41" s="76"/>
      <c r="R41" s="76"/>
      <c r="S41" s="76"/>
      <c r="T41" s="76"/>
      <c r="U41" s="76"/>
      <c r="V41" s="76"/>
      <c r="W41" s="76"/>
      <c r="X41" s="76"/>
      <c r="Y41" s="76"/>
      <c r="Z41" s="76"/>
      <c r="AA41" s="76"/>
    </row>
    <row r="42" s="1" customFormat="1" ht="27.95" customHeight="1" spans="12:27">
      <c r="L42" s="76"/>
      <c r="M42" s="76"/>
      <c r="N42" s="76"/>
      <c r="O42" s="76"/>
      <c r="P42" s="76"/>
      <c r="Q42" s="76"/>
      <c r="R42" s="76"/>
      <c r="S42" s="76"/>
      <c r="T42" s="76"/>
      <c r="U42" s="76"/>
      <c r="V42" s="76"/>
      <c r="W42" s="76"/>
      <c r="X42" s="76"/>
      <c r="Y42" s="76"/>
      <c r="Z42" s="76"/>
      <c r="AA42" s="76"/>
    </row>
    <row r="43" s="1" customFormat="1" ht="27.95" customHeight="1" spans="12:27">
      <c r="L43" s="76"/>
      <c r="M43" s="76"/>
      <c r="N43" s="76"/>
      <c r="O43" s="76"/>
      <c r="P43" s="76"/>
      <c r="Q43" s="76"/>
      <c r="R43" s="76"/>
      <c r="S43" s="76"/>
      <c r="T43" s="76"/>
      <c r="U43" s="76"/>
      <c r="V43" s="76"/>
      <c r="W43" s="76"/>
      <c r="X43" s="76"/>
      <c r="Y43" s="76"/>
      <c r="Z43" s="76"/>
      <c r="AA43" s="76"/>
    </row>
    <row r="44" s="1" customFormat="1" ht="27.95" customHeight="1" spans="12:27"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76"/>
      <c r="W44" s="76"/>
      <c r="X44" s="76"/>
      <c r="Y44" s="76"/>
      <c r="Z44" s="76"/>
      <c r="AA44" s="76"/>
    </row>
    <row r="45" s="1" customFormat="1" ht="27.95" customHeight="1" spans="12:27">
      <c r="L45" s="76"/>
      <c r="M45" s="76"/>
      <c r="N45" s="76"/>
      <c r="O45" s="76"/>
      <c r="P45" s="76"/>
      <c r="Q45" s="76"/>
      <c r="R45" s="76"/>
      <c r="S45" s="76"/>
      <c r="T45" s="76"/>
      <c r="U45" s="76"/>
      <c r="V45" s="76"/>
      <c r="W45" s="76"/>
      <c r="X45" s="76"/>
      <c r="Y45" s="76"/>
      <c r="Z45" s="76"/>
      <c r="AA45" s="76"/>
    </row>
    <row r="46" s="1" customFormat="1" ht="27.95" customHeight="1" spans="12:27">
      <c r="L46" s="76"/>
      <c r="M46" s="76"/>
      <c r="N46" s="76"/>
      <c r="O46" s="76"/>
      <c r="P46" s="76"/>
      <c r="Q46" s="76"/>
      <c r="R46" s="76"/>
      <c r="S46" s="76"/>
      <c r="T46" s="76"/>
      <c r="U46" s="76"/>
      <c r="V46" s="76"/>
      <c r="W46" s="76"/>
      <c r="X46" s="76"/>
      <c r="Y46" s="76"/>
      <c r="Z46" s="76"/>
      <c r="AA46" s="76"/>
    </row>
    <row r="47" s="1" customFormat="1" ht="27.95" customHeight="1" spans="12:27">
      <c r="L47" s="76"/>
      <c r="M47" s="76"/>
      <c r="N47" s="76"/>
      <c r="O47" s="76"/>
      <c r="P47" s="76"/>
      <c r="Q47" s="76"/>
      <c r="R47" s="76"/>
      <c r="S47" s="76"/>
      <c r="T47" s="76"/>
      <c r="U47" s="76"/>
      <c r="V47" s="76"/>
      <c r="W47" s="76"/>
      <c r="X47" s="76"/>
      <c r="Y47" s="76"/>
      <c r="Z47" s="76"/>
      <c r="AA47" s="76"/>
    </row>
    <row r="48" s="1" customFormat="1" ht="27.95" customHeight="1" spans="12:27">
      <c r="L48" s="76"/>
      <c r="M48" s="76"/>
      <c r="N48" s="76"/>
      <c r="O48" s="76"/>
      <c r="P48" s="76"/>
      <c r="Q48" s="76"/>
      <c r="R48" s="76"/>
      <c r="S48" s="76"/>
      <c r="T48" s="76"/>
      <c r="U48" s="76"/>
      <c r="V48" s="76"/>
      <c r="W48" s="76"/>
      <c r="X48" s="76"/>
      <c r="Y48" s="76"/>
      <c r="Z48" s="76"/>
      <c r="AA48" s="76"/>
    </row>
    <row r="49" s="1" customFormat="1" ht="27.95" customHeight="1" spans="12:27">
      <c r="L49" s="76"/>
      <c r="M49" s="76"/>
      <c r="N49" s="76"/>
      <c r="O49" s="76"/>
      <c r="P49" s="76"/>
      <c r="Q49" s="76"/>
      <c r="R49" s="76"/>
      <c r="S49" s="76"/>
      <c r="T49" s="76"/>
      <c r="U49" s="76"/>
      <c r="V49" s="76"/>
      <c r="W49" s="76"/>
      <c r="X49" s="76"/>
      <c r="Y49" s="76"/>
      <c r="Z49" s="76"/>
      <c r="AA49" s="76"/>
    </row>
    <row r="50" s="1" customFormat="1" ht="27.95" customHeight="1" spans="12:27">
      <c r="L50" s="76"/>
      <c r="M50" s="76"/>
      <c r="N50" s="76"/>
      <c r="O50" s="76"/>
      <c r="P50" s="76"/>
      <c r="Q50" s="76"/>
      <c r="R50" s="76"/>
      <c r="S50" s="76"/>
      <c r="T50" s="76"/>
      <c r="U50" s="76"/>
      <c r="V50" s="76"/>
      <c r="W50" s="76"/>
      <c r="X50" s="76"/>
      <c r="Y50" s="76"/>
      <c r="Z50" s="76"/>
      <c r="AA50" s="76"/>
    </row>
    <row r="51" s="1" customFormat="1" ht="27.95" customHeight="1" spans="12:27">
      <c r="L51" s="76"/>
      <c r="M51" s="76"/>
      <c r="N51" s="76"/>
      <c r="O51" s="76"/>
      <c r="P51" s="76"/>
      <c r="Q51" s="76"/>
      <c r="R51" s="76"/>
      <c r="S51" s="76"/>
      <c r="T51" s="76"/>
      <c r="U51" s="76"/>
      <c r="V51" s="76"/>
      <c r="W51" s="76"/>
      <c r="X51" s="76"/>
      <c r="Y51" s="76"/>
      <c r="Z51" s="76"/>
      <c r="AA51" s="76"/>
    </row>
    <row r="52" s="1" customFormat="1" ht="27.95" customHeight="1" spans="12:27">
      <c r="L52" s="76"/>
      <c r="M52" s="76"/>
      <c r="N52" s="76"/>
      <c r="O52" s="76"/>
      <c r="P52" s="76"/>
      <c r="Q52" s="76"/>
      <c r="R52" s="76"/>
      <c r="S52" s="76"/>
      <c r="T52" s="76"/>
      <c r="U52" s="76"/>
      <c r="V52" s="76"/>
      <c r="W52" s="76"/>
      <c r="X52" s="76"/>
      <c r="Y52" s="76"/>
      <c r="Z52" s="76"/>
      <c r="AA52" s="76"/>
    </row>
    <row r="53" s="1" customFormat="1" ht="27.95" customHeight="1" spans="12:27">
      <c r="L53" s="76"/>
      <c r="M53" s="76"/>
      <c r="N53" s="76"/>
      <c r="O53" s="76"/>
      <c r="P53" s="76"/>
      <c r="Q53" s="76"/>
      <c r="R53" s="76"/>
      <c r="S53" s="76"/>
      <c r="T53" s="76"/>
      <c r="U53" s="76"/>
      <c r="V53" s="76"/>
      <c r="W53" s="76"/>
      <c r="X53" s="76"/>
      <c r="Y53" s="76"/>
      <c r="Z53" s="76"/>
      <c r="AA53" s="76"/>
    </row>
    <row r="54" s="1" customFormat="1" ht="27.95" customHeight="1" spans="12:27">
      <c r="L54" s="76"/>
      <c r="M54" s="76"/>
      <c r="N54" s="76"/>
      <c r="O54" s="76"/>
      <c r="P54" s="76"/>
      <c r="Q54" s="76"/>
      <c r="R54" s="76"/>
      <c r="S54" s="76"/>
      <c r="T54" s="76"/>
      <c r="U54" s="76"/>
      <c r="V54" s="76"/>
      <c r="W54" s="76"/>
      <c r="X54" s="76"/>
      <c r="Y54" s="76"/>
      <c r="Z54" s="76"/>
      <c r="AA54" s="76"/>
    </row>
    <row r="55" s="1" customFormat="1" ht="27.95" customHeight="1" spans="12:27">
      <c r="L55" s="76"/>
      <c r="M55" s="76"/>
      <c r="N55" s="76"/>
      <c r="O55" s="76"/>
      <c r="P55" s="76"/>
      <c r="Q55" s="76"/>
      <c r="R55" s="76"/>
      <c r="S55" s="76"/>
      <c r="T55" s="76"/>
      <c r="U55" s="76"/>
      <c r="V55" s="76"/>
      <c r="W55" s="76"/>
      <c r="X55" s="76"/>
      <c r="Y55" s="76"/>
      <c r="Z55" s="76"/>
      <c r="AA55" s="76"/>
    </row>
    <row r="56" s="1" customFormat="1" ht="27.95" customHeight="1" spans="12:27">
      <c r="L56" s="76"/>
      <c r="M56" s="76"/>
      <c r="N56" s="76"/>
      <c r="O56" s="76"/>
      <c r="P56" s="76"/>
      <c r="Q56" s="76"/>
      <c r="R56" s="76"/>
      <c r="S56" s="76"/>
      <c r="T56" s="76"/>
      <c r="U56" s="76"/>
      <c r="V56" s="76"/>
      <c r="W56" s="76"/>
      <c r="X56" s="76"/>
      <c r="Y56" s="76"/>
      <c r="Z56" s="76"/>
      <c r="AA56" s="76"/>
    </row>
    <row r="57" s="1" customFormat="1" ht="27.95" customHeight="1" spans="12:27">
      <c r="L57" s="76"/>
      <c r="M57" s="76"/>
      <c r="N57" s="76"/>
      <c r="O57" s="76"/>
      <c r="P57" s="76"/>
      <c r="Q57" s="76"/>
      <c r="R57" s="76"/>
      <c r="S57" s="76"/>
      <c r="T57" s="76"/>
      <c r="U57" s="76"/>
      <c r="V57" s="76"/>
      <c r="W57" s="76"/>
      <c r="X57" s="76"/>
      <c r="Y57" s="76"/>
      <c r="Z57" s="76"/>
      <c r="AA57" s="76"/>
    </row>
    <row r="58" s="1" customFormat="1" ht="27.95" customHeight="1" spans="12:27">
      <c r="L58" s="76"/>
      <c r="M58" s="76"/>
      <c r="N58" s="76"/>
      <c r="O58" s="76"/>
      <c r="P58" s="76"/>
      <c r="Q58" s="76"/>
      <c r="R58" s="76"/>
      <c r="S58" s="76"/>
      <c r="T58" s="76"/>
      <c r="U58" s="76"/>
      <c r="V58" s="76"/>
      <c r="W58" s="76"/>
      <c r="X58" s="76"/>
      <c r="Y58" s="76"/>
      <c r="Z58" s="76"/>
      <c r="AA58" s="76"/>
    </row>
    <row r="59" s="1" customFormat="1" ht="27.95" customHeight="1" spans="12:27">
      <c r="L59" s="76"/>
      <c r="M59" s="76"/>
      <c r="N59" s="76"/>
      <c r="O59" s="76"/>
      <c r="P59" s="76"/>
      <c r="Q59" s="76"/>
      <c r="R59" s="76"/>
      <c r="S59" s="76"/>
      <c r="T59" s="76"/>
      <c r="U59" s="76"/>
      <c r="V59" s="76"/>
      <c r="W59" s="76"/>
      <c r="X59" s="76"/>
      <c r="Y59" s="76"/>
      <c r="Z59" s="76"/>
      <c r="AA59" s="76"/>
    </row>
    <row r="60" s="1" customFormat="1" ht="27.95" customHeight="1" spans="12:27">
      <c r="L60" s="76"/>
      <c r="M60" s="76"/>
      <c r="N60" s="76"/>
      <c r="O60" s="76"/>
      <c r="P60" s="76"/>
      <c r="Q60" s="76"/>
      <c r="R60" s="76"/>
      <c r="S60" s="76"/>
      <c r="T60" s="76"/>
      <c r="U60" s="76"/>
      <c r="V60" s="76"/>
      <c r="W60" s="76"/>
      <c r="X60" s="76"/>
      <c r="Y60" s="76"/>
      <c r="Z60" s="76"/>
      <c r="AA60" s="76"/>
    </row>
    <row r="61" s="1" customFormat="1" ht="27.95" customHeight="1" spans="12:27">
      <c r="L61" s="76"/>
      <c r="M61" s="76"/>
      <c r="N61" s="76"/>
      <c r="O61" s="76"/>
      <c r="P61" s="76"/>
      <c r="Q61" s="76"/>
      <c r="R61" s="76"/>
      <c r="S61" s="76"/>
      <c r="T61" s="76"/>
      <c r="U61" s="76"/>
      <c r="V61" s="76"/>
      <c r="W61" s="76"/>
      <c r="X61" s="76"/>
      <c r="Y61" s="76"/>
      <c r="Z61" s="76"/>
      <c r="AA61" s="76"/>
    </row>
    <row r="62" s="1" customFormat="1" ht="27.95" customHeight="1" spans="12:27">
      <c r="L62" s="76"/>
      <c r="M62" s="76"/>
      <c r="N62" s="76"/>
      <c r="O62" s="76"/>
      <c r="P62" s="76"/>
      <c r="Q62" s="76"/>
      <c r="R62" s="76"/>
      <c r="S62" s="76"/>
      <c r="T62" s="76"/>
      <c r="U62" s="76"/>
      <c r="V62" s="76"/>
      <c r="W62" s="76"/>
      <c r="X62" s="76"/>
      <c r="Y62" s="76"/>
      <c r="Z62" s="76"/>
      <c r="AA62" s="76"/>
    </row>
    <row r="63" s="1" customFormat="1" ht="27.95" customHeight="1" spans="12:27">
      <c r="L63" s="76"/>
      <c r="M63" s="76"/>
      <c r="N63" s="76"/>
      <c r="O63" s="76"/>
      <c r="P63" s="76"/>
      <c r="Q63" s="76"/>
      <c r="R63" s="76"/>
      <c r="S63" s="76"/>
      <c r="T63" s="76"/>
      <c r="U63" s="76"/>
      <c r="V63" s="76"/>
      <c r="W63" s="76"/>
      <c r="X63" s="76"/>
      <c r="Y63" s="76"/>
      <c r="Z63" s="76"/>
      <c r="AA63" s="76"/>
    </row>
    <row r="64" s="1" customFormat="1" ht="27.95" customHeight="1" spans="12:27">
      <c r="L64" s="76"/>
      <c r="M64" s="76"/>
      <c r="N64" s="76"/>
      <c r="O64" s="76"/>
      <c r="P64" s="76"/>
      <c r="Q64" s="76"/>
      <c r="R64" s="76"/>
      <c r="S64" s="76"/>
      <c r="T64" s="76"/>
      <c r="U64" s="76"/>
      <c r="V64" s="76"/>
      <c r="W64" s="76"/>
      <c r="X64" s="76"/>
      <c r="Y64" s="76"/>
      <c r="Z64" s="76"/>
      <c r="AA64" s="76"/>
    </row>
    <row r="65" s="1" customFormat="1" ht="27.95" customHeight="1" spans="12:27">
      <c r="L65" s="76"/>
      <c r="M65" s="76"/>
      <c r="N65" s="76"/>
      <c r="O65" s="76"/>
      <c r="P65" s="76"/>
      <c r="Q65" s="76"/>
      <c r="R65" s="76"/>
      <c r="S65" s="76"/>
      <c r="T65" s="76"/>
      <c r="U65" s="76"/>
      <c r="V65" s="76"/>
      <c r="W65" s="76"/>
      <c r="X65" s="76"/>
      <c r="Y65" s="76"/>
      <c r="Z65" s="76"/>
      <c r="AA65" s="76"/>
    </row>
    <row r="66" s="1" customFormat="1" ht="27.95" customHeight="1" spans="12:27">
      <c r="L66" s="76"/>
      <c r="M66" s="76"/>
      <c r="N66" s="76"/>
      <c r="O66" s="76"/>
      <c r="P66" s="76"/>
      <c r="Q66" s="76"/>
      <c r="R66" s="76"/>
      <c r="S66" s="76"/>
      <c r="T66" s="76"/>
      <c r="U66" s="76"/>
      <c r="V66" s="76"/>
      <c r="W66" s="76"/>
      <c r="X66" s="76"/>
      <c r="Y66" s="76"/>
      <c r="Z66" s="76"/>
      <c r="AA66" s="76"/>
    </row>
    <row r="67" s="1" customFormat="1" ht="27.95" customHeight="1" spans="12:27">
      <c r="L67" s="76"/>
      <c r="M67" s="76"/>
      <c r="N67" s="76"/>
      <c r="O67" s="76"/>
      <c r="P67" s="76"/>
      <c r="Q67" s="76"/>
      <c r="R67" s="76"/>
      <c r="S67" s="76"/>
      <c r="T67" s="76"/>
      <c r="U67" s="76"/>
      <c r="V67" s="76"/>
      <c r="W67" s="76"/>
      <c r="X67" s="76"/>
      <c r="Y67" s="76"/>
      <c r="Z67" s="76"/>
      <c r="AA67" s="76"/>
    </row>
    <row r="68" s="1" customFormat="1" ht="27.95" customHeight="1" spans="12:27">
      <c r="L68" s="76"/>
      <c r="M68" s="76"/>
      <c r="N68" s="76"/>
      <c r="O68" s="76"/>
      <c r="P68" s="76"/>
      <c r="Q68" s="76"/>
      <c r="R68" s="76"/>
      <c r="S68" s="76"/>
      <c r="T68" s="76"/>
      <c r="U68" s="76"/>
      <c r="V68" s="76"/>
      <c r="W68" s="76"/>
      <c r="X68" s="76"/>
      <c r="Y68" s="76"/>
      <c r="Z68" s="76"/>
      <c r="AA68" s="76"/>
    </row>
    <row r="69" s="1" customFormat="1" ht="27.95" customHeight="1" spans="12:27">
      <c r="L69" s="76"/>
      <c r="M69" s="76"/>
      <c r="N69" s="76"/>
      <c r="O69" s="76"/>
      <c r="P69" s="76"/>
      <c r="Q69" s="76"/>
      <c r="R69" s="76"/>
      <c r="S69" s="76"/>
      <c r="T69" s="76"/>
      <c r="U69" s="76"/>
      <c r="V69" s="76"/>
      <c r="W69" s="76"/>
      <c r="X69" s="76"/>
      <c r="Y69" s="76"/>
      <c r="Z69" s="76"/>
      <c r="AA69" s="76"/>
    </row>
    <row r="70" s="1" customFormat="1" ht="27.95" customHeight="1" spans="12:27">
      <c r="L70" s="76"/>
      <c r="M70" s="76"/>
      <c r="N70" s="76"/>
      <c r="O70" s="76"/>
      <c r="P70" s="76"/>
      <c r="Q70" s="76"/>
      <c r="R70" s="76"/>
      <c r="S70" s="76"/>
      <c r="T70" s="76"/>
      <c r="U70" s="76"/>
      <c r="V70" s="76"/>
      <c r="W70" s="76"/>
      <c r="X70" s="76"/>
      <c r="Y70" s="76"/>
      <c r="Z70" s="76"/>
      <c r="AA70" s="76"/>
    </row>
    <row r="71" s="1" customFormat="1" ht="27.95" customHeight="1" spans="12:27">
      <c r="L71" s="76"/>
      <c r="M71" s="76"/>
      <c r="N71" s="76"/>
      <c r="O71" s="76"/>
      <c r="P71" s="76"/>
      <c r="Q71" s="76"/>
      <c r="R71" s="76"/>
      <c r="S71" s="76"/>
      <c r="T71" s="76"/>
      <c r="U71" s="76"/>
      <c r="V71" s="76"/>
      <c r="W71" s="76"/>
      <c r="X71" s="76"/>
      <c r="Y71" s="76"/>
      <c r="Z71" s="76"/>
      <c r="AA71" s="76"/>
    </row>
    <row r="72" s="1" customFormat="1" ht="27.95" customHeight="1" spans="12:27">
      <c r="L72" s="76"/>
      <c r="M72" s="76"/>
      <c r="N72" s="76"/>
      <c r="O72" s="76"/>
      <c r="P72" s="76"/>
      <c r="Q72" s="76"/>
      <c r="R72" s="76"/>
      <c r="S72" s="76"/>
      <c r="T72" s="76"/>
      <c r="U72" s="76"/>
      <c r="V72" s="76"/>
      <c r="W72" s="76"/>
      <c r="X72" s="76"/>
      <c r="Y72" s="76"/>
      <c r="Z72" s="76"/>
      <c r="AA72" s="76"/>
    </row>
    <row r="73" s="1" customFormat="1" ht="27.95" customHeight="1" spans="12:27">
      <c r="L73" s="76"/>
      <c r="M73" s="76"/>
      <c r="N73" s="76"/>
      <c r="O73" s="76"/>
      <c r="P73" s="76"/>
      <c r="Q73" s="76"/>
      <c r="R73" s="76"/>
      <c r="S73" s="76"/>
      <c r="T73" s="76"/>
      <c r="U73" s="76"/>
      <c r="V73" s="76"/>
      <c r="W73" s="76"/>
      <c r="X73" s="76"/>
      <c r="Y73" s="76"/>
      <c r="Z73" s="76"/>
      <c r="AA73" s="76"/>
    </row>
    <row r="74" s="1" customFormat="1" ht="27.95" customHeight="1" spans="12:27">
      <c r="L74" s="76"/>
      <c r="M74" s="76"/>
      <c r="N74" s="76"/>
      <c r="O74" s="76"/>
      <c r="P74" s="76"/>
      <c r="Q74" s="76"/>
      <c r="R74" s="76"/>
      <c r="S74" s="76"/>
      <c r="T74" s="76"/>
      <c r="U74" s="76"/>
      <c r="V74" s="76"/>
      <c r="W74" s="76"/>
      <c r="X74" s="76"/>
      <c r="Y74" s="76"/>
      <c r="Z74" s="76"/>
      <c r="AA74" s="76"/>
    </row>
    <row r="75" s="1" customFormat="1" ht="27.95" customHeight="1" spans="12:27">
      <c r="L75" s="76"/>
      <c r="M75" s="76"/>
      <c r="N75" s="76"/>
      <c r="O75" s="76"/>
      <c r="P75" s="76"/>
      <c r="Q75" s="76"/>
      <c r="R75" s="76"/>
      <c r="S75" s="76"/>
      <c r="T75" s="76"/>
      <c r="U75" s="76"/>
      <c r="V75" s="76"/>
      <c r="W75" s="76"/>
      <c r="X75" s="76"/>
      <c r="Y75" s="76"/>
      <c r="Z75" s="76"/>
      <c r="AA75" s="76"/>
    </row>
    <row r="76" s="1" customFormat="1" ht="27.95" customHeight="1" spans="12:27">
      <c r="L76" s="76"/>
      <c r="M76" s="76"/>
      <c r="N76" s="76"/>
      <c r="O76" s="76"/>
      <c r="P76" s="76"/>
      <c r="Q76" s="76"/>
      <c r="R76" s="76"/>
      <c r="S76" s="76"/>
      <c r="T76" s="76"/>
      <c r="U76" s="76"/>
      <c r="V76" s="76"/>
      <c r="W76" s="76"/>
      <c r="X76" s="76"/>
      <c r="Y76" s="76"/>
      <c r="Z76" s="76"/>
      <c r="AA76" s="76"/>
    </row>
    <row r="77" s="1" customFormat="1" ht="27.95" customHeight="1" spans="12:27">
      <c r="L77" s="76"/>
      <c r="M77" s="76"/>
      <c r="N77" s="76"/>
      <c r="O77" s="76"/>
      <c r="P77" s="76"/>
      <c r="Q77" s="76"/>
      <c r="R77" s="76"/>
      <c r="S77" s="76"/>
      <c r="T77" s="76"/>
      <c r="U77" s="76"/>
      <c r="V77" s="76"/>
      <c r="W77" s="76"/>
      <c r="X77" s="76"/>
      <c r="Y77" s="76"/>
      <c r="Z77" s="76"/>
      <c r="AA77" s="76"/>
    </row>
    <row r="78" s="1" customFormat="1" ht="27.95" customHeight="1" spans="12:27">
      <c r="L78" s="76"/>
      <c r="M78" s="76"/>
      <c r="N78" s="76"/>
      <c r="O78" s="76"/>
      <c r="P78" s="76"/>
      <c r="Q78" s="76"/>
      <c r="R78" s="76"/>
      <c r="S78" s="76"/>
      <c r="T78" s="76"/>
      <c r="U78" s="76"/>
      <c r="V78" s="76"/>
      <c r="W78" s="76"/>
      <c r="X78" s="76"/>
      <c r="Y78" s="76"/>
      <c r="Z78" s="76"/>
      <c r="AA78" s="76"/>
    </row>
    <row r="79" s="1" customFormat="1" ht="27.95" customHeight="1" spans="12:27">
      <c r="L79" s="76"/>
      <c r="M79" s="76"/>
      <c r="N79" s="76"/>
      <c r="O79" s="76"/>
      <c r="P79" s="76"/>
      <c r="Q79" s="76"/>
      <c r="R79" s="76"/>
      <c r="S79" s="76"/>
      <c r="T79" s="76"/>
      <c r="U79" s="76"/>
      <c r="V79" s="76"/>
      <c r="W79" s="76"/>
      <c r="X79" s="76"/>
      <c r="Y79" s="76"/>
      <c r="Z79" s="76"/>
      <c r="AA79" s="76"/>
    </row>
    <row r="80" s="1" customFormat="1" ht="27.95" customHeight="1" spans="12:27">
      <c r="L80" s="76"/>
      <c r="M80" s="76"/>
      <c r="N80" s="76"/>
      <c r="O80" s="76"/>
      <c r="P80" s="76"/>
      <c r="Q80" s="76"/>
      <c r="R80" s="76"/>
      <c r="S80" s="76"/>
      <c r="T80" s="76"/>
      <c r="U80" s="76"/>
      <c r="V80" s="76"/>
      <c r="W80" s="76"/>
      <c r="X80" s="76"/>
      <c r="Y80" s="76"/>
      <c r="Z80" s="76"/>
      <c r="AA80" s="76"/>
    </row>
    <row r="81" s="1" customFormat="1" ht="27.95" customHeight="1" spans="12:27">
      <c r="L81" s="76"/>
      <c r="M81" s="76"/>
      <c r="N81" s="76"/>
      <c r="O81" s="76"/>
      <c r="P81" s="76"/>
      <c r="Q81" s="76"/>
      <c r="R81" s="76"/>
      <c r="S81" s="76"/>
      <c r="T81" s="76"/>
      <c r="U81" s="76"/>
      <c r="V81" s="76"/>
      <c r="W81" s="76"/>
      <c r="X81" s="76"/>
      <c r="Y81" s="76"/>
      <c r="Z81" s="76"/>
      <c r="AA81" s="76"/>
    </row>
    <row r="82" s="1" customFormat="1" ht="27.95" customHeight="1" spans="12:27">
      <c r="L82" s="76"/>
      <c r="M82" s="76"/>
      <c r="N82" s="76"/>
      <c r="O82" s="76"/>
      <c r="P82" s="76"/>
      <c r="Q82" s="76"/>
      <c r="R82" s="76"/>
      <c r="S82" s="76"/>
      <c r="T82" s="76"/>
      <c r="U82" s="76"/>
      <c r="V82" s="76"/>
      <c r="W82" s="76"/>
      <c r="X82" s="76"/>
      <c r="Y82" s="76"/>
      <c r="Z82" s="76"/>
      <c r="AA82" s="76"/>
    </row>
    <row r="83" s="1" customFormat="1" ht="27.95" customHeight="1" spans="12:27">
      <c r="L83" s="76"/>
      <c r="M83" s="76"/>
      <c r="N83" s="76"/>
      <c r="O83" s="76"/>
      <c r="P83" s="76"/>
      <c r="Q83" s="76"/>
      <c r="R83" s="76"/>
      <c r="S83" s="76"/>
      <c r="T83" s="76"/>
      <c r="U83" s="76"/>
      <c r="V83" s="76"/>
      <c r="W83" s="76"/>
      <c r="X83" s="76"/>
      <c r="Y83" s="76"/>
      <c r="Z83" s="76"/>
      <c r="AA83" s="76"/>
    </row>
    <row r="84" s="1" customFormat="1" ht="27.95" customHeight="1" spans="12:27">
      <c r="L84" s="76"/>
      <c r="M84" s="76"/>
      <c r="N84" s="76"/>
      <c r="O84" s="76"/>
      <c r="P84" s="76"/>
      <c r="Q84" s="76"/>
      <c r="R84" s="76"/>
      <c r="S84" s="76"/>
      <c r="T84" s="76"/>
      <c r="U84" s="76"/>
      <c r="V84" s="76"/>
      <c r="W84" s="76"/>
      <c r="X84" s="76"/>
      <c r="Y84" s="76"/>
      <c r="Z84" s="76"/>
      <c r="AA84" s="76"/>
    </row>
    <row r="85" s="1" customFormat="1" ht="27.95" customHeight="1" spans="12:27">
      <c r="L85" s="76"/>
      <c r="M85" s="76"/>
      <c r="N85" s="76"/>
      <c r="O85" s="76"/>
      <c r="P85" s="76"/>
      <c r="Q85" s="76"/>
      <c r="R85" s="76"/>
      <c r="S85" s="76"/>
      <c r="T85" s="76"/>
      <c r="U85" s="76"/>
      <c r="V85" s="76"/>
      <c r="W85" s="76"/>
      <c r="X85" s="76"/>
      <c r="Y85" s="76"/>
      <c r="Z85" s="76"/>
      <c r="AA85" s="76"/>
    </row>
    <row r="86" s="1" customFormat="1" ht="27.95" customHeight="1" spans="12:27">
      <c r="L86" s="76"/>
      <c r="M86" s="76"/>
      <c r="N86" s="76"/>
      <c r="O86" s="76"/>
      <c r="P86" s="76"/>
      <c r="Q86" s="76"/>
      <c r="R86" s="76"/>
      <c r="S86" s="76"/>
      <c r="T86" s="76"/>
      <c r="U86" s="76"/>
      <c r="V86" s="76"/>
      <c r="W86" s="76"/>
      <c r="X86" s="76"/>
      <c r="Y86" s="76"/>
      <c r="Z86" s="76"/>
      <c r="AA86" s="76"/>
    </row>
    <row r="87" s="1" customFormat="1" ht="27.95" customHeight="1" spans="12:27">
      <c r="L87" s="76"/>
      <c r="M87" s="76"/>
      <c r="N87" s="76"/>
      <c r="O87" s="76"/>
      <c r="P87" s="76"/>
      <c r="Q87" s="76"/>
      <c r="R87" s="76"/>
      <c r="S87" s="76"/>
      <c r="T87" s="76"/>
      <c r="U87" s="76"/>
      <c r="V87" s="76"/>
      <c r="W87" s="76"/>
      <c r="X87" s="76"/>
      <c r="Y87" s="76"/>
      <c r="Z87" s="76"/>
      <c r="AA87" s="76"/>
    </row>
    <row r="88" s="1" customFormat="1" ht="27.95" customHeight="1" spans="12:27">
      <c r="L88" s="76"/>
      <c r="M88" s="76"/>
      <c r="N88" s="76"/>
      <c r="O88" s="76"/>
      <c r="P88" s="76"/>
      <c r="Q88" s="76"/>
      <c r="R88" s="76"/>
      <c r="S88" s="76"/>
      <c r="T88" s="76"/>
      <c r="U88" s="76"/>
      <c r="V88" s="76"/>
      <c r="W88" s="76"/>
      <c r="X88" s="76"/>
      <c r="Y88" s="76"/>
      <c r="Z88" s="76"/>
      <c r="AA88" s="76"/>
    </row>
    <row r="89" s="1" customFormat="1" ht="27.95" customHeight="1" spans="12:27">
      <c r="L89" s="76"/>
      <c r="M89" s="76"/>
      <c r="N89" s="76"/>
      <c r="O89" s="76"/>
      <c r="P89" s="76"/>
      <c r="Q89" s="76"/>
      <c r="R89" s="76"/>
      <c r="S89" s="76"/>
      <c r="T89" s="76"/>
      <c r="U89" s="76"/>
      <c r="V89" s="76"/>
      <c r="W89" s="76"/>
      <c r="X89" s="76"/>
      <c r="Y89" s="76"/>
      <c r="Z89" s="76"/>
      <c r="AA89" s="76"/>
    </row>
    <row r="90" s="1" customFormat="1" ht="27.95" customHeight="1" spans="12:27">
      <c r="L90" s="76"/>
      <c r="M90" s="76"/>
      <c r="N90" s="76"/>
      <c r="O90" s="76"/>
      <c r="P90" s="76"/>
      <c r="Q90" s="76"/>
      <c r="R90" s="76"/>
      <c r="S90" s="76"/>
      <c r="T90" s="76"/>
      <c r="U90" s="76"/>
      <c r="V90" s="76"/>
      <c r="W90" s="76"/>
      <c r="X90" s="76"/>
      <c r="Y90" s="76"/>
      <c r="Z90" s="76"/>
      <c r="AA90" s="76"/>
    </row>
    <row r="91" s="1" customFormat="1" ht="27.95" customHeight="1" spans="12:27">
      <c r="L91" s="76"/>
      <c r="M91" s="76"/>
      <c r="N91" s="76"/>
      <c r="O91" s="76"/>
      <c r="P91" s="76"/>
      <c r="Q91" s="76"/>
      <c r="R91" s="76"/>
      <c r="S91" s="76"/>
      <c r="T91" s="76"/>
      <c r="U91" s="76"/>
      <c r="V91" s="76"/>
      <c r="W91" s="76"/>
      <c r="X91" s="76"/>
      <c r="Y91" s="76"/>
      <c r="Z91" s="76"/>
      <c r="AA91" s="76"/>
    </row>
    <row r="92" s="1" customFormat="1" ht="27.95" customHeight="1" spans="12:27">
      <c r="L92" s="76"/>
      <c r="M92" s="76"/>
      <c r="N92" s="76"/>
      <c r="O92" s="76"/>
      <c r="P92" s="76"/>
      <c r="Q92" s="76"/>
      <c r="R92" s="76"/>
      <c r="S92" s="76"/>
      <c r="T92" s="76"/>
      <c r="U92" s="76"/>
      <c r="V92" s="76"/>
      <c r="W92" s="76"/>
      <c r="X92" s="76"/>
      <c r="Y92" s="76"/>
      <c r="Z92" s="76"/>
      <c r="AA92" s="76"/>
    </row>
    <row r="93" s="1" customFormat="1" ht="27.95" customHeight="1" spans="12:27">
      <c r="L93" s="76"/>
      <c r="M93" s="76"/>
      <c r="N93" s="76"/>
      <c r="O93" s="76"/>
      <c r="P93" s="76"/>
      <c r="Q93" s="76"/>
      <c r="R93" s="76"/>
      <c r="S93" s="76"/>
      <c r="T93" s="76"/>
      <c r="U93" s="76"/>
      <c r="V93" s="76"/>
      <c r="W93" s="76"/>
      <c r="X93" s="76"/>
      <c r="Y93" s="76"/>
      <c r="Z93" s="76"/>
      <c r="AA93" s="76"/>
    </row>
    <row r="94" s="1" customFormat="1" ht="27.95" customHeight="1" spans="12:27">
      <c r="L94" s="76"/>
      <c r="M94" s="76"/>
      <c r="N94" s="76"/>
      <c r="O94" s="76"/>
      <c r="P94" s="76"/>
      <c r="Q94" s="76"/>
      <c r="R94" s="76"/>
      <c r="S94" s="76"/>
      <c r="T94" s="76"/>
      <c r="U94" s="76"/>
      <c r="V94" s="76"/>
      <c r="W94" s="76"/>
      <c r="X94" s="76"/>
      <c r="Y94" s="76"/>
      <c r="Z94" s="76"/>
      <c r="AA94" s="76"/>
    </row>
    <row r="95" s="1" customFormat="1" ht="27.95" customHeight="1" spans="12:27">
      <c r="L95" s="76"/>
      <c r="M95" s="76"/>
      <c r="N95" s="76"/>
      <c r="O95" s="76"/>
      <c r="P95" s="76"/>
      <c r="Q95" s="76"/>
      <c r="R95" s="76"/>
      <c r="S95" s="76"/>
      <c r="T95" s="76"/>
      <c r="U95" s="76"/>
      <c r="V95" s="76"/>
      <c r="W95" s="76"/>
      <c r="X95" s="76"/>
      <c r="Y95" s="76"/>
      <c r="Z95" s="76"/>
      <c r="AA95" s="76"/>
    </row>
    <row r="96" s="1" customFormat="1" ht="27.95" customHeight="1" spans="12:27">
      <c r="L96" s="76"/>
      <c r="M96" s="76"/>
      <c r="N96" s="76"/>
      <c r="O96" s="76"/>
      <c r="P96" s="76"/>
      <c r="Q96" s="76"/>
      <c r="R96" s="76"/>
      <c r="S96" s="76"/>
      <c r="T96" s="76"/>
      <c r="U96" s="76"/>
      <c r="V96" s="76"/>
      <c r="W96" s="76"/>
      <c r="X96" s="76"/>
      <c r="Y96" s="76"/>
      <c r="Z96" s="76"/>
      <c r="AA96" s="76"/>
    </row>
    <row r="97" s="1" customFormat="1" ht="27.95" customHeight="1" spans="12:27">
      <c r="L97" s="76"/>
      <c r="M97" s="76"/>
      <c r="N97" s="76"/>
      <c r="O97" s="76"/>
      <c r="P97" s="76"/>
      <c r="Q97" s="76"/>
      <c r="R97" s="76"/>
      <c r="S97" s="76"/>
      <c r="T97" s="76"/>
      <c r="U97" s="76"/>
      <c r="V97" s="76"/>
      <c r="W97" s="76"/>
      <c r="X97" s="76"/>
      <c r="Y97" s="76"/>
      <c r="Z97" s="76"/>
      <c r="AA97" s="76"/>
    </row>
    <row r="98" s="1" customFormat="1" ht="27.95" customHeight="1" spans="12:27">
      <c r="L98" s="76"/>
      <c r="M98" s="76"/>
      <c r="N98" s="76"/>
      <c r="O98" s="76"/>
      <c r="P98" s="76"/>
      <c r="Q98" s="76"/>
      <c r="R98" s="76"/>
      <c r="S98" s="76"/>
      <c r="T98" s="76"/>
      <c r="U98" s="76"/>
      <c r="V98" s="76"/>
      <c r="W98" s="76"/>
      <c r="X98" s="76"/>
      <c r="Y98" s="76"/>
      <c r="Z98" s="76"/>
      <c r="AA98" s="76"/>
    </row>
    <row r="99" s="1" customFormat="1" ht="27.95" customHeight="1" spans="12:27">
      <c r="L99" s="76"/>
      <c r="M99" s="76"/>
      <c r="N99" s="76"/>
      <c r="O99" s="76"/>
      <c r="P99" s="76"/>
      <c r="Q99" s="76"/>
      <c r="R99" s="76"/>
      <c r="S99" s="76"/>
      <c r="T99" s="76"/>
      <c r="U99" s="76"/>
      <c r="V99" s="76"/>
      <c r="W99" s="76"/>
      <c r="X99" s="76"/>
      <c r="Y99" s="76"/>
      <c r="Z99" s="76"/>
      <c r="AA99" s="76"/>
    </row>
    <row r="100" s="1" customFormat="1" ht="27.95" customHeight="1" spans="12:27">
      <c r="L100" s="76"/>
      <c r="M100" s="76"/>
      <c r="N100" s="76"/>
      <c r="O100" s="76"/>
      <c r="P100" s="76"/>
      <c r="Q100" s="76"/>
      <c r="R100" s="76"/>
      <c r="S100" s="76"/>
      <c r="T100" s="76"/>
      <c r="U100" s="76"/>
      <c r="V100" s="76"/>
      <c r="W100" s="76"/>
      <c r="X100" s="76"/>
      <c r="Y100" s="76"/>
      <c r="Z100" s="76"/>
      <c r="AA100" s="76"/>
    </row>
    <row r="101" s="1" customFormat="1" ht="27.95" customHeight="1" spans="12:27">
      <c r="L101" s="76"/>
      <c r="M101" s="76"/>
      <c r="N101" s="76"/>
      <c r="O101" s="76"/>
      <c r="P101" s="76"/>
      <c r="Q101" s="76"/>
      <c r="R101" s="76"/>
      <c r="S101" s="76"/>
      <c r="T101" s="76"/>
      <c r="U101" s="76"/>
      <c r="V101" s="76"/>
      <c r="W101" s="76"/>
      <c r="X101" s="76"/>
      <c r="Y101" s="76"/>
      <c r="Z101" s="76"/>
      <c r="AA101" s="76"/>
    </row>
    <row r="102" s="1" customFormat="1" ht="27.95" customHeight="1" spans="12:27">
      <c r="L102" s="76"/>
      <c r="M102" s="76"/>
      <c r="N102" s="76"/>
      <c r="O102" s="76"/>
      <c r="P102" s="76"/>
      <c r="Q102" s="76"/>
      <c r="R102" s="76"/>
      <c r="S102" s="76"/>
      <c r="T102" s="76"/>
      <c r="U102" s="76"/>
      <c r="V102" s="76"/>
      <c r="W102" s="76"/>
      <c r="X102" s="76"/>
      <c r="Y102" s="76"/>
      <c r="Z102" s="76"/>
      <c r="AA102" s="76"/>
    </row>
    <row r="103" s="1" customFormat="1" ht="27.95" customHeight="1" spans="12:27">
      <c r="L103" s="76"/>
      <c r="M103" s="76"/>
      <c r="N103" s="76"/>
      <c r="O103" s="76"/>
      <c r="P103" s="76"/>
      <c r="Q103" s="76"/>
      <c r="R103" s="76"/>
      <c r="S103" s="76"/>
      <c r="T103" s="76"/>
      <c r="U103" s="76"/>
      <c r="V103" s="76"/>
      <c r="W103" s="76"/>
      <c r="X103" s="76"/>
      <c r="Y103" s="76"/>
      <c r="Z103" s="76"/>
      <c r="AA103" s="76"/>
    </row>
    <row r="104" s="1" customFormat="1" ht="27.95" customHeight="1" spans="12:27">
      <c r="L104" s="76"/>
      <c r="M104" s="76"/>
      <c r="N104" s="76"/>
      <c r="O104" s="76"/>
      <c r="P104" s="76"/>
      <c r="Q104" s="76"/>
      <c r="R104" s="76"/>
      <c r="S104" s="76"/>
      <c r="T104" s="76"/>
      <c r="U104" s="76"/>
      <c r="V104" s="76"/>
      <c r="W104" s="76"/>
      <c r="X104" s="76"/>
      <c r="Y104" s="76"/>
      <c r="Z104" s="76"/>
      <c r="AA104" s="76"/>
    </row>
    <row r="105" s="1" customFormat="1" ht="27.95" customHeight="1" spans="12:27">
      <c r="L105" s="76"/>
      <c r="M105" s="76"/>
      <c r="N105" s="76"/>
      <c r="O105" s="76"/>
      <c r="P105" s="76"/>
      <c r="Q105" s="76"/>
      <c r="R105" s="76"/>
      <c r="S105" s="76"/>
      <c r="T105" s="76"/>
      <c r="U105" s="76"/>
      <c r="V105" s="76"/>
      <c r="W105" s="76"/>
      <c r="X105" s="76"/>
      <c r="Y105" s="76"/>
      <c r="Z105" s="76"/>
      <c r="AA105" s="76"/>
    </row>
    <row r="106" s="1" customFormat="1" ht="27.95" customHeight="1" spans="12:27">
      <c r="L106" s="76"/>
      <c r="M106" s="76"/>
      <c r="N106" s="76"/>
      <c r="O106" s="76"/>
      <c r="P106" s="76"/>
      <c r="Q106" s="76"/>
      <c r="R106" s="76"/>
      <c r="S106" s="76"/>
      <c r="T106" s="76"/>
      <c r="U106" s="76"/>
      <c r="V106" s="76"/>
      <c r="W106" s="76"/>
      <c r="X106" s="76"/>
      <c r="Y106" s="76"/>
      <c r="Z106" s="76"/>
      <c r="AA106" s="76"/>
    </row>
    <row r="107" s="1" customFormat="1" ht="27.95" customHeight="1" spans="12:27">
      <c r="L107" s="76"/>
      <c r="M107" s="76"/>
      <c r="N107" s="76"/>
      <c r="O107" s="76"/>
      <c r="P107" s="76"/>
      <c r="Q107" s="76"/>
      <c r="R107" s="76"/>
      <c r="S107" s="76"/>
      <c r="T107" s="76"/>
      <c r="U107" s="76"/>
      <c r="V107" s="76"/>
      <c r="W107" s="76"/>
      <c r="X107" s="76"/>
      <c r="Y107" s="76"/>
      <c r="Z107" s="76"/>
      <c r="AA107" s="76"/>
    </row>
    <row r="108" s="1" customFormat="1" ht="27.95" customHeight="1" spans="12:27">
      <c r="L108" s="76"/>
      <c r="M108" s="76"/>
      <c r="N108" s="76"/>
      <c r="O108" s="76"/>
      <c r="P108" s="76"/>
      <c r="Q108" s="76"/>
      <c r="R108" s="76"/>
      <c r="S108" s="76"/>
      <c r="T108" s="76"/>
      <c r="U108" s="76"/>
      <c r="V108" s="76"/>
      <c r="W108" s="76"/>
      <c r="X108" s="76"/>
      <c r="Y108" s="76"/>
      <c r="Z108" s="76"/>
      <c r="AA108" s="76"/>
    </row>
    <row r="109" s="1" customFormat="1" ht="27.95" customHeight="1" spans="12:27">
      <c r="L109" s="76"/>
      <c r="M109" s="76"/>
      <c r="N109" s="76"/>
      <c r="O109" s="76"/>
      <c r="P109" s="76"/>
      <c r="Q109" s="76"/>
      <c r="R109" s="76"/>
      <c r="S109" s="76"/>
      <c r="T109" s="76"/>
      <c r="U109" s="76"/>
      <c r="V109" s="76"/>
      <c r="W109" s="76"/>
      <c r="X109" s="76"/>
      <c r="Y109" s="76"/>
      <c r="Z109" s="76"/>
      <c r="AA109" s="76"/>
    </row>
    <row r="110" s="1" customFormat="1" ht="27.95" customHeight="1" spans="12:27">
      <c r="L110" s="76"/>
      <c r="M110" s="76"/>
      <c r="N110" s="76"/>
      <c r="O110" s="76"/>
      <c r="P110" s="76"/>
      <c r="Q110" s="76"/>
      <c r="R110" s="76"/>
      <c r="S110" s="76"/>
      <c r="T110" s="76"/>
      <c r="U110" s="76"/>
      <c r="V110" s="76"/>
      <c r="W110" s="76"/>
      <c r="X110" s="76"/>
      <c r="Y110" s="76"/>
      <c r="Z110" s="76"/>
      <c r="AA110" s="76"/>
    </row>
    <row r="111" s="1" customFormat="1" ht="27.95" customHeight="1" spans="12:27">
      <c r="L111" s="76"/>
      <c r="M111" s="76"/>
      <c r="N111" s="76"/>
      <c r="O111" s="76"/>
      <c r="P111" s="76"/>
      <c r="Q111" s="76"/>
      <c r="R111" s="76"/>
      <c r="S111" s="76"/>
      <c r="T111" s="76"/>
      <c r="U111" s="76"/>
      <c r="V111" s="76"/>
      <c r="W111" s="76"/>
      <c r="X111" s="76"/>
      <c r="Y111" s="76"/>
      <c r="Z111" s="76"/>
      <c r="AA111" s="76"/>
    </row>
    <row r="112" s="1" customFormat="1" ht="27.95" customHeight="1" spans="12:27">
      <c r="L112" s="76"/>
      <c r="M112" s="76"/>
      <c r="N112" s="76"/>
      <c r="O112" s="76"/>
      <c r="P112" s="76"/>
      <c r="Q112" s="76"/>
      <c r="R112" s="76"/>
      <c r="S112" s="76"/>
      <c r="T112" s="76"/>
      <c r="U112" s="76"/>
      <c r="V112" s="76"/>
      <c r="W112" s="76"/>
      <c r="X112" s="76"/>
      <c r="Y112" s="76"/>
      <c r="Z112" s="76"/>
      <c r="AA112" s="76"/>
    </row>
    <row r="113" s="1" customFormat="1" ht="27.95" customHeight="1" spans="12:27">
      <c r="L113" s="76"/>
      <c r="M113" s="76"/>
      <c r="N113" s="76"/>
      <c r="O113" s="76"/>
      <c r="P113" s="76"/>
      <c r="Q113" s="76"/>
      <c r="R113" s="76"/>
      <c r="S113" s="76"/>
      <c r="T113" s="76"/>
      <c r="U113" s="76"/>
      <c r="V113" s="76"/>
      <c r="W113" s="76"/>
      <c r="X113" s="76"/>
      <c r="Y113" s="76"/>
      <c r="Z113" s="76"/>
      <c r="AA113" s="76"/>
    </row>
    <row r="114" s="1" customFormat="1" ht="27.95" customHeight="1" spans="12:27">
      <c r="L114" s="76"/>
      <c r="M114" s="76"/>
      <c r="N114" s="76"/>
      <c r="O114" s="76"/>
      <c r="P114" s="76"/>
      <c r="Q114" s="76"/>
      <c r="R114" s="76"/>
      <c r="S114" s="76"/>
      <c r="T114" s="76"/>
      <c r="U114" s="76"/>
      <c r="V114" s="76"/>
      <c r="W114" s="76"/>
      <c r="X114" s="76"/>
      <c r="Y114" s="76"/>
      <c r="Z114" s="76"/>
      <c r="AA114" s="76"/>
    </row>
    <row r="115" s="1" customFormat="1" ht="27.95" customHeight="1" spans="12:27">
      <c r="L115" s="76"/>
      <c r="M115" s="76"/>
      <c r="N115" s="76"/>
      <c r="O115" s="76"/>
      <c r="P115" s="76"/>
      <c r="Q115" s="76"/>
      <c r="R115" s="76"/>
      <c r="S115" s="76"/>
      <c r="T115" s="76"/>
      <c r="U115" s="76"/>
      <c r="V115" s="76"/>
      <c r="W115" s="76"/>
      <c r="X115" s="76"/>
      <c r="Y115" s="76"/>
      <c r="Z115" s="76"/>
      <c r="AA115" s="76"/>
    </row>
    <row r="116" s="1" customFormat="1" ht="27.95" customHeight="1" spans="12:27">
      <c r="L116" s="76"/>
      <c r="M116" s="76"/>
      <c r="N116" s="76"/>
      <c r="O116" s="76"/>
      <c r="P116" s="76"/>
      <c r="Q116" s="76"/>
      <c r="R116" s="76"/>
      <c r="S116" s="76"/>
      <c r="T116" s="76"/>
      <c r="U116" s="76"/>
      <c r="V116" s="76"/>
      <c r="W116" s="76"/>
      <c r="X116" s="76"/>
      <c r="Y116" s="76"/>
      <c r="Z116" s="76"/>
      <c r="AA116" s="76"/>
    </row>
    <row r="117" s="1" customFormat="1" ht="27.95" customHeight="1" spans="12:27">
      <c r="L117" s="76"/>
      <c r="M117" s="76"/>
      <c r="N117" s="76"/>
      <c r="O117" s="76"/>
      <c r="P117" s="76"/>
      <c r="Q117" s="76"/>
      <c r="R117" s="76"/>
      <c r="S117" s="76"/>
      <c r="T117" s="76"/>
      <c r="U117" s="76"/>
      <c r="V117" s="76"/>
      <c r="W117" s="76"/>
      <c r="X117" s="76"/>
      <c r="Y117" s="76"/>
      <c r="Z117" s="76"/>
      <c r="AA117" s="76"/>
    </row>
    <row r="118" s="1" customFormat="1" ht="27.95" customHeight="1" spans="12:27">
      <c r="L118" s="76"/>
      <c r="M118" s="76"/>
      <c r="N118" s="76"/>
      <c r="O118" s="76"/>
      <c r="P118" s="76"/>
      <c r="Q118" s="76"/>
      <c r="R118" s="76"/>
      <c r="S118" s="76"/>
      <c r="T118" s="76"/>
      <c r="U118" s="76"/>
      <c r="V118" s="76"/>
      <c r="W118" s="76"/>
      <c r="X118" s="76"/>
      <c r="Y118" s="76"/>
      <c r="Z118" s="76"/>
      <c r="AA118" s="76"/>
    </row>
    <row r="119" s="1" customFormat="1" ht="27.95" customHeight="1" spans="12:27">
      <c r="L119" s="76"/>
      <c r="M119" s="76"/>
      <c r="N119" s="76"/>
      <c r="O119" s="76"/>
      <c r="P119" s="76"/>
      <c r="Q119" s="76"/>
      <c r="R119" s="76"/>
      <c r="S119" s="76"/>
      <c r="T119" s="76"/>
      <c r="U119" s="76"/>
      <c r="V119" s="76"/>
      <c r="W119" s="76"/>
      <c r="X119" s="76"/>
      <c r="Y119" s="76"/>
      <c r="Z119" s="76"/>
      <c r="AA119" s="76"/>
    </row>
    <row r="120" s="1" customFormat="1" ht="27.95" customHeight="1" spans="12:27">
      <c r="L120" s="76"/>
      <c r="M120" s="76"/>
      <c r="N120" s="76"/>
      <c r="O120" s="76"/>
      <c r="P120" s="76"/>
      <c r="Q120" s="76"/>
      <c r="R120" s="76"/>
      <c r="S120" s="76"/>
      <c r="T120" s="76"/>
      <c r="U120" s="76"/>
      <c r="V120" s="76"/>
      <c r="W120" s="76"/>
      <c r="X120" s="76"/>
      <c r="Y120" s="76"/>
      <c r="Z120" s="76"/>
      <c r="AA120" s="76"/>
    </row>
    <row r="121" s="1" customFormat="1" ht="27.95" customHeight="1" spans="12:27">
      <c r="L121" s="76"/>
      <c r="M121" s="76"/>
      <c r="N121" s="76"/>
      <c r="O121" s="76"/>
      <c r="P121" s="76"/>
      <c r="Q121" s="76"/>
      <c r="R121" s="76"/>
      <c r="S121" s="76"/>
      <c r="T121" s="76"/>
      <c r="U121" s="76"/>
      <c r="V121" s="76"/>
      <c r="W121" s="76"/>
      <c r="X121" s="76"/>
      <c r="Y121" s="76"/>
      <c r="Z121" s="76"/>
      <c r="AA121" s="76"/>
    </row>
    <row r="122" s="1" customFormat="1" ht="27.95" customHeight="1" spans="12:27">
      <c r="L122" s="76"/>
      <c r="M122" s="76"/>
      <c r="N122" s="76"/>
      <c r="O122" s="76"/>
      <c r="P122" s="76"/>
      <c r="Q122" s="76"/>
      <c r="R122" s="76"/>
      <c r="S122" s="76"/>
      <c r="T122" s="76"/>
      <c r="U122" s="76"/>
      <c r="V122" s="76"/>
      <c r="W122" s="76"/>
      <c r="X122" s="76"/>
      <c r="Y122" s="76"/>
      <c r="Z122" s="76"/>
      <c r="AA122" s="76"/>
    </row>
    <row r="123" s="1" customFormat="1" ht="27.95" customHeight="1" spans="12:27">
      <c r="L123" s="76"/>
      <c r="M123" s="76"/>
      <c r="N123" s="76"/>
      <c r="O123" s="76"/>
      <c r="P123" s="76"/>
      <c r="Q123" s="76"/>
      <c r="R123" s="76"/>
      <c r="S123" s="76"/>
      <c r="T123" s="76"/>
      <c r="U123" s="76"/>
      <c r="V123" s="76"/>
      <c r="W123" s="76"/>
      <c r="X123" s="76"/>
      <c r="Y123" s="76"/>
      <c r="Z123" s="76"/>
      <c r="AA123" s="76"/>
    </row>
    <row r="124" s="1" customFormat="1" ht="27.95" customHeight="1" spans="12:27">
      <c r="L124" s="76"/>
      <c r="M124" s="76"/>
      <c r="N124" s="76"/>
      <c r="O124" s="76"/>
      <c r="P124" s="76"/>
      <c r="Q124" s="76"/>
      <c r="R124" s="76"/>
      <c r="S124" s="76"/>
      <c r="T124" s="76"/>
      <c r="U124" s="76"/>
      <c r="V124" s="76"/>
      <c r="W124" s="76"/>
      <c r="X124" s="76"/>
      <c r="Y124" s="76"/>
      <c r="Z124" s="76"/>
      <c r="AA124" s="76"/>
    </row>
    <row r="125" s="1" customFormat="1" ht="27.95" customHeight="1" spans="12:27">
      <c r="L125" s="76"/>
      <c r="M125" s="76"/>
      <c r="N125" s="76"/>
      <c r="O125" s="76"/>
      <c r="P125" s="76"/>
      <c r="Q125" s="76"/>
      <c r="R125" s="76"/>
      <c r="S125" s="76"/>
      <c r="T125" s="76"/>
      <c r="U125" s="76"/>
      <c r="V125" s="76"/>
      <c r="W125" s="76"/>
      <c r="X125" s="76"/>
      <c r="Y125" s="76"/>
      <c r="Z125" s="76"/>
      <c r="AA125" s="76"/>
    </row>
    <row r="126" s="1" customFormat="1" ht="27.95" customHeight="1" spans="12:27">
      <c r="L126" s="76"/>
      <c r="M126" s="76"/>
      <c r="N126" s="76"/>
      <c r="O126" s="76"/>
      <c r="P126" s="76"/>
      <c r="Q126" s="76"/>
      <c r="R126" s="76"/>
      <c r="S126" s="76"/>
      <c r="T126" s="76"/>
      <c r="U126" s="76"/>
      <c r="V126" s="76"/>
      <c r="W126" s="76"/>
      <c r="X126" s="76"/>
      <c r="Y126" s="76"/>
      <c r="Z126" s="76"/>
      <c r="AA126" s="76"/>
    </row>
    <row r="127" s="1" customFormat="1" ht="27.95" customHeight="1" spans="12:27">
      <c r="L127" s="76"/>
      <c r="M127" s="76"/>
      <c r="N127" s="76"/>
      <c r="O127" s="76"/>
      <c r="P127" s="76"/>
      <c r="Q127" s="76"/>
      <c r="R127" s="76"/>
      <c r="S127" s="76"/>
      <c r="T127" s="76"/>
      <c r="U127" s="76"/>
      <c r="V127" s="76"/>
      <c r="W127" s="76"/>
      <c r="X127" s="76"/>
      <c r="Y127" s="76"/>
      <c r="Z127" s="76"/>
      <c r="AA127" s="76"/>
    </row>
    <row r="128" s="1" customFormat="1" ht="27.95" customHeight="1" spans="12:27">
      <c r="L128" s="76"/>
      <c r="M128" s="76"/>
      <c r="N128" s="76"/>
      <c r="O128" s="76"/>
      <c r="P128" s="76"/>
      <c r="Q128" s="76"/>
      <c r="R128" s="76"/>
      <c r="S128" s="76"/>
      <c r="T128" s="76"/>
      <c r="U128" s="76"/>
      <c r="V128" s="76"/>
      <c r="W128" s="76"/>
      <c r="X128" s="76"/>
      <c r="Y128" s="76"/>
      <c r="Z128" s="76"/>
      <c r="AA128" s="76"/>
    </row>
    <row r="129" s="1" customFormat="1" ht="27.95" customHeight="1" spans="12:27">
      <c r="L129" s="76"/>
      <c r="M129" s="76"/>
      <c r="N129" s="76"/>
      <c r="O129" s="76"/>
      <c r="P129" s="76"/>
      <c r="Q129" s="76"/>
      <c r="R129" s="76"/>
      <c r="S129" s="76"/>
      <c r="T129" s="76"/>
      <c r="U129" s="76"/>
      <c r="V129" s="76"/>
      <c r="W129" s="76"/>
      <c r="X129" s="76"/>
      <c r="Y129" s="76"/>
      <c r="Z129" s="76"/>
      <c r="AA129" s="76"/>
    </row>
    <row r="130" s="1" customFormat="1" ht="27.95" customHeight="1" spans="12:27">
      <c r="L130" s="76"/>
      <c r="M130" s="76"/>
      <c r="N130" s="76"/>
      <c r="O130" s="76"/>
      <c r="P130" s="76"/>
      <c r="Q130" s="76"/>
      <c r="R130" s="76"/>
      <c r="S130" s="76"/>
      <c r="T130" s="76"/>
      <c r="U130" s="76"/>
      <c r="V130" s="76"/>
      <c r="W130" s="76"/>
      <c r="X130" s="76"/>
      <c r="Y130" s="76"/>
      <c r="Z130" s="76"/>
      <c r="AA130" s="76"/>
    </row>
    <row r="131" s="1" customFormat="1" ht="27.95" customHeight="1" spans="12:27">
      <c r="L131" s="76"/>
      <c r="M131" s="76"/>
      <c r="N131" s="76"/>
      <c r="O131" s="76"/>
      <c r="P131" s="76"/>
      <c r="Q131" s="76"/>
      <c r="R131" s="76"/>
      <c r="S131" s="76"/>
      <c r="T131" s="76"/>
      <c r="U131" s="76"/>
      <c r="V131" s="76"/>
      <c r="W131" s="76"/>
      <c r="X131" s="76"/>
      <c r="Y131" s="76"/>
      <c r="Z131" s="76"/>
      <c r="AA131" s="76"/>
    </row>
    <row r="132" s="1" customFormat="1" ht="27.95" customHeight="1" spans="12:27">
      <c r="L132" s="76"/>
      <c r="M132" s="76"/>
      <c r="N132" s="76"/>
      <c r="O132" s="76"/>
      <c r="P132" s="76"/>
      <c r="Q132" s="76"/>
      <c r="R132" s="76"/>
      <c r="S132" s="76"/>
      <c r="T132" s="76"/>
      <c r="U132" s="76"/>
      <c r="V132" s="76"/>
      <c r="W132" s="76"/>
      <c r="X132" s="76"/>
      <c r="Y132" s="76"/>
      <c r="Z132" s="76"/>
      <c r="AA132" s="76"/>
    </row>
    <row r="133" s="1" customFormat="1" ht="27.95" customHeight="1" spans="12:27">
      <c r="L133" s="76"/>
      <c r="M133" s="76"/>
      <c r="N133" s="76"/>
      <c r="O133" s="76"/>
      <c r="P133" s="76"/>
      <c r="Q133" s="76"/>
      <c r="R133" s="76"/>
      <c r="S133" s="76"/>
      <c r="T133" s="76"/>
      <c r="U133" s="76"/>
      <c r="V133" s="76"/>
      <c r="W133" s="76"/>
      <c r="X133" s="76"/>
      <c r="Y133" s="76"/>
      <c r="Z133" s="76"/>
      <c r="AA133" s="76"/>
    </row>
    <row r="134" s="1" customFormat="1" ht="27.95" customHeight="1" spans="12:27">
      <c r="L134" s="76"/>
      <c r="M134" s="76"/>
      <c r="N134" s="76"/>
      <c r="O134" s="76"/>
      <c r="P134" s="76"/>
      <c r="Q134" s="76"/>
      <c r="R134" s="76"/>
      <c r="S134" s="76"/>
      <c r="T134" s="76"/>
      <c r="U134" s="76"/>
      <c r="V134" s="76"/>
      <c r="W134" s="76"/>
      <c r="X134" s="76"/>
      <c r="Y134" s="76"/>
      <c r="Z134" s="76"/>
      <c r="AA134" s="76"/>
    </row>
    <row r="135" s="1" customFormat="1" ht="27.95" customHeight="1" spans="12:27">
      <c r="L135" s="76"/>
      <c r="M135" s="76"/>
      <c r="N135" s="76"/>
      <c r="O135" s="76"/>
      <c r="P135" s="76"/>
      <c r="Q135" s="76"/>
      <c r="R135" s="76"/>
      <c r="S135" s="76"/>
      <c r="T135" s="76"/>
      <c r="U135" s="76"/>
      <c r="V135" s="76"/>
      <c r="W135" s="76"/>
      <c r="X135" s="76"/>
      <c r="Y135" s="76"/>
      <c r="Z135" s="76"/>
      <c r="AA135" s="76"/>
    </row>
    <row r="136" s="1" customFormat="1" ht="27.95" customHeight="1" spans="12:27">
      <c r="L136" s="76"/>
      <c r="M136" s="76"/>
      <c r="N136" s="76"/>
      <c r="O136" s="76"/>
      <c r="P136" s="76"/>
      <c r="Q136" s="76"/>
      <c r="R136" s="76"/>
      <c r="S136" s="76"/>
      <c r="T136" s="76"/>
      <c r="U136" s="76"/>
      <c r="V136" s="76"/>
      <c r="W136" s="76"/>
      <c r="X136" s="76"/>
      <c r="Y136" s="76"/>
      <c r="Z136" s="76"/>
      <c r="AA136" s="76"/>
    </row>
    <row r="137" s="1" customFormat="1" ht="27.95" customHeight="1" spans="12:27">
      <c r="L137" s="76"/>
      <c r="M137" s="76"/>
      <c r="N137" s="76"/>
      <c r="O137" s="76"/>
      <c r="P137" s="76"/>
      <c r="Q137" s="76"/>
      <c r="R137" s="76"/>
      <c r="S137" s="76"/>
      <c r="T137" s="76"/>
      <c r="U137" s="76"/>
      <c r="V137" s="76"/>
      <c r="W137" s="76"/>
      <c r="X137" s="76"/>
      <c r="Y137" s="76"/>
      <c r="Z137" s="76"/>
      <c r="AA137" s="76"/>
    </row>
    <row r="138" s="1" customFormat="1" ht="27.95" customHeight="1" spans="12:27">
      <c r="L138" s="76"/>
      <c r="M138" s="76"/>
      <c r="N138" s="76"/>
      <c r="O138" s="76"/>
      <c r="P138" s="76"/>
      <c r="Q138" s="76"/>
      <c r="R138" s="76"/>
      <c r="S138" s="76"/>
      <c r="T138" s="76"/>
      <c r="U138" s="76"/>
      <c r="V138" s="76"/>
      <c r="W138" s="76"/>
      <c r="X138" s="76"/>
      <c r="Y138" s="76"/>
      <c r="Z138" s="76"/>
      <c r="AA138" s="76"/>
    </row>
    <row r="139" s="1" customFormat="1" ht="27.95" customHeight="1" spans="12:27">
      <c r="L139" s="76"/>
      <c r="M139" s="76"/>
      <c r="N139" s="76"/>
      <c r="O139" s="76"/>
      <c r="P139" s="76"/>
      <c r="Q139" s="76"/>
      <c r="R139" s="76"/>
      <c r="S139" s="76"/>
      <c r="T139" s="76"/>
      <c r="U139" s="76"/>
      <c r="V139" s="76"/>
      <c r="W139" s="76"/>
      <c r="X139" s="76"/>
      <c r="Y139" s="76"/>
      <c r="Z139" s="76"/>
      <c r="AA139" s="76"/>
    </row>
    <row r="140" s="1" customFormat="1" ht="27.95" customHeight="1" spans="12:27">
      <c r="L140" s="76"/>
      <c r="M140" s="76"/>
      <c r="N140" s="76"/>
      <c r="O140" s="76"/>
      <c r="P140" s="76"/>
      <c r="Q140" s="76"/>
      <c r="R140" s="76"/>
      <c r="S140" s="76"/>
      <c r="T140" s="76"/>
      <c r="U140" s="76"/>
      <c r="V140" s="76"/>
      <c r="W140" s="76"/>
      <c r="X140" s="76"/>
      <c r="Y140" s="76"/>
      <c r="Z140" s="76"/>
      <c r="AA140" s="76"/>
    </row>
    <row r="141" s="1" customFormat="1" ht="27.95" customHeight="1" spans="12:27">
      <c r="L141" s="76"/>
      <c r="M141" s="76"/>
      <c r="N141" s="76"/>
      <c r="O141" s="76"/>
      <c r="P141" s="76"/>
      <c r="Q141" s="76"/>
      <c r="R141" s="76"/>
      <c r="S141" s="76"/>
      <c r="T141" s="76"/>
      <c r="U141" s="76"/>
      <c r="V141" s="76"/>
      <c r="W141" s="76"/>
      <c r="X141" s="76"/>
      <c r="Y141" s="76"/>
      <c r="Z141" s="76"/>
      <c r="AA141" s="76"/>
    </row>
    <row r="142" s="1" customFormat="1" ht="27.95" customHeight="1" spans="12:27">
      <c r="L142" s="76"/>
      <c r="M142" s="76"/>
      <c r="N142" s="76"/>
      <c r="O142" s="76"/>
      <c r="P142" s="76"/>
      <c r="Q142" s="76"/>
      <c r="R142" s="76"/>
      <c r="S142" s="76"/>
      <c r="T142" s="76"/>
      <c r="U142" s="76"/>
      <c r="V142" s="76"/>
      <c r="W142" s="76"/>
      <c r="X142" s="76"/>
      <c r="Y142" s="76"/>
      <c r="Z142" s="76"/>
      <c r="AA142" s="76"/>
    </row>
    <row r="143" s="1" customFormat="1" ht="27.95" customHeight="1" spans="12:27">
      <c r="L143" s="76"/>
      <c r="M143" s="76"/>
      <c r="N143" s="76"/>
      <c r="O143" s="76"/>
      <c r="P143" s="76"/>
      <c r="Q143" s="76"/>
      <c r="R143" s="76"/>
      <c r="S143" s="76"/>
      <c r="T143" s="76"/>
      <c r="U143" s="76"/>
      <c r="V143" s="76"/>
      <c r="W143" s="76"/>
      <c r="X143" s="76"/>
      <c r="Y143" s="76"/>
      <c r="Z143" s="76"/>
      <c r="AA143" s="76"/>
    </row>
    <row r="144" s="1" customFormat="1" ht="27.95" customHeight="1" spans="12:27">
      <c r="L144" s="76"/>
      <c r="M144" s="76"/>
      <c r="N144" s="76"/>
      <c r="O144" s="76"/>
      <c r="P144" s="76"/>
      <c r="Q144" s="76"/>
      <c r="R144" s="76"/>
      <c r="S144" s="76"/>
      <c r="T144" s="76"/>
      <c r="U144" s="76"/>
      <c r="V144" s="76"/>
      <c r="W144" s="76"/>
      <c r="X144" s="76"/>
      <c r="Y144" s="76"/>
      <c r="Z144" s="76"/>
      <c r="AA144" s="76"/>
    </row>
    <row r="145" s="1" customFormat="1" ht="27.95" customHeight="1" spans="12:27">
      <c r="L145" s="76"/>
      <c r="M145" s="76"/>
      <c r="N145" s="76"/>
      <c r="O145" s="76"/>
      <c r="P145" s="76"/>
      <c r="Q145" s="76"/>
      <c r="R145" s="76"/>
      <c r="S145" s="76"/>
      <c r="T145" s="76"/>
      <c r="U145" s="76"/>
      <c r="V145" s="76"/>
      <c r="W145" s="76"/>
      <c r="X145" s="76"/>
      <c r="Y145" s="76"/>
      <c r="Z145" s="76"/>
      <c r="AA145" s="76"/>
    </row>
    <row r="146" s="1" customFormat="1" ht="27.95" customHeight="1" spans="12:27">
      <c r="L146" s="76"/>
      <c r="M146" s="76"/>
      <c r="N146" s="76"/>
      <c r="O146" s="76"/>
      <c r="P146" s="76"/>
      <c r="Q146" s="76"/>
      <c r="R146" s="76"/>
      <c r="S146" s="76"/>
      <c r="T146" s="76"/>
      <c r="U146" s="76"/>
      <c r="V146" s="76"/>
      <c r="W146" s="76"/>
      <c r="X146" s="76"/>
      <c r="Y146" s="76"/>
      <c r="Z146" s="76"/>
      <c r="AA146" s="76"/>
    </row>
    <row r="147" s="1" customFormat="1" ht="27.95" customHeight="1" spans="12:27">
      <c r="L147" s="76"/>
      <c r="M147" s="76"/>
      <c r="N147" s="76"/>
      <c r="O147" s="76"/>
      <c r="P147" s="76"/>
      <c r="Q147" s="76"/>
      <c r="R147" s="76"/>
      <c r="S147" s="76"/>
      <c r="T147" s="76"/>
      <c r="U147" s="76"/>
      <c r="V147" s="76"/>
      <c r="W147" s="76"/>
      <c r="X147" s="76"/>
      <c r="Y147" s="76"/>
      <c r="Z147" s="76"/>
      <c r="AA147" s="76"/>
    </row>
    <row r="148" s="1" customFormat="1" ht="27.95" customHeight="1" spans="12:27">
      <c r="L148" s="76"/>
      <c r="M148" s="76"/>
      <c r="N148" s="76"/>
      <c r="O148" s="76"/>
      <c r="P148" s="76"/>
      <c r="Q148" s="76"/>
      <c r="R148" s="76"/>
      <c r="S148" s="76"/>
      <c r="T148" s="76"/>
      <c r="U148" s="76"/>
      <c r="V148" s="76"/>
      <c r="W148" s="76"/>
      <c r="X148" s="76"/>
      <c r="Y148" s="76"/>
      <c r="Z148" s="76"/>
      <c r="AA148" s="76"/>
    </row>
    <row r="149" s="1" customFormat="1" ht="27.95" customHeight="1" spans="12:27">
      <c r="L149" s="76"/>
      <c r="M149" s="76"/>
      <c r="N149" s="76"/>
      <c r="O149" s="76"/>
      <c r="P149" s="76"/>
      <c r="Q149" s="76"/>
      <c r="R149" s="76"/>
      <c r="S149" s="76"/>
      <c r="T149" s="76"/>
      <c r="U149" s="76"/>
      <c r="V149" s="76"/>
      <c r="W149" s="76"/>
      <c r="X149" s="76"/>
      <c r="Y149" s="76"/>
      <c r="Z149" s="76"/>
      <c r="AA149" s="76"/>
    </row>
    <row r="150" s="1" customFormat="1" ht="27.95" customHeight="1" spans="12:27">
      <c r="L150" s="76"/>
      <c r="M150" s="76"/>
      <c r="N150" s="76"/>
      <c r="O150" s="76"/>
      <c r="P150" s="76"/>
      <c r="Q150" s="76"/>
      <c r="R150" s="76"/>
      <c r="S150" s="76"/>
      <c r="T150" s="76"/>
      <c r="U150" s="76"/>
      <c r="V150" s="76"/>
      <c r="W150" s="76"/>
      <c r="X150" s="76"/>
      <c r="Y150" s="76"/>
      <c r="Z150" s="76"/>
      <c r="AA150" s="76"/>
    </row>
    <row r="151" s="1" customFormat="1" ht="27.95" customHeight="1" spans="12:27">
      <c r="L151" s="76"/>
      <c r="M151" s="76"/>
      <c r="N151" s="76"/>
      <c r="O151" s="76"/>
      <c r="P151" s="76"/>
      <c r="Q151" s="76"/>
      <c r="R151" s="76"/>
      <c r="S151" s="76"/>
      <c r="T151" s="76"/>
      <c r="U151" s="76"/>
      <c r="V151" s="76"/>
      <c r="W151" s="76"/>
      <c r="X151" s="76"/>
      <c r="Y151" s="76"/>
      <c r="Z151" s="76"/>
      <c r="AA151" s="76"/>
    </row>
    <row r="152" s="1" customFormat="1" ht="27.95" customHeight="1" spans="12:27">
      <c r="L152" s="76"/>
      <c r="M152" s="76"/>
      <c r="N152" s="76"/>
      <c r="O152" s="76"/>
      <c r="P152" s="76"/>
      <c r="Q152" s="76"/>
      <c r="R152" s="76"/>
      <c r="S152" s="76"/>
      <c r="T152" s="76"/>
      <c r="U152" s="76"/>
      <c r="V152" s="76"/>
      <c r="W152" s="76"/>
      <c r="X152" s="76"/>
      <c r="Y152" s="76"/>
      <c r="Z152" s="76"/>
      <c r="AA152" s="76"/>
    </row>
    <row r="153" s="1" customFormat="1" ht="27.95" customHeight="1" spans="12:27">
      <c r="L153" s="76"/>
      <c r="M153" s="76"/>
      <c r="N153" s="76"/>
      <c r="O153" s="76"/>
      <c r="P153" s="76"/>
      <c r="Q153" s="76"/>
      <c r="R153" s="76"/>
      <c r="S153" s="76"/>
      <c r="T153" s="76"/>
      <c r="U153" s="76"/>
      <c r="V153" s="76"/>
      <c r="W153" s="76"/>
      <c r="X153" s="76"/>
      <c r="Y153" s="76"/>
      <c r="Z153" s="76"/>
      <c r="AA153" s="76"/>
    </row>
    <row r="154" s="1" customFormat="1" ht="27.95" customHeight="1" spans="12:27">
      <c r="L154" s="76"/>
      <c r="M154" s="76"/>
      <c r="N154" s="76"/>
      <c r="O154" s="76"/>
      <c r="P154" s="76"/>
      <c r="Q154" s="76"/>
      <c r="R154" s="76"/>
      <c r="S154" s="76"/>
      <c r="T154" s="76"/>
      <c r="U154" s="76"/>
      <c r="V154" s="76"/>
      <c r="W154" s="76"/>
      <c r="X154" s="76"/>
      <c r="Y154" s="76"/>
      <c r="Z154" s="76"/>
      <c r="AA154" s="76"/>
    </row>
    <row r="155" s="1" customFormat="1" ht="27.95" customHeight="1" spans="12:27">
      <c r="L155" s="76"/>
      <c r="M155" s="76"/>
      <c r="N155" s="76"/>
      <c r="O155" s="76"/>
      <c r="P155" s="76"/>
      <c r="Q155" s="76"/>
      <c r="R155" s="76"/>
      <c r="S155" s="76"/>
      <c r="T155" s="76"/>
      <c r="U155" s="76"/>
      <c r="V155" s="76"/>
      <c r="W155" s="76"/>
      <c r="X155" s="76"/>
      <c r="Y155" s="76"/>
      <c r="Z155" s="76"/>
      <c r="AA155" s="76"/>
    </row>
    <row r="156" s="1" customFormat="1" ht="27.95" customHeight="1" spans="12:27">
      <c r="L156" s="76"/>
      <c r="M156" s="76"/>
      <c r="N156" s="76"/>
      <c r="O156" s="76"/>
      <c r="P156" s="76"/>
      <c r="Q156" s="76"/>
      <c r="R156" s="76"/>
      <c r="S156" s="76"/>
      <c r="T156" s="76"/>
      <c r="U156" s="76"/>
      <c r="V156" s="76"/>
      <c r="W156" s="76"/>
      <c r="X156" s="76"/>
      <c r="Y156" s="76"/>
      <c r="Z156" s="76"/>
      <c r="AA156" s="76"/>
    </row>
    <row r="157" s="1" customFormat="1" ht="27.95" customHeight="1" spans="12:27">
      <c r="L157" s="76"/>
      <c r="M157" s="76"/>
      <c r="N157" s="76"/>
      <c r="O157" s="76"/>
      <c r="P157" s="76"/>
      <c r="Q157" s="76"/>
      <c r="R157" s="76"/>
      <c r="S157" s="76"/>
      <c r="T157" s="76"/>
      <c r="U157" s="76"/>
      <c r="V157" s="76"/>
      <c r="W157" s="76"/>
      <c r="X157" s="76"/>
      <c r="Y157" s="76"/>
      <c r="Z157" s="76"/>
      <c r="AA157" s="76"/>
    </row>
    <row r="158" s="1" customFormat="1" ht="27.95" customHeight="1" spans="12:27">
      <c r="L158" s="76"/>
      <c r="M158" s="76"/>
      <c r="N158" s="76"/>
      <c r="O158" s="76"/>
      <c r="P158" s="76"/>
      <c r="Q158" s="76"/>
      <c r="R158" s="76"/>
      <c r="S158" s="76"/>
      <c r="T158" s="76"/>
      <c r="U158" s="76"/>
      <c r="V158" s="76"/>
      <c r="W158" s="76"/>
      <c r="X158" s="76"/>
      <c r="Y158" s="76"/>
      <c r="Z158" s="76"/>
      <c r="AA158" s="76"/>
    </row>
    <row r="159" s="1" customFormat="1" ht="27.95" customHeight="1" spans="12:27">
      <c r="L159" s="76"/>
      <c r="M159" s="76"/>
      <c r="N159" s="76"/>
      <c r="O159" s="76"/>
      <c r="P159" s="76"/>
      <c r="Q159" s="76"/>
      <c r="R159" s="76"/>
      <c r="S159" s="76"/>
      <c r="T159" s="76"/>
      <c r="U159" s="76"/>
      <c r="V159" s="76"/>
      <c r="W159" s="76"/>
      <c r="X159" s="76"/>
      <c r="Y159" s="76"/>
      <c r="Z159" s="76"/>
      <c r="AA159" s="76"/>
    </row>
    <row r="160" s="1" customFormat="1" ht="27.95" customHeight="1" spans="12:27">
      <c r="L160" s="76"/>
      <c r="M160" s="76"/>
      <c r="N160" s="76"/>
      <c r="O160" s="76"/>
      <c r="P160" s="76"/>
      <c r="Q160" s="76"/>
      <c r="R160" s="76"/>
      <c r="S160" s="76"/>
      <c r="T160" s="76"/>
      <c r="U160" s="76"/>
      <c r="V160" s="76"/>
      <c r="W160" s="76"/>
      <c r="X160" s="76"/>
      <c r="Y160" s="76"/>
      <c r="Z160" s="76"/>
      <c r="AA160" s="76"/>
    </row>
    <row r="161" s="1" customFormat="1" ht="27.95" customHeight="1" spans="12:27">
      <c r="L161" s="76"/>
      <c r="M161" s="76"/>
      <c r="N161" s="76"/>
      <c r="O161" s="76"/>
      <c r="P161" s="76"/>
      <c r="Q161" s="76"/>
      <c r="R161" s="76"/>
      <c r="S161" s="76"/>
      <c r="T161" s="76"/>
      <c r="U161" s="76"/>
      <c r="V161" s="76"/>
      <c r="W161" s="76"/>
      <c r="X161" s="76"/>
      <c r="Y161" s="76"/>
      <c r="Z161" s="76"/>
      <c r="AA161" s="76"/>
    </row>
    <row r="162" s="1" customFormat="1" ht="27.95" customHeight="1" spans="12:27">
      <c r="L162" s="76"/>
      <c r="M162" s="76"/>
      <c r="N162" s="76"/>
      <c r="O162" s="76"/>
      <c r="P162" s="76"/>
      <c r="Q162" s="76"/>
      <c r="R162" s="76"/>
      <c r="S162" s="76"/>
      <c r="T162" s="76"/>
      <c r="U162" s="76"/>
      <c r="V162" s="76"/>
      <c r="W162" s="76"/>
      <c r="X162" s="76"/>
      <c r="Y162" s="76"/>
      <c r="Z162" s="76"/>
      <c r="AA162" s="76"/>
    </row>
    <row r="163" s="1" customFormat="1" ht="27.95" customHeight="1" spans="12:27">
      <c r="L163" s="76"/>
      <c r="M163" s="76"/>
      <c r="N163" s="76"/>
      <c r="O163" s="76"/>
      <c r="P163" s="76"/>
      <c r="Q163" s="76"/>
      <c r="R163" s="76"/>
      <c r="S163" s="76"/>
      <c r="T163" s="76"/>
      <c r="U163" s="76"/>
      <c r="V163" s="76"/>
      <c r="W163" s="76"/>
      <c r="X163" s="76"/>
      <c r="Y163" s="76"/>
      <c r="Z163" s="76"/>
      <c r="AA163" s="76"/>
    </row>
    <row r="164" s="1" customFormat="1" ht="27.95" customHeight="1" spans="12:27">
      <c r="L164" s="76"/>
      <c r="M164" s="76"/>
      <c r="N164" s="76"/>
      <c r="O164" s="76"/>
      <c r="P164" s="76"/>
      <c r="Q164" s="76"/>
      <c r="R164" s="76"/>
      <c r="S164" s="76"/>
      <c r="T164" s="76"/>
      <c r="U164" s="76"/>
      <c r="V164" s="76"/>
      <c r="W164" s="76"/>
      <c r="X164" s="76"/>
      <c r="Y164" s="76"/>
      <c r="Z164" s="76"/>
      <c r="AA164" s="76"/>
    </row>
    <row r="165" s="1" customFormat="1" ht="27.95" customHeight="1" spans="12:27">
      <c r="L165" s="76"/>
      <c r="M165" s="76"/>
      <c r="N165" s="76"/>
      <c r="O165" s="76"/>
      <c r="P165" s="76"/>
      <c r="Q165" s="76"/>
      <c r="R165" s="76"/>
      <c r="S165" s="76"/>
      <c r="T165" s="76"/>
      <c r="U165" s="76"/>
      <c r="V165" s="76"/>
      <c r="W165" s="76"/>
      <c r="X165" s="76"/>
      <c r="Y165" s="76"/>
      <c r="Z165" s="76"/>
      <c r="AA165" s="76"/>
    </row>
    <row r="166" s="1" customFormat="1" ht="27.95" customHeight="1" spans="12:27">
      <c r="L166" s="76"/>
      <c r="M166" s="76"/>
      <c r="N166" s="76"/>
      <c r="O166" s="76"/>
      <c r="P166" s="76"/>
      <c r="Q166" s="76"/>
      <c r="R166" s="76"/>
      <c r="S166" s="76"/>
      <c r="T166" s="76"/>
      <c r="U166" s="76"/>
      <c r="V166" s="76"/>
      <c r="W166" s="76"/>
      <c r="X166" s="76"/>
      <c r="Y166" s="76"/>
      <c r="Z166" s="76"/>
      <c r="AA166" s="76"/>
    </row>
    <row r="167" s="1" customFormat="1" ht="27.95" customHeight="1" spans="12:27">
      <c r="L167" s="76"/>
      <c r="M167" s="76"/>
      <c r="N167" s="76"/>
      <c r="O167" s="76"/>
      <c r="P167" s="76"/>
      <c r="Q167" s="76"/>
      <c r="R167" s="76"/>
      <c r="S167" s="76"/>
      <c r="T167" s="76"/>
      <c r="U167" s="76"/>
      <c r="V167" s="76"/>
      <c r="W167" s="76"/>
      <c r="X167" s="76"/>
      <c r="Y167" s="76"/>
      <c r="Z167" s="76"/>
      <c r="AA167" s="76"/>
    </row>
    <row r="168" s="1" customFormat="1" ht="27.95" customHeight="1" spans="12:27">
      <c r="L168" s="76"/>
      <c r="M168" s="76"/>
      <c r="N168" s="76"/>
      <c r="O168" s="76"/>
      <c r="P168" s="76"/>
      <c r="Q168" s="76"/>
      <c r="R168" s="76"/>
      <c r="S168" s="76"/>
      <c r="T168" s="76"/>
      <c r="U168" s="76"/>
      <c r="V168" s="76"/>
      <c r="W168" s="76"/>
      <c r="X168" s="76"/>
      <c r="Y168" s="76"/>
      <c r="Z168" s="76"/>
      <c r="AA168" s="76"/>
    </row>
    <row r="169" s="1" customFormat="1" ht="27.95" customHeight="1" spans="12:27">
      <c r="L169" s="76"/>
      <c r="M169" s="76"/>
      <c r="N169" s="76"/>
      <c r="O169" s="76"/>
      <c r="P169" s="76"/>
      <c r="Q169" s="76"/>
      <c r="R169" s="76"/>
      <c r="S169" s="76"/>
      <c r="T169" s="76"/>
      <c r="U169" s="76"/>
      <c r="V169" s="76"/>
      <c r="W169" s="76"/>
      <c r="X169" s="76"/>
      <c r="Y169" s="76"/>
      <c r="Z169" s="76"/>
      <c r="AA169" s="76"/>
    </row>
    <row r="170" s="1" customFormat="1" ht="27.95" customHeight="1" spans="12:27">
      <c r="L170" s="76"/>
      <c r="M170" s="76"/>
      <c r="N170" s="76"/>
      <c r="O170" s="76"/>
      <c r="P170" s="76"/>
      <c r="Q170" s="76"/>
      <c r="R170" s="76"/>
      <c r="S170" s="76"/>
      <c r="T170" s="76"/>
      <c r="U170" s="76"/>
      <c r="V170" s="76"/>
      <c r="W170" s="76"/>
      <c r="X170" s="76"/>
      <c r="Y170" s="76"/>
      <c r="Z170" s="76"/>
      <c r="AA170" s="76"/>
    </row>
    <row r="171" s="1" customFormat="1" ht="27.95" customHeight="1" spans="12:27">
      <c r="L171" s="76"/>
      <c r="M171" s="76"/>
      <c r="N171" s="76"/>
      <c r="O171" s="76"/>
      <c r="P171" s="76"/>
      <c r="Q171" s="76"/>
      <c r="R171" s="76"/>
      <c r="S171" s="76"/>
      <c r="T171" s="76"/>
      <c r="U171" s="76"/>
      <c r="V171" s="76"/>
      <c r="W171" s="76"/>
      <c r="X171" s="76"/>
      <c r="Y171" s="76"/>
      <c r="Z171" s="76"/>
      <c r="AA171" s="76"/>
    </row>
    <row r="172" s="1" customFormat="1" ht="27.95" customHeight="1" spans="12:27">
      <c r="L172" s="76"/>
      <c r="M172" s="76"/>
      <c r="N172" s="76"/>
      <c r="O172" s="76"/>
      <c r="P172" s="76"/>
      <c r="Q172" s="76"/>
      <c r="R172" s="76"/>
      <c r="S172" s="76"/>
      <c r="T172" s="76"/>
      <c r="U172" s="76"/>
      <c r="V172" s="76"/>
      <c r="W172" s="76"/>
      <c r="X172" s="76"/>
      <c r="Y172" s="76"/>
      <c r="Z172" s="76"/>
      <c r="AA172" s="76"/>
    </row>
    <row r="173" s="1" customFormat="1" ht="27.95" customHeight="1" spans="12:27">
      <c r="L173" s="76"/>
      <c r="M173" s="76"/>
      <c r="N173" s="76"/>
      <c r="O173" s="76"/>
      <c r="P173" s="76"/>
      <c r="Q173" s="76"/>
      <c r="R173" s="76"/>
      <c r="S173" s="76"/>
      <c r="T173" s="76"/>
      <c r="U173" s="76"/>
      <c r="V173" s="76"/>
      <c r="W173" s="76"/>
      <c r="X173" s="76"/>
      <c r="Y173" s="76"/>
      <c r="Z173" s="76"/>
      <c r="AA173" s="76"/>
    </row>
    <row r="174" s="1" customFormat="1" ht="27.95" customHeight="1" spans="12:27">
      <c r="L174" s="76"/>
      <c r="M174" s="76"/>
      <c r="N174" s="76"/>
      <c r="O174" s="76"/>
      <c r="P174" s="76"/>
      <c r="Q174" s="76"/>
      <c r="R174" s="76"/>
      <c r="S174" s="76"/>
      <c r="T174" s="76"/>
      <c r="U174" s="76"/>
      <c r="V174" s="76"/>
      <c r="W174" s="76"/>
      <c r="X174" s="76"/>
      <c r="Y174" s="76"/>
      <c r="Z174" s="76"/>
      <c r="AA174" s="76"/>
    </row>
    <row r="175" s="1" customFormat="1" ht="27.95" customHeight="1" spans="12:27"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</row>
    <row r="176" s="1" customFormat="1" ht="27.95" customHeight="1" spans="12:27">
      <c r="L176" s="76"/>
      <c r="M176" s="76"/>
      <c r="N176" s="76"/>
      <c r="O176" s="76"/>
      <c r="P176" s="76"/>
      <c r="Q176" s="76"/>
      <c r="R176" s="76"/>
      <c r="S176" s="76"/>
      <c r="T176" s="76"/>
      <c r="U176" s="76"/>
      <c r="V176" s="76"/>
      <c r="W176" s="76"/>
      <c r="X176" s="76"/>
      <c r="Y176" s="76"/>
      <c r="Z176" s="76"/>
      <c r="AA176" s="76"/>
    </row>
    <row r="177" s="1" customFormat="1" ht="27.95" customHeight="1" spans="12:27">
      <c r="L177" s="76"/>
      <c r="M177" s="76"/>
      <c r="N177" s="76"/>
      <c r="O177" s="76"/>
      <c r="P177" s="76"/>
      <c r="Q177" s="76"/>
      <c r="R177" s="76"/>
      <c r="S177" s="76"/>
      <c r="T177" s="76"/>
      <c r="U177" s="76"/>
      <c r="V177" s="76"/>
      <c r="W177" s="76"/>
      <c r="X177" s="76"/>
      <c r="Y177" s="76"/>
      <c r="Z177" s="76"/>
      <c r="AA177" s="76"/>
    </row>
    <row r="178" s="1" customFormat="1" ht="27.95" customHeight="1" spans="12:27">
      <c r="L178" s="76"/>
      <c r="M178" s="76"/>
      <c r="N178" s="76"/>
      <c r="O178" s="76"/>
      <c r="P178" s="76"/>
      <c r="Q178" s="76"/>
      <c r="R178" s="76"/>
      <c r="S178" s="76"/>
      <c r="T178" s="76"/>
      <c r="U178" s="76"/>
      <c r="V178" s="76"/>
      <c r="W178" s="76"/>
      <c r="X178" s="76"/>
      <c r="Y178" s="76"/>
      <c r="Z178" s="76"/>
      <c r="AA178" s="76"/>
    </row>
    <row r="179" s="1" customFormat="1" ht="27.95" customHeight="1" spans="12:27">
      <c r="L179" s="76"/>
      <c r="M179" s="76"/>
      <c r="N179" s="76"/>
      <c r="O179" s="76"/>
      <c r="P179" s="76"/>
      <c r="Q179" s="76"/>
      <c r="R179" s="76"/>
      <c r="S179" s="76"/>
      <c r="T179" s="76"/>
      <c r="U179" s="76"/>
      <c r="V179" s="76"/>
      <c r="W179" s="76"/>
      <c r="X179" s="76"/>
      <c r="Y179" s="76"/>
      <c r="Z179" s="76"/>
      <c r="AA179" s="76"/>
    </row>
    <row r="180" s="1" customFormat="1" ht="27.95" customHeight="1" spans="12:27">
      <c r="L180" s="76"/>
      <c r="M180" s="76"/>
      <c r="N180" s="76"/>
      <c r="O180" s="76"/>
      <c r="P180" s="76"/>
      <c r="Q180" s="76"/>
      <c r="R180" s="76"/>
      <c r="S180" s="76"/>
      <c r="T180" s="76"/>
      <c r="U180" s="76"/>
      <c r="V180" s="76"/>
      <c r="W180" s="76"/>
      <c r="X180" s="76"/>
      <c r="Y180" s="76"/>
      <c r="Z180" s="76"/>
      <c r="AA180" s="76"/>
    </row>
    <row r="181" s="1" customFormat="1" ht="27.95" customHeight="1" spans="12:27">
      <c r="L181" s="76"/>
      <c r="M181" s="76"/>
      <c r="N181" s="76"/>
      <c r="O181" s="76"/>
      <c r="P181" s="76"/>
      <c r="Q181" s="76"/>
      <c r="R181" s="76"/>
      <c r="S181" s="76"/>
      <c r="T181" s="76"/>
      <c r="U181" s="76"/>
      <c r="V181" s="76"/>
      <c r="W181" s="76"/>
      <c r="X181" s="76"/>
      <c r="Y181" s="76"/>
      <c r="Z181" s="76"/>
      <c r="AA181" s="76"/>
    </row>
    <row r="182" s="1" customFormat="1" ht="27.95" customHeight="1" spans="12:27">
      <c r="L182" s="76"/>
      <c r="M182" s="76"/>
      <c r="N182" s="76"/>
      <c r="O182" s="76"/>
      <c r="P182" s="76"/>
      <c r="Q182" s="76"/>
      <c r="R182" s="76"/>
      <c r="S182" s="76"/>
      <c r="T182" s="76"/>
      <c r="U182" s="76"/>
      <c r="V182" s="76"/>
      <c r="W182" s="76"/>
      <c r="X182" s="76"/>
      <c r="Y182" s="76"/>
      <c r="Z182" s="76"/>
      <c r="AA182" s="76"/>
    </row>
    <row r="183" s="1" customFormat="1" ht="27.95" customHeight="1" spans="12:27">
      <c r="L183" s="76"/>
      <c r="M183" s="76"/>
      <c r="N183" s="76"/>
      <c r="O183" s="76"/>
      <c r="P183" s="76"/>
      <c r="Q183" s="76"/>
      <c r="R183" s="76"/>
      <c r="S183" s="76"/>
      <c r="T183" s="76"/>
      <c r="U183" s="76"/>
      <c r="V183" s="76"/>
      <c r="W183" s="76"/>
      <c r="X183" s="76"/>
      <c r="Y183" s="76"/>
      <c r="Z183" s="76"/>
      <c r="AA183" s="76"/>
    </row>
    <row r="184" s="1" customFormat="1" ht="27.95" customHeight="1" spans="12:27">
      <c r="L184" s="76"/>
      <c r="M184" s="76"/>
      <c r="N184" s="76"/>
      <c r="O184" s="76"/>
      <c r="P184" s="76"/>
      <c r="Q184" s="76"/>
      <c r="R184" s="76"/>
      <c r="S184" s="76"/>
      <c r="T184" s="76"/>
      <c r="U184" s="76"/>
      <c r="V184" s="76"/>
      <c r="W184" s="76"/>
      <c r="X184" s="76"/>
      <c r="Y184" s="76"/>
      <c r="Z184" s="76"/>
      <c r="AA184" s="76"/>
    </row>
    <row r="185" s="1" customFormat="1" ht="27.95" customHeight="1" spans="12:27">
      <c r="L185" s="76"/>
      <c r="M185" s="76"/>
      <c r="N185" s="76"/>
      <c r="O185" s="76"/>
      <c r="P185" s="76"/>
      <c r="Q185" s="76"/>
      <c r="R185" s="76"/>
      <c r="S185" s="76"/>
      <c r="T185" s="76"/>
      <c r="U185" s="76"/>
      <c r="V185" s="76"/>
      <c r="W185" s="76"/>
      <c r="X185" s="76"/>
      <c r="Y185" s="76"/>
      <c r="Z185" s="76"/>
      <c r="AA185" s="76"/>
    </row>
    <row r="186" s="1" customFormat="1" ht="27.95" customHeight="1" spans="12:27">
      <c r="L186" s="76"/>
      <c r="M186" s="76"/>
      <c r="N186" s="76"/>
      <c r="O186" s="76"/>
      <c r="P186" s="76"/>
      <c r="Q186" s="76"/>
      <c r="R186" s="76"/>
      <c r="S186" s="76"/>
      <c r="T186" s="76"/>
      <c r="U186" s="76"/>
      <c r="V186" s="76"/>
      <c r="W186" s="76"/>
      <c r="X186" s="76"/>
      <c r="Y186" s="76"/>
      <c r="Z186" s="76"/>
      <c r="AA186" s="76"/>
    </row>
    <row r="187" s="1" customFormat="1" ht="27.95" customHeight="1" spans="12:27">
      <c r="L187" s="76"/>
      <c r="M187" s="76"/>
      <c r="N187" s="76"/>
      <c r="O187" s="76"/>
      <c r="P187" s="76"/>
      <c r="Q187" s="76"/>
      <c r="R187" s="76"/>
      <c r="S187" s="76"/>
      <c r="T187" s="76"/>
      <c r="U187" s="76"/>
      <c r="V187" s="76"/>
      <c r="W187" s="76"/>
      <c r="X187" s="76"/>
      <c r="Y187" s="76"/>
      <c r="Z187" s="76"/>
      <c r="AA187" s="76"/>
    </row>
    <row r="188" s="1" customFormat="1" ht="27.95" customHeight="1" spans="12:27">
      <c r="L188" s="76"/>
      <c r="M188" s="76"/>
      <c r="N188" s="76"/>
      <c r="O188" s="76"/>
      <c r="P188" s="76"/>
      <c r="Q188" s="76"/>
      <c r="R188" s="76"/>
      <c r="S188" s="76"/>
      <c r="T188" s="76"/>
      <c r="U188" s="76"/>
      <c r="V188" s="76"/>
      <c r="W188" s="76"/>
      <c r="X188" s="76"/>
      <c r="Y188" s="76"/>
      <c r="Z188" s="76"/>
      <c r="AA188" s="76"/>
    </row>
    <row r="189" s="1" customFormat="1" ht="27.95" customHeight="1" spans="12:27">
      <c r="L189" s="76"/>
      <c r="M189" s="76"/>
      <c r="N189" s="76"/>
      <c r="O189" s="76"/>
      <c r="P189" s="76"/>
      <c r="Q189" s="76"/>
      <c r="R189" s="76"/>
      <c r="S189" s="76"/>
      <c r="T189" s="76"/>
      <c r="U189" s="76"/>
      <c r="V189" s="76"/>
      <c r="W189" s="76"/>
      <c r="X189" s="76"/>
      <c r="Y189" s="76"/>
      <c r="Z189" s="76"/>
      <c r="AA189" s="76"/>
    </row>
    <row r="190" s="1" customFormat="1" ht="27.95" customHeight="1" spans="12:27">
      <c r="L190" s="76"/>
      <c r="M190" s="76"/>
      <c r="N190" s="76"/>
      <c r="O190" s="76"/>
      <c r="P190" s="76"/>
      <c r="Q190" s="76"/>
      <c r="R190" s="76"/>
      <c r="S190" s="76"/>
      <c r="T190" s="76"/>
      <c r="U190" s="76"/>
      <c r="V190" s="76"/>
      <c r="W190" s="76"/>
      <c r="X190" s="76"/>
      <c r="Y190" s="76"/>
      <c r="Z190" s="76"/>
      <c r="AA190" s="76"/>
    </row>
    <row r="191" s="1" customFormat="1" ht="27.95" customHeight="1" spans="12:27">
      <c r="L191" s="76"/>
      <c r="M191" s="76"/>
      <c r="N191" s="76"/>
      <c r="O191" s="76"/>
      <c r="P191" s="76"/>
      <c r="Q191" s="76"/>
      <c r="R191" s="76"/>
      <c r="S191" s="76"/>
      <c r="T191" s="76"/>
      <c r="U191" s="76"/>
      <c r="V191" s="76"/>
      <c r="W191" s="76"/>
      <c r="X191" s="76"/>
      <c r="Y191" s="76"/>
      <c r="Z191" s="76"/>
      <c r="AA191" s="76"/>
    </row>
    <row r="192" s="1" customFormat="1" ht="27.95" customHeight="1" spans="12:27">
      <c r="L192" s="76"/>
      <c r="M192" s="76"/>
      <c r="N192" s="76"/>
      <c r="O192" s="76"/>
      <c r="P192" s="76"/>
      <c r="Q192" s="76"/>
      <c r="R192" s="76"/>
      <c r="S192" s="76"/>
      <c r="T192" s="76"/>
      <c r="U192" s="76"/>
      <c r="V192" s="76"/>
      <c r="W192" s="76"/>
      <c r="X192" s="76"/>
      <c r="Y192" s="76"/>
      <c r="Z192" s="76"/>
      <c r="AA192" s="76"/>
    </row>
    <row r="193" s="1" customFormat="1" ht="27.95" customHeight="1" spans="12:27">
      <c r="L193" s="76"/>
      <c r="M193" s="76"/>
      <c r="N193" s="76"/>
      <c r="O193" s="76"/>
      <c r="P193" s="76"/>
      <c r="Q193" s="76"/>
      <c r="R193" s="76"/>
      <c r="S193" s="76"/>
      <c r="T193" s="76"/>
      <c r="U193" s="76"/>
      <c r="V193" s="76"/>
      <c r="W193" s="76"/>
      <c r="X193" s="76"/>
      <c r="Y193" s="76"/>
      <c r="Z193" s="76"/>
      <c r="AA193" s="76"/>
    </row>
    <row r="194" s="1" customFormat="1" ht="27.95" customHeight="1" spans="12:27">
      <c r="L194" s="76"/>
      <c r="M194" s="76"/>
      <c r="N194" s="76"/>
      <c r="O194" s="76"/>
      <c r="P194" s="76"/>
      <c r="Q194" s="76"/>
      <c r="R194" s="76"/>
      <c r="S194" s="76"/>
      <c r="T194" s="76"/>
      <c r="U194" s="76"/>
      <c r="V194" s="76"/>
      <c r="W194" s="76"/>
      <c r="X194" s="76"/>
      <c r="Y194" s="76"/>
      <c r="Z194" s="76"/>
      <c r="AA194" s="76"/>
    </row>
    <row r="195" s="1" customFormat="1" ht="27.95" customHeight="1" spans="12:27">
      <c r="L195" s="76"/>
      <c r="M195" s="76"/>
      <c r="N195" s="76"/>
      <c r="O195" s="76"/>
      <c r="P195" s="76"/>
      <c r="Q195" s="76"/>
      <c r="R195" s="76"/>
      <c r="S195" s="76"/>
      <c r="T195" s="76"/>
      <c r="U195" s="76"/>
      <c r="V195" s="76"/>
      <c r="W195" s="76"/>
      <c r="X195" s="76"/>
      <c r="Y195" s="76"/>
      <c r="Z195" s="76"/>
      <c r="AA195" s="76"/>
    </row>
    <row r="196" s="1" customFormat="1" ht="27.95" customHeight="1" spans="12:27">
      <c r="L196" s="76"/>
      <c r="M196" s="76"/>
      <c r="N196" s="76"/>
      <c r="O196" s="76"/>
      <c r="P196" s="76"/>
      <c r="Q196" s="76"/>
      <c r="R196" s="76"/>
      <c r="S196" s="76"/>
      <c r="T196" s="76"/>
      <c r="U196" s="76"/>
      <c r="V196" s="76"/>
      <c r="W196" s="76"/>
      <c r="X196" s="76"/>
      <c r="Y196" s="76"/>
      <c r="Z196" s="76"/>
      <c r="AA196" s="76"/>
    </row>
    <row r="197" s="1" customFormat="1" ht="27.95" customHeight="1" spans="12:27">
      <c r="L197" s="76"/>
      <c r="M197" s="76"/>
      <c r="N197" s="76"/>
      <c r="O197" s="76"/>
      <c r="P197" s="76"/>
      <c r="Q197" s="76"/>
      <c r="R197" s="76"/>
      <c r="S197" s="76"/>
      <c r="T197" s="76"/>
      <c r="U197" s="76"/>
      <c r="V197" s="76"/>
      <c r="W197" s="76"/>
      <c r="X197" s="76"/>
      <c r="Y197" s="76"/>
      <c r="Z197" s="76"/>
      <c r="AA197" s="76"/>
    </row>
    <row r="198" s="1" customFormat="1" ht="27.95" customHeight="1" spans="12:27">
      <c r="L198" s="76"/>
      <c r="M198" s="76"/>
      <c r="N198" s="76"/>
      <c r="O198" s="76"/>
      <c r="P198" s="76"/>
      <c r="Q198" s="76"/>
      <c r="R198" s="76"/>
      <c r="S198" s="76"/>
      <c r="T198" s="76"/>
      <c r="U198" s="76"/>
      <c r="V198" s="76"/>
      <c r="W198" s="76"/>
      <c r="X198" s="76"/>
      <c r="Y198" s="76"/>
      <c r="Z198" s="76"/>
      <c r="AA198" s="76"/>
    </row>
    <row r="199" s="1" customFormat="1" ht="27.95" customHeight="1" spans="12:27">
      <c r="L199" s="76"/>
      <c r="M199" s="76"/>
      <c r="N199" s="76"/>
      <c r="O199" s="76"/>
      <c r="P199" s="76"/>
      <c r="Q199" s="76"/>
      <c r="R199" s="76"/>
      <c r="S199" s="76"/>
      <c r="T199" s="76"/>
      <c r="U199" s="76"/>
      <c r="V199" s="76"/>
      <c r="W199" s="76"/>
      <c r="X199" s="76"/>
      <c r="Y199" s="76"/>
      <c r="Z199" s="76"/>
      <c r="AA199" s="76"/>
    </row>
    <row r="200" s="1" customFormat="1" ht="27.95" customHeight="1" spans="12:27">
      <c r="L200" s="76"/>
      <c r="M200" s="76"/>
      <c r="N200" s="76"/>
      <c r="O200" s="76"/>
      <c r="P200" s="76"/>
      <c r="Q200" s="76"/>
      <c r="R200" s="76"/>
      <c r="S200" s="76"/>
      <c r="T200" s="76"/>
      <c r="U200" s="76"/>
      <c r="V200" s="76"/>
      <c r="W200" s="76"/>
      <c r="X200" s="76"/>
      <c r="Y200" s="76"/>
      <c r="Z200" s="76"/>
      <c r="AA200" s="76"/>
    </row>
    <row r="201" s="1" customFormat="1" ht="27.95" customHeight="1" spans="12:27">
      <c r="L201" s="76"/>
      <c r="M201" s="76"/>
      <c r="N201" s="76"/>
      <c r="O201" s="76"/>
      <c r="P201" s="76"/>
      <c r="Q201" s="76"/>
      <c r="R201" s="76"/>
      <c r="S201" s="76"/>
      <c r="T201" s="76"/>
      <c r="U201" s="76"/>
      <c r="V201" s="76"/>
      <c r="W201" s="76"/>
      <c r="X201" s="76"/>
      <c r="Y201" s="76"/>
      <c r="Z201" s="76"/>
      <c r="AA201" s="76"/>
    </row>
    <row r="202" s="1" customFormat="1" ht="27.95" customHeight="1" spans="12:27">
      <c r="L202" s="76"/>
      <c r="M202" s="76"/>
      <c r="N202" s="76"/>
      <c r="O202" s="76"/>
      <c r="P202" s="76"/>
      <c r="Q202" s="76"/>
      <c r="R202" s="76"/>
      <c r="S202" s="76"/>
      <c r="T202" s="76"/>
      <c r="U202" s="76"/>
      <c r="V202" s="76"/>
      <c r="W202" s="76"/>
      <c r="X202" s="76"/>
      <c r="Y202" s="76"/>
      <c r="Z202" s="76"/>
      <c r="AA202" s="76"/>
    </row>
    <row r="203" s="1" customFormat="1" ht="27.95" customHeight="1" spans="12:27">
      <c r="L203" s="76"/>
      <c r="M203" s="76"/>
      <c r="N203" s="76"/>
      <c r="O203" s="76"/>
      <c r="P203" s="76"/>
      <c r="Q203" s="76"/>
      <c r="R203" s="76"/>
      <c r="S203" s="76"/>
      <c r="T203" s="76"/>
      <c r="U203" s="76"/>
      <c r="V203" s="76"/>
      <c r="W203" s="76"/>
      <c r="X203" s="76"/>
      <c r="Y203" s="76"/>
      <c r="Z203" s="76"/>
      <c r="AA203" s="76"/>
    </row>
    <row r="204" s="1" customFormat="1" ht="27.95" customHeight="1" spans="12:27">
      <c r="L204" s="76"/>
      <c r="M204" s="76"/>
      <c r="N204" s="76"/>
      <c r="O204" s="76"/>
      <c r="P204" s="76"/>
      <c r="Q204" s="76"/>
      <c r="R204" s="76"/>
      <c r="S204" s="76"/>
      <c r="T204" s="76"/>
      <c r="U204" s="76"/>
      <c r="V204" s="76"/>
      <c r="W204" s="76"/>
      <c r="X204" s="76"/>
      <c r="Y204" s="76"/>
      <c r="Z204" s="76"/>
      <c r="AA204" s="76"/>
    </row>
    <row r="205" s="1" customFormat="1" ht="27.95" customHeight="1" spans="12:27">
      <c r="L205" s="76"/>
      <c r="M205" s="76"/>
      <c r="N205" s="76"/>
      <c r="O205" s="76"/>
      <c r="P205" s="76"/>
      <c r="Q205" s="76"/>
      <c r="R205" s="76"/>
      <c r="S205" s="76"/>
      <c r="T205" s="76"/>
      <c r="U205" s="76"/>
      <c r="V205" s="76"/>
      <c r="W205" s="76"/>
      <c r="X205" s="76"/>
      <c r="Y205" s="76"/>
      <c r="Z205" s="76"/>
      <c r="AA205" s="76"/>
    </row>
    <row r="206" s="1" customFormat="1" ht="27.95" customHeight="1" spans="12:27">
      <c r="L206" s="76"/>
      <c r="M206" s="76"/>
      <c r="N206" s="76"/>
      <c r="O206" s="76"/>
      <c r="P206" s="76"/>
      <c r="Q206" s="76"/>
      <c r="R206" s="76"/>
      <c r="S206" s="76"/>
      <c r="T206" s="76"/>
      <c r="U206" s="76"/>
      <c r="V206" s="76"/>
      <c r="W206" s="76"/>
      <c r="X206" s="76"/>
      <c r="Y206" s="76"/>
      <c r="Z206" s="76"/>
      <c r="AA206" s="76"/>
    </row>
    <row r="207" s="1" customFormat="1" ht="27.95" customHeight="1" spans="12:27">
      <c r="L207" s="76"/>
      <c r="M207" s="76"/>
      <c r="N207" s="76"/>
      <c r="O207" s="76"/>
      <c r="P207" s="76"/>
      <c r="Q207" s="76"/>
      <c r="R207" s="76"/>
      <c r="S207" s="76"/>
      <c r="T207" s="76"/>
      <c r="U207" s="76"/>
      <c r="V207" s="76"/>
      <c r="W207" s="76"/>
      <c r="X207" s="76"/>
      <c r="Y207" s="76"/>
      <c r="Z207" s="76"/>
      <c r="AA207" s="76"/>
    </row>
    <row r="208" s="1" customFormat="1" ht="27.95" customHeight="1" spans="12:27">
      <c r="L208" s="76"/>
      <c r="M208" s="76"/>
      <c r="N208" s="76"/>
      <c r="O208" s="76"/>
      <c r="P208" s="76"/>
      <c r="Q208" s="76"/>
      <c r="R208" s="76"/>
      <c r="S208" s="76"/>
      <c r="T208" s="76"/>
      <c r="U208" s="76"/>
      <c r="V208" s="76"/>
      <c r="W208" s="76"/>
      <c r="X208" s="76"/>
      <c r="Y208" s="76"/>
      <c r="Z208" s="76"/>
      <c r="AA208" s="76"/>
    </row>
    <row r="209" s="1" customFormat="1" ht="27.95" customHeight="1" spans="12:27">
      <c r="L209" s="76"/>
      <c r="M209" s="76"/>
      <c r="N209" s="76"/>
      <c r="O209" s="76"/>
      <c r="P209" s="76"/>
      <c r="Q209" s="76"/>
      <c r="R209" s="76"/>
      <c r="S209" s="76"/>
      <c r="T209" s="76"/>
      <c r="U209" s="76"/>
      <c r="V209" s="76"/>
      <c r="W209" s="76"/>
      <c r="X209" s="76"/>
      <c r="Y209" s="76"/>
      <c r="Z209" s="76"/>
      <c r="AA209" s="76"/>
    </row>
    <row r="210" s="1" customFormat="1" ht="27.95" customHeight="1" spans="12:27">
      <c r="L210" s="76"/>
      <c r="M210" s="76"/>
      <c r="N210" s="76"/>
      <c r="O210" s="76"/>
      <c r="P210" s="76"/>
      <c r="Q210" s="76"/>
      <c r="R210" s="76"/>
      <c r="S210" s="76"/>
      <c r="T210" s="76"/>
      <c r="U210" s="76"/>
      <c r="V210" s="76"/>
      <c r="W210" s="76"/>
      <c r="X210" s="76"/>
      <c r="Y210" s="76"/>
      <c r="Z210" s="76"/>
      <c r="AA210" s="76"/>
    </row>
    <row r="211" s="1" customFormat="1" ht="27.95" customHeight="1" spans="12:27">
      <c r="L211" s="76"/>
      <c r="M211" s="76"/>
      <c r="N211" s="76"/>
      <c r="O211" s="76"/>
      <c r="P211" s="76"/>
      <c r="Q211" s="76"/>
      <c r="R211" s="76"/>
      <c r="S211" s="76"/>
      <c r="T211" s="76"/>
      <c r="U211" s="76"/>
      <c r="V211" s="76"/>
      <c r="W211" s="76"/>
      <c r="X211" s="76"/>
      <c r="Y211" s="76"/>
      <c r="Z211" s="76"/>
      <c r="AA211" s="76"/>
    </row>
    <row r="212" s="1" customFormat="1" ht="27.95" customHeight="1" spans="12:27">
      <c r="L212" s="76"/>
      <c r="M212" s="76"/>
      <c r="N212" s="76"/>
      <c r="O212" s="76"/>
      <c r="P212" s="76"/>
      <c r="Q212" s="76"/>
      <c r="R212" s="76"/>
      <c r="S212" s="76"/>
      <c r="T212" s="76"/>
      <c r="U212" s="76"/>
      <c r="V212" s="76"/>
      <c r="W212" s="76"/>
      <c r="X212" s="76"/>
      <c r="Y212" s="76"/>
      <c r="Z212" s="76"/>
      <c r="AA212" s="76"/>
    </row>
    <row r="213" s="1" customFormat="1" ht="27.95" customHeight="1" spans="12:27">
      <c r="L213" s="76"/>
      <c r="M213" s="76"/>
      <c r="N213" s="76"/>
      <c r="O213" s="76"/>
      <c r="P213" s="76"/>
      <c r="Q213" s="76"/>
      <c r="R213" s="76"/>
      <c r="S213" s="76"/>
      <c r="T213" s="76"/>
      <c r="U213" s="76"/>
      <c r="V213" s="76"/>
      <c r="W213" s="76"/>
      <c r="X213" s="76"/>
      <c r="Y213" s="76"/>
      <c r="Z213" s="76"/>
      <c r="AA213" s="76"/>
    </row>
    <row r="214" s="1" customFormat="1" ht="27.95" customHeight="1" spans="12:27">
      <c r="L214" s="76"/>
      <c r="M214" s="76"/>
      <c r="N214" s="76"/>
      <c r="O214" s="76"/>
      <c r="P214" s="76"/>
      <c r="Q214" s="76"/>
      <c r="R214" s="76"/>
      <c r="S214" s="76"/>
      <c r="T214" s="76"/>
      <c r="U214" s="76"/>
      <c r="V214" s="76"/>
      <c r="W214" s="76"/>
      <c r="X214" s="76"/>
      <c r="Y214" s="76"/>
      <c r="Z214" s="76"/>
      <c r="AA214" s="76"/>
    </row>
    <row r="215" s="1" customFormat="1" ht="27.95" customHeight="1" spans="12:27">
      <c r="L215" s="76"/>
      <c r="M215" s="76"/>
      <c r="N215" s="76"/>
      <c r="O215" s="76"/>
      <c r="P215" s="76"/>
      <c r="Q215" s="76"/>
      <c r="R215" s="76"/>
      <c r="S215" s="76"/>
      <c r="T215" s="76"/>
      <c r="U215" s="76"/>
      <c r="V215" s="76"/>
      <c r="W215" s="76"/>
      <c r="X215" s="76"/>
      <c r="Y215" s="76"/>
      <c r="Z215" s="76"/>
      <c r="AA215" s="76"/>
    </row>
    <row r="216" s="1" customFormat="1" ht="27.95" customHeight="1" spans="12:27">
      <c r="L216" s="76"/>
      <c r="M216" s="76"/>
      <c r="N216" s="76"/>
      <c r="O216" s="76"/>
      <c r="P216" s="76"/>
      <c r="Q216" s="76"/>
      <c r="R216" s="76"/>
      <c r="S216" s="76"/>
      <c r="T216" s="76"/>
      <c r="U216" s="76"/>
      <c r="V216" s="76"/>
      <c r="W216" s="76"/>
      <c r="X216" s="76"/>
      <c r="Y216" s="76"/>
      <c r="Z216" s="76"/>
      <c r="AA216" s="76"/>
    </row>
    <row r="217" s="1" customFormat="1" ht="27" customHeight="1" spans="12:27">
      <c r="L217" s="76"/>
      <c r="M217" s="76"/>
      <c r="N217" s="76"/>
      <c r="O217" s="76"/>
      <c r="P217" s="76"/>
      <c r="Q217" s="76"/>
      <c r="R217" s="76"/>
      <c r="S217" s="76"/>
      <c r="T217" s="76"/>
      <c r="U217" s="76"/>
      <c r="V217" s="76"/>
      <c r="W217" s="76"/>
      <c r="X217" s="76"/>
      <c r="Y217" s="76"/>
      <c r="Z217" s="76"/>
      <c r="AA217" s="76"/>
    </row>
    <row r="218" s="1" customFormat="1" ht="27" customHeight="1" spans="12:27">
      <c r="L218" s="76"/>
      <c r="M218" s="76"/>
      <c r="N218" s="76"/>
      <c r="O218" s="76"/>
      <c r="P218" s="76"/>
      <c r="Q218" s="76"/>
      <c r="R218" s="76"/>
      <c r="S218" s="76"/>
      <c r="T218" s="76"/>
      <c r="U218" s="76"/>
      <c r="V218" s="76"/>
      <c r="W218" s="76"/>
      <c r="X218" s="76"/>
      <c r="Y218" s="76"/>
      <c r="Z218" s="76"/>
      <c r="AA218" s="76"/>
    </row>
    <row r="219" s="1" customFormat="1" ht="27" customHeight="1" spans="12:27">
      <c r="L219" s="76"/>
      <c r="M219" s="76"/>
      <c r="N219" s="76"/>
      <c r="O219" s="76"/>
      <c r="P219" s="76"/>
      <c r="Q219" s="76"/>
      <c r="R219" s="76"/>
      <c r="S219" s="76"/>
      <c r="T219" s="76"/>
      <c r="U219" s="76"/>
      <c r="V219" s="76"/>
      <c r="W219" s="76"/>
      <c r="X219" s="76"/>
      <c r="Y219" s="76"/>
      <c r="Z219" s="76"/>
      <c r="AA219" s="76"/>
    </row>
    <row r="220" s="1" customFormat="1" ht="27" customHeight="1" spans="12:27">
      <c r="L220" s="76"/>
      <c r="M220" s="76"/>
      <c r="N220" s="76"/>
      <c r="O220" s="76"/>
      <c r="P220" s="76"/>
      <c r="Q220" s="76"/>
      <c r="R220" s="76"/>
      <c r="S220" s="76"/>
      <c r="T220" s="76"/>
      <c r="U220" s="76"/>
      <c r="V220" s="76"/>
      <c r="W220" s="76"/>
      <c r="X220" s="76"/>
      <c r="Y220" s="76"/>
      <c r="Z220" s="76"/>
      <c r="AA220" s="76"/>
    </row>
    <row r="221" s="1" customFormat="1" ht="27" customHeight="1" spans="12:27">
      <c r="L221" s="76"/>
      <c r="M221" s="76"/>
      <c r="N221" s="76"/>
      <c r="O221" s="76"/>
      <c r="P221" s="76"/>
      <c r="Q221" s="76"/>
      <c r="R221" s="76"/>
      <c r="S221" s="76"/>
      <c r="T221" s="76"/>
      <c r="U221" s="76"/>
      <c r="V221" s="76"/>
      <c r="W221" s="76"/>
      <c r="X221" s="76"/>
      <c r="Y221" s="76"/>
      <c r="Z221" s="76"/>
      <c r="AA221" s="76"/>
    </row>
    <row r="222" s="1" customFormat="1" ht="27" customHeight="1" spans="12:27">
      <c r="L222" s="76"/>
      <c r="M222" s="76"/>
      <c r="N222" s="76"/>
      <c r="O222" s="76"/>
      <c r="P222" s="76"/>
      <c r="Q222" s="76"/>
      <c r="R222" s="76"/>
      <c r="S222" s="76"/>
      <c r="T222" s="76"/>
      <c r="U222" s="76"/>
      <c r="V222" s="76"/>
      <c r="W222" s="76"/>
      <c r="X222" s="76"/>
      <c r="Y222" s="76"/>
      <c r="Z222" s="76"/>
      <c r="AA222" s="76"/>
    </row>
    <row r="223" s="1" customFormat="1" ht="27" customHeight="1" spans="12:27">
      <c r="L223" s="76"/>
      <c r="M223" s="76"/>
      <c r="N223" s="76"/>
      <c r="O223" s="76"/>
      <c r="P223" s="76"/>
      <c r="Q223" s="76"/>
      <c r="R223" s="76"/>
      <c r="S223" s="76"/>
      <c r="T223" s="76"/>
      <c r="U223" s="76"/>
      <c r="V223" s="76"/>
      <c r="W223" s="76"/>
      <c r="X223" s="76"/>
      <c r="Y223" s="76"/>
      <c r="Z223" s="76"/>
      <c r="AA223" s="76"/>
    </row>
    <row r="224" s="1" customFormat="1" ht="27" customHeight="1" spans="12:27">
      <c r="L224" s="76"/>
      <c r="M224" s="76"/>
      <c r="N224" s="76"/>
      <c r="O224" s="76"/>
      <c r="P224" s="76"/>
      <c r="Q224" s="76"/>
      <c r="R224" s="76"/>
      <c r="S224" s="76"/>
      <c r="T224" s="76"/>
      <c r="U224" s="76"/>
      <c r="V224" s="76"/>
      <c r="W224" s="76"/>
      <c r="X224" s="76"/>
      <c r="Y224" s="76"/>
      <c r="Z224" s="76"/>
      <c r="AA224" s="76"/>
    </row>
    <row r="225" s="1" customFormat="1" ht="27" customHeight="1" spans="12:27">
      <c r="L225" s="76"/>
      <c r="M225" s="76"/>
      <c r="N225" s="76"/>
      <c r="O225" s="76"/>
      <c r="P225" s="76"/>
      <c r="Q225" s="76"/>
      <c r="R225" s="76"/>
      <c r="S225" s="76"/>
      <c r="T225" s="76"/>
      <c r="U225" s="76"/>
      <c r="V225" s="76"/>
      <c r="W225" s="76"/>
      <c r="X225" s="76"/>
      <c r="Y225" s="76"/>
      <c r="Z225" s="76"/>
      <c r="AA225" s="76"/>
    </row>
    <row r="226" s="1" customFormat="1" ht="27" customHeight="1" spans="12:27">
      <c r="L226" s="76"/>
      <c r="M226" s="76"/>
      <c r="N226" s="76"/>
      <c r="O226" s="76"/>
      <c r="P226" s="76"/>
      <c r="Q226" s="76"/>
      <c r="R226" s="76"/>
      <c r="S226" s="76"/>
      <c r="T226" s="76"/>
      <c r="U226" s="76"/>
      <c r="V226" s="76"/>
      <c r="W226" s="76"/>
      <c r="X226" s="76"/>
      <c r="Y226" s="76"/>
      <c r="Z226" s="76"/>
      <c r="AA226" s="76"/>
    </row>
    <row r="227" s="1" customFormat="1" ht="27" customHeight="1" spans="12:27">
      <c r="L227" s="76"/>
      <c r="M227" s="76"/>
      <c r="N227" s="76"/>
      <c r="O227" s="76"/>
      <c r="P227" s="76"/>
      <c r="Q227" s="76"/>
      <c r="R227" s="76"/>
      <c r="S227" s="76"/>
      <c r="T227" s="76"/>
      <c r="U227" s="76"/>
      <c r="V227" s="76"/>
      <c r="W227" s="76"/>
      <c r="X227" s="76"/>
      <c r="Y227" s="76"/>
      <c r="Z227" s="76"/>
      <c r="AA227" s="76"/>
    </row>
    <row r="228" s="1" customFormat="1" ht="27" customHeight="1" spans="12:27">
      <c r="L228" s="76"/>
      <c r="M228" s="76"/>
      <c r="N228" s="76"/>
      <c r="O228" s="76"/>
      <c r="P228" s="76"/>
      <c r="Q228" s="76"/>
      <c r="R228" s="76"/>
      <c r="S228" s="76"/>
      <c r="T228" s="76"/>
      <c r="U228" s="76"/>
      <c r="V228" s="76"/>
      <c r="W228" s="76"/>
      <c r="X228" s="76"/>
      <c r="Y228" s="76"/>
      <c r="Z228" s="76"/>
      <c r="AA228" s="76"/>
    </row>
    <row r="229" s="1" customFormat="1" ht="27" customHeight="1" spans="12:27">
      <c r="L229" s="76"/>
      <c r="M229" s="76"/>
      <c r="N229" s="76"/>
      <c r="O229" s="76"/>
      <c r="P229" s="76"/>
      <c r="Q229" s="76"/>
      <c r="R229" s="76"/>
      <c r="S229" s="76"/>
      <c r="T229" s="76"/>
      <c r="U229" s="76"/>
      <c r="V229" s="76"/>
      <c r="W229" s="76"/>
      <c r="X229" s="76"/>
      <c r="Y229" s="76"/>
      <c r="Z229" s="76"/>
      <c r="AA229" s="76"/>
    </row>
    <row r="230" s="1" customFormat="1" ht="27" customHeight="1" spans="12:27">
      <c r="L230" s="76"/>
      <c r="M230" s="76"/>
      <c r="N230" s="76"/>
      <c r="O230" s="76"/>
      <c r="P230" s="76"/>
      <c r="Q230" s="76"/>
      <c r="R230" s="76"/>
      <c r="S230" s="76"/>
      <c r="T230" s="76"/>
      <c r="U230" s="76"/>
      <c r="V230" s="76"/>
      <c r="W230" s="76"/>
      <c r="X230" s="76"/>
      <c r="Y230" s="76"/>
      <c r="Z230" s="76"/>
      <c r="AA230" s="76"/>
    </row>
    <row r="231" s="1" customFormat="1" ht="27" customHeight="1" spans="12:27">
      <c r="L231" s="76"/>
      <c r="M231" s="76"/>
      <c r="N231" s="76"/>
      <c r="O231" s="76"/>
      <c r="P231" s="76"/>
      <c r="Q231" s="76"/>
      <c r="R231" s="76"/>
      <c r="S231" s="76"/>
      <c r="T231" s="76"/>
      <c r="U231" s="76"/>
      <c r="V231" s="76"/>
      <c r="W231" s="76"/>
      <c r="X231" s="76"/>
      <c r="Y231" s="76"/>
      <c r="Z231" s="76"/>
      <c r="AA231" s="76"/>
    </row>
    <row r="232" s="1" customFormat="1" ht="27" customHeight="1" spans="12:27">
      <c r="L232" s="76"/>
      <c r="M232" s="76"/>
      <c r="N232" s="76"/>
      <c r="O232" s="76"/>
      <c r="P232" s="76"/>
      <c r="Q232" s="76"/>
      <c r="R232" s="76"/>
      <c r="S232" s="76"/>
      <c r="T232" s="76"/>
      <c r="U232" s="76"/>
      <c r="V232" s="76"/>
      <c r="W232" s="76"/>
      <c r="X232" s="76"/>
      <c r="Y232" s="76"/>
      <c r="Z232" s="76"/>
      <c r="AA232" s="76"/>
    </row>
    <row r="233" s="1" customFormat="1" ht="27" customHeight="1" spans="12:27">
      <c r="L233" s="76"/>
      <c r="M233" s="76"/>
      <c r="N233" s="76"/>
      <c r="O233" s="76"/>
      <c r="P233" s="76"/>
      <c r="Q233" s="76"/>
      <c r="R233" s="76"/>
      <c r="S233" s="76"/>
      <c r="T233" s="76"/>
      <c r="U233" s="76"/>
      <c r="V233" s="76"/>
      <c r="W233" s="76"/>
      <c r="X233" s="76"/>
      <c r="Y233" s="76"/>
      <c r="Z233" s="76"/>
      <c r="AA233" s="76"/>
    </row>
    <row r="234" s="1" customFormat="1" ht="27" customHeight="1" spans="12:27">
      <c r="L234" s="76"/>
      <c r="M234" s="76"/>
      <c r="N234" s="76"/>
      <c r="O234" s="76"/>
      <c r="P234" s="76"/>
      <c r="Q234" s="76"/>
      <c r="R234" s="76"/>
      <c r="S234" s="76"/>
      <c r="T234" s="76"/>
      <c r="U234" s="76"/>
      <c r="V234" s="76"/>
      <c r="W234" s="76"/>
      <c r="X234" s="76"/>
      <c r="Y234" s="76"/>
      <c r="Z234" s="76"/>
      <c r="AA234" s="76"/>
    </row>
    <row r="235" s="1" customFormat="1" ht="27" customHeight="1" spans="12:27">
      <c r="L235" s="76"/>
      <c r="M235" s="76"/>
      <c r="N235" s="76"/>
      <c r="O235" s="76"/>
      <c r="P235" s="76"/>
      <c r="Q235" s="76"/>
      <c r="R235" s="76"/>
      <c r="S235" s="76"/>
      <c r="T235" s="76"/>
      <c r="U235" s="76"/>
      <c r="V235" s="76"/>
      <c r="W235" s="76"/>
      <c r="X235" s="76"/>
      <c r="Y235" s="76"/>
      <c r="Z235" s="76"/>
      <c r="AA235" s="76"/>
    </row>
    <row r="236" s="1" customFormat="1" ht="27" customHeight="1" spans="12:27">
      <c r="L236" s="76"/>
      <c r="M236" s="76"/>
      <c r="N236" s="76"/>
      <c r="O236" s="76"/>
      <c r="P236" s="76"/>
      <c r="Q236" s="76"/>
      <c r="R236" s="76"/>
      <c r="S236" s="76"/>
      <c r="T236" s="76"/>
      <c r="U236" s="76"/>
      <c r="V236" s="76"/>
      <c r="W236" s="76"/>
      <c r="X236" s="76"/>
      <c r="Y236" s="76"/>
      <c r="Z236" s="76"/>
      <c r="AA236" s="76"/>
    </row>
    <row r="237" s="1" customFormat="1" ht="27" customHeight="1" spans="12:27">
      <c r="L237" s="76"/>
      <c r="M237" s="76"/>
      <c r="N237" s="76"/>
      <c r="O237" s="76"/>
      <c r="P237" s="76"/>
      <c r="Q237" s="76"/>
      <c r="R237" s="76"/>
      <c r="S237" s="76"/>
      <c r="T237" s="76"/>
      <c r="U237" s="76"/>
      <c r="V237" s="76"/>
      <c r="W237" s="76"/>
      <c r="X237" s="76"/>
      <c r="Y237" s="76"/>
      <c r="Z237" s="76"/>
      <c r="AA237" s="76"/>
    </row>
    <row r="238" s="1" customFormat="1" ht="27" customHeight="1" spans="12:27">
      <c r="L238" s="76"/>
      <c r="M238" s="76"/>
      <c r="N238" s="76"/>
      <c r="O238" s="76"/>
      <c r="P238" s="76"/>
      <c r="Q238" s="76"/>
      <c r="R238" s="76"/>
      <c r="S238" s="76"/>
      <c r="T238" s="76"/>
      <c r="U238" s="76"/>
      <c r="V238" s="76"/>
      <c r="W238" s="76"/>
      <c r="X238" s="76"/>
      <c r="Y238" s="76"/>
      <c r="Z238" s="76"/>
      <c r="AA238" s="76"/>
    </row>
    <row r="239" s="1" customFormat="1" ht="27" customHeight="1" spans="12:27">
      <c r="L239" s="76"/>
      <c r="M239" s="76"/>
      <c r="N239" s="76"/>
      <c r="O239" s="76"/>
      <c r="P239" s="76"/>
      <c r="Q239" s="76"/>
      <c r="R239" s="76"/>
      <c r="S239" s="76"/>
      <c r="T239" s="76"/>
      <c r="U239" s="76"/>
      <c r="V239" s="76"/>
      <c r="W239" s="76"/>
      <c r="X239" s="76"/>
      <c r="Y239" s="76"/>
      <c r="Z239" s="76"/>
      <c r="AA239" s="76"/>
    </row>
    <row r="240" s="1" customFormat="1" ht="27" customHeight="1" spans="12:27">
      <c r="L240" s="76"/>
      <c r="M240" s="76"/>
      <c r="N240" s="76"/>
      <c r="O240" s="76"/>
      <c r="P240" s="76"/>
      <c r="Q240" s="76"/>
      <c r="R240" s="76"/>
      <c r="S240" s="76"/>
      <c r="T240" s="76"/>
      <c r="U240" s="76"/>
      <c r="V240" s="76"/>
      <c r="W240" s="76"/>
      <c r="X240" s="76"/>
      <c r="Y240" s="76"/>
      <c r="Z240" s="76"/>
      <c r="AA240" s="76"/>
    </row>
    <row r="241" s="1" customFormat="1" ht="27" customHeight="1" spans="12:27">
      <c r="L241" s="76"/>
      <c r="M241" s="76"/>
      <c r="N241" s="76"/>
      <c r="O241" s="76"/>
      <c r="P241" s="76"/>
      <c r="Q241" s="76"/>
      <c r="R241" s="76"/>
      <c r="S241" s="76"/>
      <c r="T241" s="76"/>
      <c r="U241" s="76"/>
      <c r="V241" s="76"/>
      <c r="W241" s="76"/>
      <c r="X241" s="76"/>
      <c r="Y241" s="76"/>
      <c r="Z241" s="76"/>
      <c r="AA241" s="76"/>
    </row>
    <row r="242" s="1" customFormat="1" ht="27" customHeight="1" spans="12:27">
      <c r="L242" s="76"/>
      <c r="M242" s="76"/>
      <c r="N242" s="76"/>
      <c r="O242" s="76"/>
      <c r="P242" s="76"/>
      <c r="Q242" s="76"/>
      <c r="R242" s="76"/>
      <c r="S242" s="76"/>
      <c r="T242" s="76"/>
      <c r="U242" s="76"/>
      <c r="V242" s="76"/>
      <c r="W242" s="76"/>
      <c r="X242" s="76"/>
      <c r="Y242" s="76"/>
      <c r="Z242" s="76"/>
      <c r="AA242" s="76"/>
    </row>
    <row r="243" s="1" customFormat="1" ht="27" customHeight="1" spans="12:27">
      <c r="L243" s="76"/>
      <c r="M243" s="76"/>
      <c r="N243" s="76"/>
      <c r="O243" s="76"/>
      <c r="P243" s="76"/>
      <c r="Q243" s="76"/>
      <c r="R243" s="76"/>
      <c r="S243" s="76"/>
      <c r="T243" s="76"/>
      <c r="U243" s="76"/>
      <c r="V243" s="76"/>
      <c r="W243" s="76"/>
      <c r="X243" s="76"/>
      <c r="Y243" s="76"/>
      <c r="Z243" s="76"/>
      <c r="AA243" s="76"/>
    </row>
    <row r="244" s="1" customFormat="1" ht="27" customHeight="1" spans="12:27">
      <c r="L244" s="76"/>
      <c r="M244" s="76"/>
      <c r="N244" s="76"/>
      <c r="O244" s="76"/>
      <c r="P244" s="76"/>
      <c r="Q244" s="76"/>
      <c r="R244" s="76"/>
      <c r="S244" s="76"/>
      <c r="T244" s="76"/>
      <c r="U244" s="76"/>
      <c r="V244" s="76"/>
      <c r="W244" s="76"/>
      <c r="X244" s="76"/>
      <c r="Y244" s="76"/>
      <c r="Z244" s="76"/>
      <c r="AA244" s="76"/>
    </row>
    <row r="245" s="1" customFormat="1" ht="27" customHeight="1" spans="12:27">
      <c r="L245" s="76"/>
      <c r="M245" s="76"/>
      <c r="N245" s="76"/>
      <c r="O245" s="76"/>
      <c r="P245" s="76"/>
      <c r="Q245" s="76"/>
      <c r="R245" s="76"/>
      <c r="S245" s="76"/>
      <c r="T245" s="76"/>
      <c r="U245" s="76"/>
      <c r="V245" s="76"/>
      <c r="W245" s="76"/>
      <c r="X245" s="76"/>
      <c r="Y245" s="76"/>
      <c r="Z245" s="76"/>
      <c r="AA245" s="76"/>
    </row>
    <row r="246" s="1" customFormat="1" ht="27" customHeight="1" spans="12:27">
      <c r="L246" s="76"/>
      <c r="M246" s="76"/>
      <c r="N246" s="76"/>
      <c r="O246" s="76"/>
      <c r="P246" s="76"/>
      <c r="Q246" s="76"/>
      <c r="R246" s="76"/>
      <c r="S246" s="76"/>
      <c r="T246" s="76"/>
      <c r="U246" s="76"/>
      <c r="V246" s="76"/>
      <c r="W246" s="76"/>
      <c r="X246" s="76"/>
      <c r="Y246" s="76"/>
      <c r="Z246" s="76"/>
      <c r="AA246" s="76"/>
    </row>
    <row r="247" s="1" customFormat="1" ht="27" customHeight="1" spans="12:27">
      <c r="L247" s="76"/>
      <c r="M247" s="76"/>
      <c r="N247" s="76"/>
      <c r="O247" s="76"/>
      <c r="P247" s="76"/>
      <c r="Q247" s="76"/>
      <c r="R247" s="76"/>
      <c r="S247" s="76"/>
      <c r="T247" s="76"/>
      <c r="U247" s="76"/>
      <c r="V247" s="76"/>
      <c r="W247" s="76"/>
      <c r="X247" s="76"/>
      <c r="Y247" s="76"/>
      <c r="Z247" s="76"/>
      <c r="AA247" s="76"/>
    </row>
    <row r="248" s="1" customFormat="1" ht="27" customHeight="1" spans="12:27">
      <c r="L248" s="76"/>
      <c r="M248" s="76"/>
      <c r="N248" s="76"/>
      <c r="O248" s="76"/>
      <c r="P248" s="76"/>
      <c r="Q248" s="76"/>
      <c r="R248" s="76"/>
      <c r="S248" s="76"/>
      <c r="T248" s="76"/>
      <c r="U248" s="76"/>
      <c r="V248" s="76"/>
      <c r="W248" s="76"/>
      <c r="X248" s="76"/>
      <c r="Y248" s="76"/>
      <c r="Z248" s="76"/>
      <c r="AA248" s="76"/>
    </row>
    <row r="249" s="1" customFormat="1" ht="27" customHeight="1" spans="12:27">
      <c r="L249" s="76"/>
      <c r="M249" s="76"/>
      <c r="N249" s="76"/>
      <c r="O249" s="76"/>
      <c r="P249" s="76"/>
      <c r="Q249" s="76"/>
      <c r="R249" s="76"/>
      <c r="S249" s="76"/>
      <c r="T249" s="76"/>
      <c r="U249" s="76"/>
      <c r="V249" s="76"/>
      <c r="W249" s="76"/>
      <c r="X249" s="76"/>
      <c r="Y249" s="76"/>
      <c r="Z249" s="76"/>
      <c r="AA249" s="76"/>
    </row>
    <row r="250" s="1" customFormat="1" ht="27" customHeight="1" spans="12:27">
      <c r="L250" s="76"/>
      <c r="M250" s="76"/>
      <c r="N250" s="76"/>
      <c r="O250" s="76"/>
      <c r="P250" s="76"/>
      <c r="Q250" s="76"/>
      <c r="R250" s="76"/>
      <c r="S250" s="76"/>
      <c r="T250" s="76"/>
      <c r="U250" s="76"/>
      <c r="V250" s="76"/>
      <c r="W250" s="76"/>
      <c r="X250" s="76"/>
      <c r="Y250" s="76"/>
      <c r="Z250" s="76"/>
      <c r="AA250" s="76"/>
    </row>
    <row r="251" s="1" customFormat="1" ht="27" customHeight="1" spans="12:27">
      <c r="L251" s="76"/>
      <c r="M251" s="76"/>
      <c r="N251" s="76"/>
      <c r="O251" s="76"/>
      <c r="P251" s="76"/>
      <c r="Q251" s="76"/>
      <c r="R251" s="76"/>
      <c r="S251" s="76"/>
      <c r="T251" s="76"/>
      <c r="U251" s="76"/>
      <c r="V251" s="76"/>
      <c r="W251" s="76"/>
      <c r="X251" s="76"/>
      <c r="Y251" s="76"/>
      <c r="Z251" s="76"/>
      <c r="AA251" s="76"/>
    </row>
    <row r="252" s="1" customFormat="1" ht="27" customHeight="1" spans="12:27">
      <c r="L252" s="76"/>
      <c r="M252" s="76"/>
      <c r="N252" s="76"/>
      <c r="O252" s="76"/>
      <c r="P252" s="76"/>
      <c r="Q252" s="76"/>
      <c r="R252" s="76"/>
      <c r="S252" s="76"/>
      <c r="T252" s="76"/>
      <c r="U252" s="76"/>
      <c r="V252" s="76"/>
      <c r="W252" s="76"/>
      <c r="X252" s="76"/>
      <c r="Y252" s="76"/>
      <c r="Z252" s="76"/>
      <c r="AA252" s="76"/>
    </row>
    <row r="253" s="1" customFormat="1" ht="27" customHeight="1" spans="12:27">
      <c r="L253" s="76"/>
      <c r="M253" s="76"/>
      <c r="N253" s="76"/>
      <c r="O253" s="76"/>
      <c r="P253" s="76"/>
      <c r="Q253" s="76"/>
      <c r="R253" s="76"/>
      <c r="S253" s="76"/>
      <c r="T253" s="76"/>
      <c r="U253" s="76"/>
      <c r="V253" s="76"/>
      <c r="W253" s="76"/>
      <c r="X253" s="76"/>
      <c r="Y253" s="76"/>
      <c r="Z253" s="76"/>
      <c r="AA253" s="76"/>
    </row>
    <row r="254" s="1" customFormat="1" ht="27" customHeight="1" spans="12:27">
      <c r="L254" s="76"/>
      <c r="M254" s="76"/>
      <c r="N254" s="76"/>
      <c r="O254" s="76"/>
      <c r="P254" s="76"/>
      <c r="Q254" s="76"/>
      <c r="R254" s="76"/>
      <c r="S254" s="76"/>
      <c r="T254" s="76"/>
      <c r="U254" s="76"/>
      <c r="V254" s="76"/>
      <c r="W254" s="76"/>
      <c r="X254" s="76"/>
      <c r="Y254" s="76"/>
      <c r="Z254" s="76"/>
      <c r="AA254" s="76"/>
    </row>
    <row r="255" s="1" customFormat="1" ht="27" customHeight="1" spans="12:27">
      <c r="L255" s="76"/>
      <c r="M255" s="76"/>
      <c r="N255" s="76"/>
      <c r="O255" s="76"/>
      <c r="P255" s="76"/>
      <c r="Q255" s="76"/>
      <c r="R255" s="76"/>
      <c r="S255" s="76"/>
      <c r="T255" s="76"/>
      <c r="U255" s="76"/>
      <c r="V255" s="76"/>
      <c r="W255" s="76"/>
      <c r="X255" s="76"/>
      <c r="Y255" s="76"/>
      <c r="Z255" s="76"/>
      <c r="AA255" s="76"/>
    </row>
    <row r="256" s="1" customFormat="1" ht="27" customHeight="1" spans="12:27">
      <c r="L256" s="76"/>
      <c r="M256" s="76"/>
      <c r="N256" s="76"/>
      <c r="O256" s="76"/>
      <c r="P256" s="76"/>
      <c r="Q256" s="76"/>
      <c r="R256" s="76"/>
      <c r="S256" s="76"/>
      <c r="T256" s="76"/>
      <c r="U256" s="76"/>
      <c r="V256" s="76"/>
      <c r="W256" s="76"/>
      <c r="X256" s="76"/>
      <c r="Y256" s="76"/>
      <c r="Z256" s="76"/>
      <c r="AA256" s="76"/>
    </row>
    <row r="257" s="1" customFormat="1" ht="27" customHeight="1" spans="12:27">
      <c r="L257" s="76"/>
      <c r="M257" s="76"/>
      <c r="N257" s="76"/>
      <c r="O257" s="76"/>
      <c r="P257" s="76"/>
      <c r="Q257" s="76"/>
      <c r="R257" s="76"/>
      <c r="S257" s="76"/>
      <c r="T257" s="76"/>
      <c r="U257" s="76"/>
      <c r="V257" s="76"/>
      <c r="W257" s="76"/>
      <c r="X257" s="76"/>
      <c r="Y257" s="76"/>
      <c r="Z257" s="76"/>
      <c r="AA257" s="76"/>
    </row>
    <row r="258" s="1" customFormat="1" ht="27" customHeight="1" spans="12:27">
      <c r="L258" s="76"/>
      <c r="M258" s="76"/>
      <c r="N258" s="76"/>
      <c r="O258" s="76"/>
      <c r="P258" s="76"/>
      <c r="Q258" s="76"/>
      <c r="R258" s="76"/>
      <c r="S258" s="76"/>
      <c r="T258" s="76"/>
      <c r="U258" s="76"/>
      <c r="V258" s="76"/>
      <c r="W258" s="76"/>
      <c r="X258" s="76"/>
      <c r="Y258" s="76"/>
      <c r="Z258" s="76"/>
      <c r="AA258" s="76"/>
    </row>
    <row r="259" s="1" customFormat="1" ht="27" customHeight="1" spans="12:27">
      <c r="L259" s="76"/>
      <c r="M259" s="76"/>
      <c r="N259" s="76"/>
      <c r="O259" s="76"/>
      <c r="P259" s="76"/>
      <c r="Q259" s="76"/>
      <c r="R259" s="76"/>
      <c r="S259" s="76"/>
      <c r="T259" s="76"/>
      <c r="U259" s="76"/>
      <c r="V259" s="76"/>
      <c r="W259" s="76"/>
      <c r="X259" s="76"/>
      <c r="Y259" s="76"/>
      <c r="Z259" s="76"/>
      <c r="AA259" s="76"/>
    </row>
    <row r="260" s="1" customFormat="1" ht="27" customHeight="1" spans="12:27">
      <c r="L260" s="76"/>
      <c r="M260" s="76"/>
      <c r="N260" s="76"/>
      <c r="O260" s="76"/>
      <c r="P260" s="76"/>
      <c r="Q260" s="76"/>
      <c r="R260" s="76"/>
      <c r="S260" s="76"/>
      <c r="T260" s="76"/>
      <c r="U260" s="76"/>
      <c r="V260" s="76"/>
      <c r="W260" s="76"/>
      <c r="X260" s="76"/>
      <c r="Y260" s="76"/>
      <c r="Z260" s="76"/>
      <c r="AA260" s="76"/>
    </row>
    <row r="261" s="1" customFormat="1" ht="27" customHeight="1" spans="12:27">
      <c r="L261" s="76"/>
      <c r="M261" s="76"/>
      <c r="N261" s="76"/>
      <c r="O261" s="76"/>
      <c r="P261" s="76"/>
      <c r="Q261" s="76"/>
      <c r="R261" s="76"/>
      <c r="S261" s="76"/>
      <c r="T261" s="76"/>
      <c r="U261" s="76"/>
      <c r="V261" s="76"/>
      <c r="W261" s="76"/>
      <c r="X261" s="76"/>
      <c r="Y261" s="76"/>
      <c r="Z261" s="76"/>
      <c r="AA261" s="76"/>
    </row>
    <row r="262" s="1" customFormat="1" ht="27" customHeight="1" spans="12:27">
      <c r="L262" s="76"/>
      <c r="M262" s="76"/>
      <c r="N262" s="76"/>
      <c r="O262" s="76"/>
      <c r="P262" s="76"/>
      <c r="Q262" s="76"/>
      <c r="R262" s="76"/>
      <c r="S262" s="76"/>
      <c r="T262" s="76"/>
      <c r="U262" s="76"/>
      <c r="V262" s="76"/>
      <c r="W262" s="76"/>
      <c r="X262" s="76"/>
      <c r="Y262" s="76"/>
      <c r="Z262" s="76"/>
      <c r="AA262" s="76"/>
    </row>
    <row r="263" s="1" customFormat="1" ht="27" customHeight="1" spans="12:27">
      <c r="L263" s="76"/>
      <c r="M263" s="76"/>
      <c r="N263" s="76"/>
      <c r="O263" s="76"/>
      <c r="P263" s="76"/>
      <c r="Q263" s="76"/>
      <c r="R263" s="76"/>
      <c r="S263" s="76"/>
      <c r="T263" s="76"/>
      <c r="U263" s="76"/>
      <c r="V263" s="76"/>
      <c r="W263" s="76"/>
      <c r="X263" s="76"/>
      <c r="Y263" s="76"/>
      <c r="Z263" s="76"/>
      <c r="AA263" s="76"/>
    </row>
    <row r="264" s="1" customFormat="1" ht="27" customHeight="1" spans="12:27">
      <c r="L264" s="76"/>
      <c r="M264" s="76"/>
      <c r="N264" s="76"/>
      <c r="O264" s="76"/>
      <c r="P264" s="76"/>
      <c r="Q264" s="76"/>
      <c r="R264" s="76"/>
      <c r="S264" s="76"/>
      <c r="T264" s="76"/>
      <c r="U264" s="76"/>
      <c r="V264" s="76"/>
      <c r="W264" s="76"/>
      <c r="X264" s="76"/>
      <c r="Y264" s="76"/>
      <c r="Z264" s="76"/>
      <c r="AA264" s="76"/>
    </row>
    <row r="265" s="1" customFormat="1" ht="27" customHeight="1" spans="12:27">
      <c r="L265" s="76"/>
      <c r="M265" s="76"/>
      <c r="N265" s="76"/>
      <c r="O265" s="76"/>
      <c r="P265" s="76"/>
      <c r="Q265" s="76"/>
      <c r="R265" s="76"/>
      <c r="S265" s="76"/>
      <c r="T265" s="76"/>
      <c r="U265" s="76"/>
      <c r="V265" s="76"/>
      <c r="W265" s="76"/>
      <c r="X265" s="76"/>
      <c r="Y265" s="76"/>
      <c r="Z265" s="76"/>
      <c r="AA265" s="76"/>
    </row>
    <row r="266" s="1" customFormat="1" ht="27" customHeight="1" spans="12:27">
      <c r="L266" s="76"/>
      <c r="M266" s="76"/>
      <c r="N266" s="76"/>
      <c r="O266" s="76"/>
      <c r="P266" s="76"/>
      <c r="Q266" s="76"/>
      <c r="R266" s="76"/>
      <c r="S266" s="76"/>
      <c r="T266" s="76"/>
      <c r="U266" s="76"/>
      <c r="V266" s="76"/>
      <c r="W266" s="76"/>
      <c r="X266" s="76"/>
      <c r="Y266" s="76"/>
      <c r="Z266" s="76"/>
      <c r="AA266" s="76"/>
    </row>
    <row r="267" s="1" customFormat="1" ht="27" customHeight="1" spans="12:27">
      <c r="L267" s="76"/>
      <c r="M267" s="76"/>
      <c r="N267" s="76"/>
      <c r="O267" s="76"/>
      <c r="P267" s="76"/>
      <c r="Q267" s="76"/>
      <c r="R267" s="76"/>
      <c r="S267" s="76"/>
      <c r="T267" s="76"/>
      <c r="U267" s="76"/>
      <c r="V267" s="76"/>
      <c r="W267" s="76"/>
      <c r="X267" s="76"/>
      <c r="Y267" s="76"/>
      <c r="Z267" s="76"/>
      <c r="AA267" s="76"/>
    </row>
    <row r="268" s="1" customFormat="1" ht="27" customHeight="1" spans="12:27">
      <c r="L268" s="76"/>
      <c r="M268" s="76"/>
      <c r="N268" s="76"/>
      <c r="O268" s="76"/>
      <c r="P268" s="76"/>
      <c r="Q268" s="76"/>
      <c r="R268" s="76"/>
      <c r="S268" s="76"/>
      <c r="T268" s="76"/>
      <c r="U268" s="76"/>
      <c r="V268" s="76"/>
      <c r="W268" s="76"/>
      <c r="X268" s="76"/>
      <c r="Y268" s="76"/>
      <c r="Z268" s="76"/>
      <c r="AA268" s="76"/>
    </row>
    <row r="269" s="1" customFormat="1" ht="27" customHeight="1" spans="12:27">
      <c r="L269" s="76"/>
      <c r="M269" s="76"/>
      <c r="N269" s="76"/>
      <c r="O269" s="76"/>
      <c r="P269" s="76"/>
      <c r="Q269" s="76"/>
      <c r="R269" s="76"/>
      <c r="S269" s="76"/>
      <c r="T269" s="76"/>
      <c r="U269" s="76"/>
      <c r="V269" s="76"/>
      <c r="W269" s="76"/>
      <c r="X269" s="76"/>
      <c r="Y269" s="76"/>
      <c r="Z269" s="76"/>
      <c r="AA269" s="76"/>
    </row>
    <row r="270" s="1" customFormat="1" ht="27" customHeight="1" spans="12:27">
      <c r="L270" s="76"/>
      <c r="M270" s="76"/>
      <c r="N270" s="76"/>
      <c r="O270" s="76"/>
      <c r="P270" s="76"/>
      <c r="Q270" s="76"/>
      <c r="R270" s="76"/>
      <c r="S270" s="76"/>
      <c r="T270" s="76"/>
      <c r="U270" s="76"/>
      <c r="V270" s="76"/>
      <c r="W270" s="76"/>
      <c r="X270" s="76"/>
      <c r="Y270" s="76"/>
      <c r="Z270" s="76"/>
      <c r="AA270" s="76"/>
    </row>
    <row r="271" s="1" customFormat="1" ht="27" customHeight="1" spans="12:27">
      <c r="L271" s="76"/>
      <c r="M271" s="76"/>
      <c r="N271" s="76"/>
      <c r="O271" s="76"/>
      <c r="P271" s="76"/>
      <c r="Q271" s="76"/>
      <c r="R271" s="76"/>
      <c r="S271" s="76"/>
      <c r="T271" s="76"/>
      <c r="U271" s="76"/>
      <c r="V271" s="76"/>
      <c r="W271" s="76"/>
      <c r="X271" s="76"/>
      <c r="Y271" s="76"/>
      <c r="Z271" s="76"/>
      <c r="AA271" s="76"/>
    </row>
    <row r="272" s="1" customFormat="1" ht="27" customHeight="1" spans="12:27">
      <c r="L272" s="76"/>
      <c r="M272" s="76"/>
      <c r="N272" s="76"/>
      <c r="O272" s="76"/>
      <c r="P272" s="76"/>
      <c r="Q272" s="76"/>
      <c r="R272" s="76"/>
      <c r="S272" s="76"/>
      <c r="T272" s="76"/>
      <c r="U272" s="76"/>
      <c r="V272" s="76"/>
      <c r="W272" s="76"/>
      <c r="X272" s="76"/>
      <c r="Y272" s="76"/>
      <c r="Z272" s="76"/>
      <c r="AA272" s="76"/>
    </row>
    <row r="273" s="1" customFormat="1" ht="27" customHeight="1" spans="12:27">
      <c r="L273" s="76"/>
      <c r="M273" s="76"/>
      <c r="N273" s="76"/>
      <c r="O273" s="76"/>
      <c r="P273" s="76"/>
      <c r="Q273" s="76"/>
      <c r="R273" s="76"/>
      <c r="S273" s="76"/>
      <c r="T273" s="76"/>
      <c r="U273" s="76"/>
      <c r="V273" s="76"/>
      <c r="W273" s="76"/>
      <c r="X273" s="76"/>
      <c r="Y273" s="76"/>
      <c r="Z273" s="76"/>
      <c r="AA273" s="76"/>
    </row>
    <row r="274" s="1" customFormat="1" ht="27" customHeight="1" spans="12:27">
      <c r="L274" s="76"/>
      <c r="M274" s="76"/>
      <c r="N274" s="76"/>
      <c r="O274" s="76"/>
      <c r="P274" s="76"/>
      <c r="Q274" s="76"/>
      <c r="R274" s="76"/>
      <c r="S274" s="76"/>
      <c r="T274" s="76"/>
      <c r="U274" s="76"/>
      <c r="V274" s="76"/>
      <c r="W274" s="76"/>
      <c r="X274" s="76"/>
      <c r="Y274" s="76"/>
      <c r="Z274" s="76"/>
      <c r="AA274" s="76"/>
    </row>
    <row r="275" s="1" customFormat="1" ht="27" customHeight="1" spans="12:27">
      <c r="L275" s="76"/>
      <c r="M275" s="76"/>
      <c r="N275" s="76"/>
      <c r="O275" s="76"/>
      <c r="P275" s="76"/>
      <c r="Q275" s="76"/>
      <c r="R275" s="76"/>
      <c r="S275" s="76"/>
      <c r="T275" s="76"/>
      <c r="U275" s="76"/>
      <c r="V275" s="76"/>
      <c r="W275" s="76"/>
      <c r="X275" s="76"/>
      <c r="Y275" s="76"/>
      <c r="Z275" s="76"/>
      <c r="AA275" s="76"/>
    </row>
    <row r="276" s="1" customFormat="1" ht="27" customHeight="1" spans="12:27">
      <c r="L276" s="76"/>
      <c r="M276" s="76"/>
      <c r="N276" s="76"/>
      <c r="O276" s="76"/>
      <c r="P276" s="76"/>
      <c r="Q276" s="76"/>
      <c r="R276" s="76"/>
      <c r="S276" s="76"/>
      <c r="T276" s="76"/>
      <c r="U276" s="76"/>
      <c r="V276" s="76"/>
      <c r="W276" s="76"/>
      <c r="X276" s="76"/>
      <c r="Y276" s="76"/>
      <c r="Z276" s="76"/>
      <c r="AA276" s="76"/>
    </row>
    <row r="277" s="1" customFormat="1" ht="27" customHeight="1" spans="12:27">
      <c r="L277" s="76"/>
      <c r="M277" s="76"/>
      <c r="N277" s="76"/>
      <c r="O277" s="76"/>
      <c r="P277" s="76"/>
      <c r="Q277" s="76"/>
      <c r="R277" s="76"/>
      <c r="S277" s="76"/>
      <c r="T277" s="76"/>
      <c r="U277" s="76"/>
      <c r="V277" s="76"/>
      <c r="W277" s="76"/>
      <c r="X277" s="76"/>
      <c r="Y277" s="76"/>
      <c r="Z277" s="76"/>
      <c r="AA277" s="76"/>
    </row>
    <row r="278" s="1" customFormat="1" ht="27" customHeight="1" spans="12:27">
      <c r="L278" s="76"/>
      <c r="M278" s="76"/>
      <c r="N278" s="76"/>
      <c r="O278" s="76"/>
      <c r="P278" s="76"/>
      <c r="Q278" s="76"/>
      <c r="R278" s="76"/>
      <c r="S278" s="76"/>
      <c r="T278" s="76"/>
      <c r="U278" s="76"/>
      <c r="V278" s="76"/>
      <c r="W278" s="76"/>
      <c r="X278" s="76"/>
      <c r="Y278" s="76"/>
      <c r="Z278" s="76"/>
      <c r="AA278" s="76"/>
    </row>
    <row r="279" s="1" customFormat="1" ht="27" customHeight="1" spans="12:27">
      <c r="L279" s="76"/>
      <c r="M279" s="76"/>
      <c r="N279" s="76"/>
      <c r="O279" s="76"/>
      <c r="P279" s="76"/>
      <c r="Q279" s="76"/>
      <c r="R279" s="76"/>
      <c r="S279" s="76"/>
      <c r="T279" s="76"/>
      <c r="U279" s="76"/>
      <c r="V279" s="76"/>
      <c r="W279" s="76"/>
      <c r="X279" s="76"/>
      <c r="Y279" s="76"/>
      <c r="Z279" s="76"/>
      <c r="AA279" s="76"/>
    </row>
    <row r="280" s="1" customFormat="1" ht="27" customHeight="1" spans="12:27">
      <c r="L280" s="76"/>
      <c r="M280" s="76"/>
      <c r="N280" s="76"/>
      <c r="O280" s="76"/>
      <c r="P280" s="76"/>
      <c r="Q280" s="76"/>
      <c r="R280" s="76"/>
      <c r="S280" s="76"/>
      <c r="T280" s="76"/>
      <c r="U280" s="76"/>
      <c r="V280" s="76"/>
      <c r="W280" s="76"/>
      <c r="X280" s="76"/>
      <c r="Y280" s="76"/>
      <c r="Z280" s="76"/>
      <c r="AA280" s="76"/>
    </row>
    <row r="281" s="1" customFormat="1" ht="27" customHeight="1" spans="12:27">
      <c r="L281" s="76"/>
      <c r="M281" s="76"/>
      <c r="N281" s="76"/>
      <c r="O281" s="76"/>
      <c r="P281" s="76"/>
      <c r="Q281" s="76"/>
      <c r="R281" s="76"/>
      <c r="S281" s="76"/>
      <c r="T281" s="76"/>
      <c r="U281" s="76"/>
      <c r="V281" s="76"/>
      <c r="W281" s="76"/>
      <c r="X281" s="76"/>
      <c r="Y281" s="76"/>
      <c r="Z281" s="76"/>
      <c r="AA281" s="76"/>
    </row>
    <row r="282" s="1" customFormat="1" ht="27" customHeight="1" spans="12:27">
      <c r="L282" s="76"/>
      <c r="M282" s="76"/>
      <c r="N282" s="76"/>
      <c r="O282" s="76"/>
      <c r="P282" s="76"/>
      <c r="Q282" s="76"/>
      <c r="R282" s="76"/>
      <c r="S282" s="76"/>
      <c r="T282" s="76"/>
      <c r="U282" s="76"/>
      <c r="V282" s="76"/>
      <c r="W282" s="76"/>
      <c r="X282" s="76"/>
      <c r="Y282" s="76"/>
      <c r="Z282" s="76"/>
      <c r="AA282" s="76"/>
    </row>
    <row r="283" s="1" customFormat="1" ht="27" customHeight="1" spans="12:27">
      <c r="L283" s="76"/>
      <c r="M283" s="76"/>
      <c r="N283" s="76"/>
      <c r="O283" s="76"/>
      <c r="P283" s="76"/>
      <c r="Q283" s="76"/>
      <c r="R283" s="76"/>
      <c r="S283" s="76"/>
      <c r="T283" s="76"/>
      <c r="U283" s="76"/>
      <c r="V283" s="76"/>
      <c r="W283" s="76"/>
      <c r="X283" s="76"/>
      <c r="Y283" s="76"/>
      <c r="Z283" s="76"/>
      <c r="AA283" s="76"/>
    </row>
    <row r="284" s="1" customFormat="1" ht="27" customHeight="1" spans="12:27">
      <c r="L284" s="76"/>
      <c r="M284" s="76"/>
      <c r="N284" s="76"/>
      <c r="O284" s="76"/>
      <c r="P284" s="76"/>
      <c r="Q284" s="76"/>
      <c r="R284" s="76"/>
      <c r="S284" s="76"/>
      <c r="T284" s="76"/>
      <c r="U284" s="76"/>
      <c r="V284" s="76"/>
      <c r="W284" s="76"/>
      <c r="X284" s="76"/>
      <c r="Y284" s="76"/>
      <c r="Z284" s="76"/>
      <c r="AA284" s="76"/>
    </row>
    <row r="285" s="1" customFormat="1" ht="27" customHeight="1" spans="12:27">
      <c r="L285" s="76"/>
      <c r="M285" s="76"/>
      <c r="N285" s="76"/>
      <c r="O285" s="76"/>
      <c r="P285" s="76"/>
      <c r="Q285" s="76"/>
      <c r="R285" s="76"/>
      <c r="S285" s="76"/>
      <c r="T285" s="76"/>
      <c r="U285" s="76"/>
      <c r="V285" s="76"/>
      <c r="W285" s="76"/>
      <c r="X285" s="76"/>
      <c r="Y285" s="76"/>
      <c r="Z285" s="76"/>
      <c r="AA285" s="76"/>
    </row>
    <row r="286" s="1" customFormat="1" ht="27" customHeight="1" spans="12:27">
      <c r="L286" s="76"/>
      <c r="M286" s="76"/>
      <c r="N286" s="76"/>
      <c r="O286" s="76"/>
      <c r="P286" s="76"/>
      <c r="Q286" s="76"/>
      <c r="R286" s="76"/>
      <c r="S286" s="76"/>
      <c r="T286" s="76"/>
      <c r="U286" s="76"/>
      <c r="V286" s="76"/>
      <c r="W286" s="76"/>
      <c r="X286" s="76"/>
      <c r="Y286" s="76"/>
      <c r="Z286" s="76"/>
      <c r="AA286" s="76"/>
    </row>
    <row r="287" s="1" customFormat="1" ht="27" customHeight="1" spans="12:27">
      <c r="L287" s="76"/>
      <c r="M287" s="76"/>
      <c r="N287" s="76"/>
      <c r="O287" s="76"/>
      <c r="P287" s="76"/>
      <c r="Q287" s="76"/>
      <c r="R287" s="76"/>
      <c r="S287" s="76"/>
      <c r="T287" s="76"/>
      <c r="U287" s="76"/>
      <c r="V287" s="76"/>
      <c r="W287" s="76"/>
      <c r="X287" s="76"/>
      <c r="Y287" s="76"/>
      <c r="Z287" s="76"/>
      <c r="AA287" s="76"/>
    </row>
    <row r="288" s="1" customFormat="1" ht="27" customHeight="1" spans="12:27">
      <c r="L288" s="76"/>
      <c r="M288" s="76"/>
      <c r="N288" s="76"/>
      <c r="O288" s="76"/>
      <c r="P288" s="76"/>
      <c r="Q288" s="76"/>
      <c r="R288" s="76"/>
      <c r="S288" s="76"/>
      <c r="T288" s="76"/>
      <c r="U288" s="76"/>
      <c r="V288" s="76"/>
      <c r="W288" s="76"/>
      <c r="X288" s="76"/>
      <c r="Y288" s="76"/>
      <c r="Z288" s="76"/>
      <c r="AA288" s="76"/>
    </row>
    <row r="289" s="1" customFormat="1" ht="27" customHeight="1" spans="12:27">
      <c r="L289" s="76"/>
      <c r="M289" s="76"/>
      <c r="N289" s="76"/>
      <c r="O289" s="76"/>
      <c r="P289" s="76"/>
      <c r="Q289" s="76"/>
      <c r="R289" s="76"/>
      <c r="S289" s="76"/>
      <c r="T289" s="76"/>
      <c r="U289" s="76"/>
      <c r="V289" s="76"/>
      <c r="W289" s="76"/>
      <c r="X289" s="76"/>
      <c r="Y289" s="76"/>
      <c r="Z289" s="76"/>
      <c r="AA289" s="76"/>
    </row>
    <row r="290" s="1" customFormat="1" ht="27" customHeight="1" spans="12:27">
      <c r="L290" s="76"/>
      <c r="M290" s="76"/>
      <c r="N290" s="76"/>
      <c r="O290" s="76"/>
      <c r="P290" s="76"/>
      <c r="Q290" s="76"/>
      <c r="R290" s="76"/>
      <c r="S290" s="76"/>
      <c r="T290" s="76"/>
      <c r="U290" s="76"/>
      <c r="V290" s="76"/>
      <c r="W290" s="76"/>
      <c r="X290" s="76"/>
      <c r="Y290" s="76"/>
      <c r="Z290" s="76"/>
      <c r="AA290" s="76"/>
    </row>
    <row r="291" s="1" customFormat="1" ht="27" customHeight="1" spans="12:27">
      <c r="L291" s="76"/>
      <c r="M291" s="76"/>
      <c r="N291" s="76"/>
      <c r="O291" s="76"/>
      <c r="P291" s="76"/>
      <c r="Q291" s="76"/>
      <c r="R291" s="76"/>
      <c r="S291" s="76"/>
      <c r="T291" s="76"/>
      <c r="U291" s="76"/>
      <c r="V291" s="76"/>
      <c r="W291" s="76"/>
      <c r="X291" s="76"/>
      <c r="Y291" s="76"/>
      <c r="Z291" s="76"/>
      <c r="AA291" s="76"/>
    </row>
    <row r="292" s="1" customFormat="1" ht="27" customHeight="1" spans="12:27">
      <c r="L292" s="76"/>
      <c r="M292" s="76"/>
      <c r="N292" s="76"/>
      <c r="O292" s="76"/>
      <c r="P292" s="76"/>
      <c r="Q292" s="76"/>
      <c r="R292" s="76"/>
      <c r="S292" s="76"/>
      <c r="T292" s="76"/>
      <c r="U292" s="76"/>
      <c r="V292" s="76"/>
      <c r="W292" s="76"/>
      <c r="X292" s="76"/>
      <c r="Y292" s="76"/>
      <c r="Z292" s="76"/>
      <c r="AA292" s="76"/>
    </row>
    <row r="293" s="1" customFormat="1" ht="27" customHeight="1" spans="12:27">
      <c r="L293" s="76"/>
      <c r="M293" s="76"/>
      <c r="N293" s="76"/>
      <c r="O293" s="76"/>
      <c r="P293" s="76"/>
      <c r="Q293" s="76"/>
      <c r="R293" s="76"/>
      <c r="S293" s="76"/>
      <c r="T293" s="76"/>
      <c r="U293" s="76"/>
      <c r="V293" s="76"/>
      <c r="W293" s="76"/>
      <c r="X293" s="76"/>
      <c r="Y293" s="76"/>
      <c r="Z293" s="76"/>
      <c r="AA293" s="76"/>
    </row>
    <row r="294" s="1" customFormat="1" ht="27" customHeight="1" spans="12:27">
      <c r="L294" s="76"/>
      <c r="M294" s="76"/>
      <c r="N294" s="76"/>
      <c r="O294" s="76"/>
      <c r="P294" s="76"/>
      <c r="Q294" s="76"/>
      <c r="R294" s="76"/>
      <c r="S294" s="76"/>
      <c r="T294" s="76"/>
      <c r="U294" s="76"/>
      <c r="V294" s="76"/>
      <c r="W294" s="76"/>
      <c r="X294" s="76"/>
      <c r="Y294" s="76"/>
      <c r="Z294" s="76"/>
      <c r="AA294" s="76"/>
    </row>
    <row r="295" s="1" customFormat="1" ht="27" customHeight="1" spans="12:27">
      <c r="L295" s="76"/>
      <c r="M295" s="76"/>
      <c r="N295" s="76"/>
      <c r="O295" s="76"/>
      <c r="P295" s="76"/>
      <c r="Q295" s="76"/>
      <c r="R295" s="76"/>
      <c r="S295" s="76"/>
      <c r="T295" s="76"/>
      <c r="U295" s="76"/>
      <c r="V295" s="76"/>
      <c r="W295" s="76"/>
      <c r="X295" s="76"/>
      <c r="Y295" s="76"/>
      <c r="Z295" s="76"/>
      <c r="AA295" s="76"/>
    </row>
    <row r="296" s="1" customFormat="1" ht="27" customHeight="1" spans="12:27">
      <c r="L296" s="76"/>
      <c r="M296" s="76"/>
      <c r="N296" s="76"/>
      <c r="O296" s="76"/>
      <c r="P296" s="76"/>
      <c r="Q296" s="76"/>
      <c r="R296" s="76"/>
      <c r="S296" s="76"/>
      <c r="T296" s="76"/>
      <c r="U296" s="76"/>
      <c r="V296" s="76"/>
      <c r="W296" s="76"/>
      <c r="X296" s="76"/>
      <c r="Y296" s="76"/>
      <c r="Z296" s="76"/>
      <c r="AA296" s="76"/>
    </row>
    <row r="297" s="1" customFormat="1" ht="27" customHeight="1" spans="12:27">
      <c r="L297" s="76"/>
      <c r="M297" s="76"/>
      <c r="N297" s="76"/>
      <c r="O297" s="76"/>
      <c r="P297" s="76"/>
      <c r="Q297" s="76"/>
      <c r="R297" s="76"/>
      <c r="S297" s="76"/>
      <c r="T297" s="76"/>
      <c r="U297" s="76"/>
      <c r="V297" s="76"/>
      <c r="W297" s="76"/>
      <c r="X297" s="76"/>
      <c r="Y297" s="76"/>
      <c r="Z297" s="76"/>
      <c r="AA297" s="76"/>
    </row>
    <row r="298" s="1" customFormat="1" ht="27" customHeight="1" spans="12:27">
      <c r="L298" s="76"/>
      <c r="M298" s="76"/>
      <c r="N298" s="76"/>
      <c r="O298" s="76"/>
      <c r="P298" s="76"/>
      <c r="Q298" s="76"/>
      <c r="R298" s="76"/>
      <c r="S298" s="76"/>
      <c r="T298" s="76"/>
      <c r="U298" s="76"/>
      <c r="V298" s="76"/>
      <c r="W298" s="76"/>
      <c r="X298" s="76"/>
      <c r="Y298" s="76"/>
      <c r="Z298" s="76"/>
      <c r="AA298" s="76"/>
    </row>
    <row r="299" s="1" customFormat="1" ht="27" customHeight="1" spans="12:27">
      <c r="L299" s="76"/>
      <c r="M299" s="76"/>
      <c r="N299" s="76"/>
      <c r="O299" s="76"/>
      <c r="P299" s="76"/>
      <c r="Q299" s="76"/>
      <c r="R299" s="76"/>
      <c r="S299" s="76"/>
      <c r="T299" s="76"/>
      <c r="U299" s="76"/>
      <c r="V299" s="76"/>
      <c r="W299" s="76"/>
      <c r="X299" s="76"/>
      <c r="Y299" s="76"/>
      <c r="Z299" s="76"/>
      <c r="AA299" s="76"/>
    </row>
    <row r="300" s="1" customFormat="1" ht="27" customHeight="1" spans="12:27">
      <c r="L300" s="76"/>
      <c r="M300" s="76"/>
      <c r="N300" s="76"/>
      <c r="O300" s="76"/>
      <c r="P300" s="76"/>
      <c r="Q300" s="76"/>
      <c r="R300" s="76"/>
      <c r="S300" s="76"/>
      <c r="T300" s="76"/>
      <c r="U300" s="76"/>
      <c r="V300" s="76"/>
      <c r="W300" s="76"/>
      <c r="X300" s="76"/>
      <c r="Y300" s="76"/>
      <c r="Z300" s="76"/>
      <c r="AA300" s="76"/>
    </row>
    <row r="301" s="1" customFormat="1" ht="27" customHeight="1" spans="12:27">
      <c r="L301" s="76"/>
      <c r="M301" s="76"/>
      <c r="N301" s="76"/>
      <c r="O301" s="76"/>
      <c r="P301" s="76"/>
      <c r="Q301" s="76"/>
      <c r="R301" s="76"/>
      <c r="S301" s="76"/>
      <c r="T301" s="76"/>
      <c r="U301" s="76"/>
      <c r="V301" s="76"/>
      <c r="W301" s="76"/>
      <c r="X301" s="76"/>
      <c r="Y301" s="76"/>
      <c r="Z301" s="76"/>
      <c r="AA301" s="76"/>
    </row>
    <row r="302" s="1" customFormat="1" ht="27" customHeight="1" spans="12:27">
      <c r="L302" s="76"/>
      <c r="M302" s="76"/>
      <c r="N302" s="76"/>
      <c r="O302" s="76"/>
      <c r="P302" s="76"/>
      <c r="Q302" s="76"/>
      <c r="R302" s="76"/>
      <c r="S302" s="76"/>
      <c r="T302" s="76"/>
      <c r="U302" s="76"/>
      <c r="V302" s="76"/>
      <c r="W302" s="76"/>
      <c r="X302" s="76"/>
      <c r="Y302" s="76"/>
      <c r="Z302" s="76"/>
      <c r="AA302" s="76"/>
    </row>
    <row r="303" s="1" customFormat="1" ht="27" customHeight="1" spans="12:27">
      <c r="L303" s="76"/>
      <c r="M303" s="76"/>
      <c r="N303" s="76"/>
      <c r="O303" s="76"/>
      <c r="P303" s="76"/>
      <c r="Q303" s="76"/>
      <c r="R303" s="76"/>
      <c r="S303" s="76"/>
      <c r="T303" s="76"/>
      <c r="U303" s="76"/>
      <c r="V303" s="76"/>
      <c r="W303" s="76"/>
      <c r="X303" s="76"/>
      <c r="Y303" s="76"/>
      <c r="Z303" s="76"/>
      <c r="AA303" s="76"/>
    </row>
    <row r="304" s="1" customFormat="1" ht="27" customHeight="1" spans="12:27">
      <c r="L304" s="76"/>
      <c r="M304" s="76"/>
      <c r="N304" s="76"/>
      <c r="O304" s="76"/>
      <c r="P304" s="76"/>
      <c r="Q304" s="76"/>
      <c r="R304" s="76"/>
      <c r="S304" s="76"/>
      <c r="T304" s="76"/>
      <c r="U304" s="76"/>
      <c r="V304" s="76"/>
      <c r="W304" s="76"/>
      <c r="X304" s="76"/>
      <c r="Y304" s="76"/>
      <c r="Z304" s="76"/>
      <c r="AA304" s="76"/>
    </row>
    <row r="305" s="1" customFormat="1" ht="27" customHeight="1" spans="12:27">
      <c r="L305" s="76"/>
      <c r="M305" s="76"/>
      <c r="N305" s="76"/>
      <c r="O305" s="76"/>
      <c r="P305" s="76"/>
      <c r="Q305" s="76"/>
      <c r="R305" s="76"/>
      <c r="S305" s="76"/>
      <c r="T305" s="76"/>
      <c r="U305" s="76"/>
      <c r="V305" s="76"/>
      <c r="W305" s="76"/>
      <c r="X305" s="76"/>
      <c r="Y305" s="76"/>
      <c r="Z305" s="76"/>
      <c r="AA305" s="76"/>
    </row>
    <row r="306" s="1" customFormat="1" ht="27" customHeight="1" spans="12:27">
      <c r="L306" s="76"/>
      <c r="M306" s="76"/>
      <c r="N306" s="76"/>
      <c r="O306" s="76"/>
      <c r="P306" s="76"/>
      <c r="Q306" s="76"/>
      <c r="R306" s="76"/>
      <c r="S306" s="76"/>
      <c r="T306" s="76"/>
      <c r="U306" s="76"/>
      <c r="V306" s="76"/>
      <c r="W306" s="76"/>
      <c r="X306" s="76"/>
      <c r="Y306" s="76"/>
      <c r="Z306" s="76"/>
      <c r="AA306" s="76"/>
    </row>
    <row r="307" s="1" customFormat="1" ht="27" customHeight="1" spans="12:27">
      <c r="L307" s="76"/>
      <c r="M307" s="76"/>
      <c r="N307" s="76"/>
      <c r="O307" s="76"/>
      <c r="P307" s="76"/>
      <c r="Q307" s="76"/>
      <c r="R307" s="76"/>
      <c r="S307" s="76"/>
      <c r="T307" s="76"/>
      <c r="U307" s="76"/>
      <c r="V307" s="76"/>
      <c r="W307" s="76"/>
      <c r="X307" s="76"/>
      <c r="Y307" s="76"/>
      <c r="Z307" s="76"/>
      <c r="AA307" s="76"/>
    </row>
    <row r="308" s="1" customFormat="1" ht="27" customHeight="1" spans="12:27">
      <c r="L308" s="76"/>
      <c r="M308" s="76"/>
      <c r="N308" s="76"/>
      <c r="O308" s="76"/>
      <c r="P308" s="76"/>
      <c r="Q308" s="76"/>
      <c r="R308" s="76"/>
      <c r="S308" s="76"/>
      <c r="T308" s="76"/>
      <c r="U308" s="76"/>
      <c r="V308" s="76"/>
      <c r="W308" s="76"/>
      <c r="X308" s="76"/>
      <c r="Y308" s="76"/>
      <c r="Z308" s="76"/>
      <c r="AA308" s="76"/>
    </row>
    <row r="309" s="1" customFormat="1" ht="27" customHeight="1" spans="12:27">
      <c r="L309" s="76"/>
      <c r="M309" s="76"/>
      <c r="N309" s="76"/>
      <c r="O309" s="76"/>
      <c r="P309" s="76"/>
      <c r="Q309" s="76"/>
      <c r="R309" s="76"/>
      <c r="S309" s="76"/>
      <c r="T309" s="76"/>
      <c r="U309" s="76"/>
      <c r="V309" s="76"/>
      <c r="W309" s="76"/>
      <c r="X309" s="76"/>
      <c r="Y309" s="76"/>
      <c r="Z309" s="76"/>
      <c r="AA309" s="76"/>
    </row>
    <row r="310" s="1" customFormat="1" ht="27" customHeight="1" spans="12:27">
      <c r="L310" s="76"/>
      <c r="M310" s="76"/>
      <c r="N310" s="76"/>
      <c r="O310" s="76"/>
      <c r="P310" s="76"/>
      <c r="Q310" s="76"/>
      <c r="R310" s="76"/>
      <c r="S310" s="76"/>
      <c r="T310" s="76"/>
      <c r="U310" s="76"/>
      <c r="V310" s="76"/>
      <c r="W310" s="76"/>
      <c r="X310" s="76"/>
      <c r="Y310" s="76"/>
      <c r="Z310" s="76"/>
      <c r="AA310" s="76"/>
    </row>
    <row r="311" s="1" customFormat="1" ht="27" customHeight="1" spans="12:27">
      <c r="L311" s="76"/>
      <c r="M311" s="76"/>
      <c r="N311" s="76"/>
      <c r="O311" s="76"/>
      <c r="P311" s="76"/>
      <c r="Q311" s="76"/>
      <c r="R311" s="76"/>
      <c r="S311" s="76"/>
      <c r="T311" s="76"/>
      <c r="U311" s="76"/>
      <c r="V311" s="76"/>
      <c r="W311" s="76"/>
      <c r="X311" s="76"/>
      <c r="Y311" s="76"/>
      <c r="Z311" s="76"/>
      <c r="AA311" s="76"/>
    </row>
    <row r="312" s="1" customFormat="1" ht="27" customHeight="1" spans="12:27">
      <c r="L312" s="76"/>
      <c r="M312" s="76"/>
      <c r="N312" s="76"/>
      <c r="O312" s="76"/>
      <c r="P312" s="76"/>
      <c r="Q312" s="76"/>
      <c r="R312" s="76"/>
      <c r="S312" s="76"/>
      <c r="T312" s="76"/>
      <c r="U312" s="76"/>
      <c r="V312" s="76"/>
      <c r="W312" s="76"/>
      <c r="X312" s="76"/>
      <c r="Y312" s="76"/>
      <c r="Z312" s="76"/>
      <c r="AA312" s="76"/>
    </row>
    <row r="313" s="1" customFormat="1" ht="27" customHeight="1" spans="12:27">
      <c r="L313" s="76"/>
      <c r="M313" s="76"/>
      <c r="N313" s="76"/>
      <c r="O313" s="76"/>
      <c r="P313" s="76"/>
      <c r="Q313" s="76"/>
      <c r="R313" s="76"/>
      <c r="S313" s="76"/>
      <c r="T313" s="76"/>
      <c r="U313" s="76"/>
      <c r="V313" s="76"/>
      <c r="W313" s="76"/>
      <c r="X313" s="76"/>
      <c r="Y313" s="76"/>
      <c r="Z313" s="76"/>
      <c r="AA313" s="76"/>
    </row>
    <row r="314" s="1" customFormat="1" ht="27" customHeight="1" spans="12:27">
      <c r="L314" s="76"/>
      <c r="M314" s="76"/>
      <c r="N314" s="76"/>
      <c r="O314" s="76"/>
      <c r="P314" s="76"/>
      <c r="Q314" s="76"/>
      <c r="R314" s="76"/>
      <c r="S314" s="76"/>
      <c r="T314" s="76"/>
      <c r="U314" s="76"/>
      <c r="V314" s="76"/>
      <c r="W314" s="76"/>
      <c r="X314" s="76"/>
      <c r="Y314" s="76"/>
      <c r="Z314" s="76"/>
      <c r="AA314" s="76"/>
    </row>
    <row r="315" s="1" customFormat="1" ht="27" customHeight="1" spans="12:27">
      <c r="L315" s="76"/>
      <c r="M315" s="76"/>
      <c r="N315" s="76"/>
      <c r="O315" s="76"/>
      <c r="P315" s="76"/>
      <c r="Q315" s="76"/>
      <c r="R315" s="76"/>
      <c r="S315" s="76"/>
      <c r="T315" s="76"/>
      <c r="U315" s="76"/>
      <c r="V315" s="76"/>
      <c r="W315" s="76"/>
      <c r="X315" s="76"/>
      <c r="Y315" s="76"/>
      <c r="Z315" s="76"/>
      <c r="AA315" s="76"/>
    </row>
    <row r="316" s="1" customFormat="1" ht="27" customHeight="1" spans="12:27">
      <c r="L316" s="76"/>
      <c r="M316" s="76"/>
      <c r="N316" s="76"/>
      <c r="O316" s="76"/>
      <c r="P316" s="76"/>
      <c r="Q316" s="76"/>
      <c r="R316" s="76"/>
      <c r="S316" s="76"/>
      <c r="T316" s="76"/>
      <c r="U316" s="76"/>
      <c r="V316" s="76"/>
      <c r="W316" s="76"/>
      <c r="X316" s="76"/>
      <c r="Y316" s="76"/>
      <c r="Z316" s="76"/>
      <c r="AA316" s="76"/>
    </row>
    <row r="317" s="1" customFormat="1" ht="27" customHeight="1" spans="12:27">
      <c r="L317" s="76"/>
      <c r="M317" s="76"/>
      <c r="N317" s="76"/>
      <c r="O317" s="76"/>
      <c r="P317" s="76"/>
      <c r="Q317" s="76"/>
      <c r="R317" s="76"/>
      <c r="S317" s="76"/>
      <c r="T317" s="76"/>
      <c r="U317" s="76"/>
      <c r="V317" s="76"/>
      <c r="W317" s="76"/>
      <c r="X317" s="76"/>
      <c r="Y317" s="76"/>
      <c r="Z317" s="76"/>
      <c r="AA317" s="76"/>
    </row>
    <row r="318" s="1" customFormat="1" ht="27" customHeight="1" spans="12:27">
      <c r="L318" s="76"/>
      <c r="M318" s="76"/>
      <c r="N318" s="76"/>
      <c r="O318" s="76"/>
      <c r="P318" s="76"/>
      <c r="Q318" s="76"/>
      <c r="R318" s="76"/>
      <c r="S318" s="76"/>
      <c r="T318" s="76"/>
      <c r="U318" s="76"/>
      <c r="V318" s="76"/>
      <c r="W318" s="76"/>
      <c r="X318" s="76"/>
      <c r="Y318" s="76"/>
      <c r="Z318" s="76"/>
      <c r="AA318" s="76"/>
    </row>
    <row r="319" s="1" customFormat="1" ht="27" customHeight="1" spans="12:27">
      <c r="L319" s="76"/>
      <c r="M319" s="76"/>
      <c r="N319" s="76"/>
      <c r="O319" s="76"/>
      <c r="P319" s="76"/>
      <c r="Q319" s="76"/>
      <c r="R319" s="76"/>
      <c r="S319" s="76"/>
      <c r="T319" s="76"/>
      <c r="U319" s="76"/>
      <c r="V319" s="76"/>
      <c r="W319" s="76"/>
      <c r="X319" s="76"/>
      <c r="Y319" s="76"/>
      <c r="Z319" s="76"/>
      <c r="AA319" s="76"/>
    </row>
    <row r="320" s="1" customFormat="1" ht="27" customHeight="1" spans="12:27">
      <c r="L320" s="76"/>
      <c r="M320" s="76"/>
      <c r="N320" s="76"/>
      <c r="O320" s="76"/>
      <c r="P320" s="76"/>
      <c r="Q320" s="76"/>
      <c r="R320" s="76"/>
      <c r="S320" s="76"/>
      <c r="T320" s="76"/>
      <c r="U320" s="76"/>
      <c r="V320" s="76"/>
      <c r="W320" s="76"/>
      <c r="X320" s="76"/>
      <c r="Y320" s="76"/>
      <c r="Z320" s="76"/>
      <c r="AA320" s="76"/>
    </row>
    <row r="321" s="1" customFormat="1" ht="27" customHeight="1" spans="12:27">
      <c r="L321" s="76"/>
      <c r="M321" s="76"/>
      <c r="N321" s="76"/>
      <c r="O321" s="76"/>
      <c r="P321" s="76"/>
      <c r="Q321" s="76"/>
      <c r="R321" s="76"/>
      <c r="S321" s="76"/>
      <c r="T321" s="76"/>
      <c r="U321" s="76"/>
      <c r="V321" s="76"/>
      <c r="W321" s="76"/>
      <c r="X321" s="76"/>
      <c r="Y321" s="76"/>
      <c r="Z321" s="76"/>
      <c r="AA321" s="76"/>
    </row>
    <row r="322" s="1" customFormat="1" ht="27" customHeight="1" spans="12:27">
      <c r="L322" s="76"/>
      <c r="M322" s="76"/>
      <c r="N322" s="76"/>
      <c r="O322" s="76"/>
      <c r="P322" s="76"/>
      <c r="Q322" s="76"/>
      <c r="R322" s="76"/>
      <c r="S322" s="76"/>
      <c r="T322" s="76"/>
      <c r="U322" s="76"/>
      <c r="V322" s="76"/>
      <c r="W322" s="76"/>
      <c r="X322" s="76"/>
      <c r="Y322" s="76"/>
      <c r="Z322" s="76"/>
      <c r="AA322" s="76"/>
    </row>
    <row r="323" s="1" customFormat="1" ht="27" customHeight="1" spans="12:27">
      <c r="L323" s="76"/>
      <c r="M323" s="76"/>
      <c r="N323" s="76"/>
      <c r="O323" s="76"/>
      <c r="P323" s="76"/>
      <c r="Q323" s="76"/>
      <c r="R323" s="76"/>
      <c r="S323" s="76"/>
      <c r="T323" s="76"/>
      <c r="U323" s="76"/>
      <c r="V323" s="76"/>
      <c r="W323" s="76"/>
      <c r="X323" s="76"/>
      <c r="Y323" s="76"/>
      <c r="Z323" s="76"/>
      <c r="AA323" s="76"/>
    </row>
    <row r="324" s="1" customFormat="1" ht="27" customHeight="1" spans="12:27">
      <c r="L324" s="76"/>
      <c r="M324" s="76"/>
      <c r="N324" s="76"/>
      <c r="O324" s="76"/>
      <c r="P324" s="76"/>
      <c r="Q324" s="76"/>
      <c r="R324" s="76"/>
      <c r="S324" s="76"/>
      <c r="T324" s="76"/>
      <c r="U324" s="76"/>
      <c r="V324" s="76"/>
      <c r="W324" s="76"/>
      <c r="X324" s="76"/>
      <c r="Y324" s="76"/>
      <c r="Z324" s="76"/>
      <c r="AA324" s="76"/>
    </row>
    <row r="325" s="1" customFormat="1" ht="27" customHeight="1" spans="12:27">
      <c r="L325" s="76"/>
      <c r="M325" s="76"/>
      <c r="N325" s="76"/>
      <c r="O325" s="76"/>
      <c r="P325" s="76"/>
      <c r="Q325" s="76"/>
      <c r="R325" s="76"/>
      <c r="S325" s="76"/>
      <c r="T325" s="76"/>
      <c r="U325" s="76"/>
      <c r="V325" s="76"/>
      <c r="W325" s="76"/>
      <c r="X325" s="76"/>
      <c r="Y325" s="76"/>
      <c r="Z325" s="76"/>
      <c r="AA325" s="76"/>
    </row>
    <row r="326" s="1" customFormat="1" ht="27" customHeight="1" spans="12:27">
      <c r="L326" s="76"/>
      <c r="M326" s="76"/>
      <c r="N326" s="76"/>
      <c r="O326" s="76"/>
      <c r="P326" s="76"/>
      <c r="Q326" s="76"/>
      <c r="R326" s="76"/>
      <c r="S326" s="76"/>
      <c r="T326" s="76"/>
      <c r="U326" s="76"/>
      <c r="V326" s="76"/>
      <c r="W326" s="76"/>
      <c r="X326" s="76"/>
      <c r="Y326" s="76"/>
      <c r="Z326" s="76"/>
      <c r="AA326" s="76"/>
    </row>
    <row r="327" s="1" customFormat="1" ht="27" customHeight="1" spans="12:27">
      <c r="L327" s="76"/>
      <c r="M327" s="76"/>
      <c r="N327" s="76"/>
      <c r="O327" s="76"/>
      <c r="P327" s="76"/>
      <c r="Q327" s="76"/>
      <c r="R327" s="76"/>
      <c r="S327" s="76"/>
      <c r="T327" s="76"/>
      <c r="U327" s="76"/>
      <c r="V327" s="76"/>
      <c r="W327" s="76"/>
      <c r="X327" s="76"/>
      <c r="Y327" s="76"/>
      <c r="Z327" s="76"/>
      <c r="AA327" s="76"/>
    </row>
    <row r="328" s="1" customFormat="1" ht="27" customHeight="1" spans="12:27">
      <c r="L328" s="76"/>
      <c r="M328" s="76"/>
      <c r="N328" s="76"/>
      <c r="O328" s="76"/>
      <c r="P328" s="76"/>
      <c r="Q328" s="76"/>
      <c r="R328" s="76"/>
      <c r="S328" s="76"/>
      <c r="T328" s="76"/>
      <c r="U328" s="76"/>
      <c r="V328" s="76"/>
      <c r="W328" s="76"/>
      <c r="X328" s="76"/>
      <c r="Y328" s="76"/>
      <c r="Z328" s="76"/>
      <c r="AA328" s="76"/>
    </row>
    <row r="329" s="1" customFormat="1" ht="27" customHeight="1" spans="12:27">
      <c r="L329" s="76"/>
      <c r="M329" s="76"/>
      <c r="N329" s="76"/>
      <c r="O329" s="76"/>
      <c r="P329" s="76"/>
      <c r="Q329" s="76"/>
      <c r="R329" s="76"/>
      <c r="S329" s="76"/>
      <c r="T329" s="76"/>
      <c r="U329" s="76"/>
      <c r="V329" s="76"/>
      <c r="W329" s="76"/>
      <c r="X329" s="76"/>
      <c r="Y329" s="76"/>
      <c r="Z329" s="76"/>
      <c r="AA329" s="76"/>
    </row>
    <row r="330" s="1" customFormat="1" ht="27" customHeight="1" spans="12:27">
      <c r="L330" s="76"/>
      <c r="M330" s="76"/>
      <c r="N330" s="76"/>
      <c r="O330" s="76"/>
      <c r="P330" s="76"/>
      <c r="Q330" s="76"/>
      <c r="R330" s="76"/>
      <c r="S330" s="76"/>
      <c r="T330" s="76"/>
      <c r="U330" s="76"/>
      <c r="V330" s="76"/>
      <c r="W330" s="76"/>
      <c r="X330" s="76"/>
      <c r="Y330" s="76"/>
      <c r="Z330" s="76"/>
      <c r="AA330" s="76"/>
    </row>
    <row r="331" s="1" customFormat="1" ht="27" customHeight="1" spans="12:27">
      <c r="L331" s="76"/>
      <c r="M331" s="76"/>
      <c r="N331" s="76"/>
      <c r="O331" s="76"/>
      <c r="P331" s="76"/>
      <c r="Q331" s="76"/>
      <c r="R331" s="76"/>
      <c r="S331" s="76"/>
      <c r="T331" s="76"/>
      <c r="U331" s="76"/>
      <c r="V331" s="76"/>
      <c r="W331" s="76"/>
      <c r="X331" s="76"/>
      <c r="Y331" s="76"/>
      <c r="Z331" s="76"/>
      <c r="AA331" s="76"/>
    </row>
    <row r="332" s="1" customFormat="1" ht="27" customHeight="1" spans="12:27">
      <c r="L332" s="76"/>
      <c r="M332" s="76"/>
      <c r="N332" s="76"/>
      <c r="O332" s="76"/>
      <c r="P332" s="76"/>
      <c r="Q332" s="76"/>
      <c r="R332" s="76"/>
      <c r="S332" s="76"/>
      <c r="T332" s="76"/>
      <c r="U332" s="76"/>
      <c r="V332" s="76"/>
      <c r="W332" s="76"/>
      <c r="X332" s="76"/>
      <c r="Y332" s="76"/>
      <c r="Z332" s="76"/>
      <c r="AA332" s="76"/>
    </row>
    <row r="333" s="1" customFormat="1" ht="27" customHeight="1" spans="12:27">
      <c r="L333" s="76"/>
      <c r="M333" s="76"/>
      <c r="N333" s="76"/>
      <c r="O333" s="76"/>
      <c r="P333" s="76"/>
      <c r="Q333" s="76"/>
      <c r="R333" s="76"/>
      <c r="S333" s="76"/>
      <c r="T333" s="76"/>
      <c r="U333" s="76"/>
      <c r="V333" s="76"/>
      <c r="W333" s="76"/>
      <c r="X333" s="76"/>
      <c r="Y333" s="76"/>
      <c r="Z333" s="76"/>
      <c r="AA333" s="76"/>
    </row>
    <row r="334" s="1" customFormat="1" ht="27" customHeight="1" spans="12:27">
      <c r="L334" s="76"/>
      <c r="M334" s="76"/>
      <c r="N334" s="76"/>
      <c r="O334" s="76"/>
      <c r="P334" s="76"/>
      <c r="Q334" s="76"/>
      <c r="R334" s="76"/>
      <c r="S334" s="76"/>
      <c r="T334" s="76"/>
      <c r="U334" s="76"/>
      <c r="V334" s="76"/>
      <c r="W334" s="76"/>
      <c r="X334" s="76"/>
      <c r="Y334" s="76"/>
      <c r="Z334" s="76"/>
      <c r="AA334" s="76"/>
    </row>
  </sheetData>
  <mergeCells count="18">
    <mergeCell ref="A1:O1"/>
    <mergeCell ref="C2:D2"/>
    <mergeCell ref="E2:F2"/>
    <mergeCell ref="C10:D10"/>
    <mergeCell ref="E10:F10"/>
    <mergeCell ref="G10:L10"/>
    <mergeCell ref="A2:A3"/>
    <mergeCell ref="B2:B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</mergeCells>
  <pageMargins left="0.75" right="0.75" top="1" bottom="1" header="0.5" footer="0.5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90"/>
  <sheetViews>
    <sheetView topLeftCell="A31" workbookViewId="0">
      <selection activeCell="L40" sqref="L40"/>
    </sheetView>
  </sheetViews>
  <sheetFormatPr defaultColWidth="22.7592592592593" defaultRowHeight="21" customHeight="1"/>
  <cols>
    <col min="1" max="1" width="17.7592592592593" style="1" customWidth="1"/>
    <col min="2" max="2" width="19.2222222222222" style="1" customWidth="1"/>
    <col min="3" max="3" width="35.6296296296296" style="2" customWidth="1"/>
    <col min="4" max="4" width="23.1296296296296" style="3" customWidth="1"/>
    <col min="5" max="5" width="10.8796296296296" style="3" customWidth="1"/>
    <col min="6" max="6" width="36.0277777777778" style="1" customWidth="1"/>
    <col min="7" max="7" width="30.1111111111111" style="1" customWidth="1"/>
    <col min="8" max="8" width="27.7037037037037" style="1" customWidth="1"/>
    <col min="9" max="9" width="39.6666666666667" style="4" customWidth="1"/>
    <col min="10" max="10" width="22.7592592592593" style="1" customWidth="1"/>
    <col min="11" max="11" width="28.5" style="1" customWidth="1"/>
    <col min="12" max="12" width="61.9537037037037" style="1" customWidth="1"/>
    <col min="13" max="16377" width="22.7592592592593" style="1" customWidth="1"/>
    <col min="16378" max="16384" width="22.7592592592593" style="1"/>
  </cols>
  <sheetData>
    <row r="1" s="1" customFormat="1" ht="24.95" customHeight="1" spans="1:15">
      <c r="A1" s="5" t="s">
        <v>114</v>
      </c>
      <c r="B1" s="5"/>
      <c r="C1" s="5"/>
      <c r="D1" s="5"/>
      <c r="E1" s="5"/>
      <c r="F1" s="5"/>
      <c r="G1" s="5"/>
      <c r="H1" s="5"/>
      <c r="I1" s="6"/>
      <c r="J1" s="5"/>
      <c r="K1" s="5"/>
      <c r="L1" s="5"/>
    </row>
    <row r="2" s="1" customFormat="1" ht="24.95" customHeight="1" spans="1:15">
      <c r="A2" s="7" t="s">
        <v>115</v>
      </c>
      <c r="B2" s="7"/>
      <c r="C2" s="7"/>
      <c r="D2" s="8"/>
      <c r="E2" s="9"/>
      <c r="F2" s="7"/>
      <c r="G2" s="7"/>
      <c r="H2" s="7"/>
      <c r="I2" s="6"/>
      <c r="J2" s="7"/>
      <c r="K2" s="7"/>
      <c r="L2" s="7"/>
      <c r="O2" s="1">
        <f>M2*N2</f>
        <v>0</v>
      </c>
    </row>
    <row r="3" s="1" customFormat="1" ht="26" customHeight="1" spans="1:15">
      <c r="A3" s="10" t="s">
        <v>116</v>
      </c>
      <c r="B3" s="11" t="s">
        <v>117</v>
      </c>
      <c r="C3" s="11" t="s">
        <v>118</v>
      </c>
      <c r="D3" s="12" t="s">
        <v>25</v>
      </c>
      <c r="E3" s="12" t="s">
        <v>119</v>
      </c>
      <c r="F3" s="13" t="s">
        <v>14</v>
      </c>
      <c r="G3" s="13" t="s">
        <v>120</v>
      </c>
      <c r="H3" s="13" t="s">
        <v>121</v>
      </c>
      <c r="I3" s="14" t="s">
        <v>122</v>
      </c>
      <c r="J3" s="13" t="s">
        <v>25</v>
      </c>
      <c r="K3" s="13" t="s">
        <v>119</v>
      </c>
      <c r="L3" s="13" t="s">
        <v>14</v>
      </c>
      <c r="M3" s="15"/>
      <c r="N3" s="15"/>
      <c r="O3" s="15"/>
    </row>
    <row r="4" s="1" customFormat="1" ht="24.95" customHeight="1" spans="1:15">
      <c r="A4" s="16" t="s">
        <v>63</v>
      </c>
      <c r="B4" s="17" t="s">
        <v>123</v>
      </c>
      <c r="C4" s="18" t="s">
        <v>124</v>
      </c>
      <c r="D4" s="19">
        <f>300*13</f>
        <v>3900</v>
      </c>
      <c r="E4" s="20" t="s">
        <v>125</v>
      </c>
      <c r="F4" s="21" t="s">
        <v>126</v>
      </c>
      <c r="G4" s="22"/>
      <c r="H4" s="22"/>
      <c r="I4" s="23"/>
      <c r="J4" s="22"/>
      <c r="K4" s="22"/>
      <c r="L4" s="22"/>
      <c r="M4" s="15"/>
      <c r="N4" s="15"/>
      <c r="O4" s="15"/>
    </row>
    <row r="5" s="1" customFormat="1" ht="24.95" customHeight="1" spans="1:15">
      <c r="A5" s="24" t="s">
        <v>127</v>
      </c>
      <c r="B5" s="25"/>
      <c r="C5" s="26"/>
      <c r="D5" s="27">
        <f>SUM(D4:D4)</f>
        <v>3900</v>
      </c>
      <c r="E5" s="28" t="s">
        <v>125</v>
      </c>
      <c r="F5" s="29"/>
      <c r="G5" s="30"/>
      <c r="H5" s="30"/>
      <c r="I5" s="30"/>
      <c r="J5" s="30"/>
      <c r="K5" s="30"/>
      <c r="L5" s="30"/>
      <c r="M5" s="15"/>
      <c r="N5" s="15"/>
      <c r="O5" s="15"/>
    </row>
    <row r="6" s="1" customFormat="1" ht="24.95" customHeight="1" spans="1:15">
      <c r="A6" s="16" t="s">
        <v>63</v>
      </c>
      <c r="B6" s="17" t="s">
        <v>128</v>
      </c>
      <c r="C6" s="18" t="s">
        <v>129</v>
      </c>
      <c r="D6" s="31">
        <v>54382.5</v>
      </c>
      <c r="E6" s="32" t="s">
        <v>125</v>
      </c>
      <c r="F6" s="21" t="s">
        <v>126</v>
      </c>
      <c r="G6" s="30" t="s">
        <v>130</v>
      </c>
      <c r="H6" s="30" t="s">
        <v>131</v>
      </c>
      <c r="I6" s="33" t="s">
        <v>132</v>
      </c>
      <c r="J6" s="34">
        <f>236000-104000</f>
        <v>132000</v>
      </c>
      <c r="K6" s="30" t="s">
        <v>126</v>
      </c>
      <c r="L6" s="30"/>
      <c r="M6" s="15"/>
      <c r="N6" s="15"/>
      <c r="O6" s="15"/>
    </row>
    <row r="7" s="1" customFormat="1" ht="24.95" customHeight="1" spans="1:15">
      <c r="A7" s="16" t="s">
        <v>63</v>
      </c>
      <c r="B7" s="17" t="s">
        <v>133</v>
      </c>
      <c r="C7" s="18" t="s">
        <v>134</v>
      </c>
      <c r="D7" s="31">
        <f>597*13</f>
        <v>7761</v>
      </c>
      <c r="E7" s="32" t="s">
        <v>125</v>
      </c>
      <c r="F7" s="21" t="s">
        <v>126</v>
      </c>
      <c r="G7" s="34" t="s">
        <v>135</v>
      </c>
      <c r="H7" s="34"/>
      <c r="I7" s="35" t="s">
        <v>136</v>
      </c>
      <c r="J7" s="34">
        <v>3348</v>
      </c>
      <c r="K7" s="30" t="s">
        <v>126</v>
      </c>
      <c r="L7" s="30"/>
      <c r="M7" s="15"/>
      <c r="N7" s="15"/>
      <c r="O7" s="15"/>
    </row>
    <row r="8" s="1" customFormat="1" ht="24.95" customHeight="1" spans="1:15">
      <c r="A8" s="16" t="s">
        <v>63</v>
      </c>
      <c r="B8" s="17" t="s">
        <v>123</v>
      </c>
      <c r="C8" s="18" t="s">
        <v>137</v>
      </c>
      <c r="D8" s="19">
        <f>64*19+192*16+588*13+142*6+108*10+36*15-275</f>
        <v>14129</v>
      </c>
      <c r="E8" s="32" t="s">
        <v>125</v>
      </c>
      <c r="F8" s="36"/>
      <c r="G8" s="34" t="s">
        <v>135</v>
      </c>
      <c r="H8" s="30"/>
      <c r="I8" s="37" t="s">
        <v>138</v>
      </c>
      <c r="J8" s="30">
        <v>1060</v>
      </c>
      <c r="K8" s="30" t="s">
        <v>126</v>
      </c>
      <c r="L8" s="30"/>
      <c r="M8" s="15"/>
      <c r="N8" s="15"/>
      <c r="O8" s="15"/>
    </row>
    <row r="9" s="1" customFormat="1" ht="24" customHeight="1" spans="1:15">
      <c r="A9" s="16" t="s">
        <v>63</v>
      </c>
      <c r="B9" s="170" t="s">
        <v>139</v>
      </c>
      <c r="C9" s="18" t="s">
        <v>140</v>
      </c>
      <c r="D9" s="19">
        <f>1504*14</f>
        <v>21056</v>
      </c>
      <c r="E9" s="32" t="s">
        <v>125</v>
      </c>
      <c r="F9" s="36"/>
      <c r="G9" s="30" t="s">
        <v>141</v>
      </c>
      <c r="H9" s="30" t="s">
        <v>142</v>
      </c>
      <c r="I9" s="33" t="s">
        <v>143</v>
      </c>
      <c r="J9" s="34">
        <v>121192.3</v>
      </c>
      <c r="K9" s="30" t="s">
        <v>125</v>
      </c>
      <c r="L9" s="30"/>
      <c r="M9" s="15"/>
      <c r="N9" s="15"/>
      <c r="O9" s="15"/>
    </row>
    <row r="10" s="1" customFormat="1" ht="24" customHeight="1" spans="1:15">
      <c r="A10" s="16" t="s">
        <v>63</v>
      </c>
      <c r="B10" s="17" t="s">
        <v>144</v>
      </c>
      <c r="C10" s="18" t="s">
        <v>145</v>
      </c>
      <c r="D10" s="19">
        <f>60600-8360-500</f>
        <v>51740</v>
      </c>
      <c r="E10" s="32" t="s">
        <v>125</v>
      </c>
      <c r="F10" s="36"/>
      <c r="G10" s="34" t="s">
        <v>146</v>
      </c>
      <c r="H10" s="34" t="s">
        <v>147</v>
      </c>
      <c r="I10" s="34" t="s">
        <v>148</v>
      </c>
      <c r="J10" s="34">
        <v>23195</v>
      </c>
      <c r="K10" s="30" t="s">
        <v>125</v>
      </c>
      <c r="L10" s="38"/>
    </row>
    <row r="11" s="1" customFormat="1" ht="24.95" customHeight="1" spans="1:15">
      <c r="A11" s="16" t="s">
        <v>63</v>
      </c>
      <c r="B11" s="17" t="s">
        <v>128</v>
      </c>
      <c r="C11" s="18" t="s">
        <v>149</v>
      </c>
      <c r="D11" s="19">
        <f>1140*13</f>
        <v>14820</v>
      </c>
      <c r="E11" s="32" t="s">
        <v>125</v>
      </c>
      <c r="F11" s="36"/>
      <c r="G11" s="30" t="s">
        <v>150</v>
      </c>
      <c r="H11" s="30" t="s">
        <v>151</v>
      </c>
      <c r="I11" s="35" t="s">
        <v>152</v>
      </c>
      <c r="J11" s="34">
        <v>8000</v>
      </c>
      <c r="K11" s="30" t="s">
        <v>125</v>
      </c>
      <c r="L11" s="38"/>
      <c r="M11" s="15"/>
      <c r="N11" s="15"/>
      <c r="O11" s="15"/>
    </row>
    <row r="12" s="1" customFormat="1" ht="30.95" customHeight="1" spans="1:15">
      <c r="A12" s="16" t="s">
        <v>63</v>
      </c>
      <c r="B12" s="17" t="s">
        <v>123</v>
      </c>
      <c r="C12" s="18" t="s">
        <v>153</v>
      </c>
      <c r="D12" s="19">
        <f>504*5</f>
        <v>2520</v>
      </c>
      <c r="E12" s="32" t="s">
        <v>125</v>
      </c>
      <c r="F12" s="36"/>
      <c r="G12" s="22" t="s">
        <v>154</v>
      </c>
      <c r="H12" s="22" t="s">
        <v>155</v>
      </c>
      <c r="I12" s="22" t="s">
        <v>156</v>
      </c>
      <c r="J12" s="39">
        <v>11200</v>
      </c>
      <c r="K12" s="22" t="s">
        <v>125</v>
      </c>
      <c r="L12" s="40"/>
      <c r="M12" s="15"/>
      <c r="N12" s="15"/>
      <c r="O12" s="15"/>
    </row>
    <row r="13" s="1" customFormat="1" ht="29.1" customHeight="1" spans="1:15">
      <c r="A13" s="16" t="s">
        <v>63</v>
      </c>
      <c r="B13" s="17" t="s">
        <v>157</v>
      </c>
      <c r="C13" s="18" t="s">
        <v>158</v>
      </c>
      <c r="D13" s="19">
        <v>2340</v>
      </c>
      <c r="E13" s="32" t="s">
        <v>125</v>
      </c>
      <c r="F13" s="36"/>
      <c r="G13" s="22" t="s">
        <v>159</v>
      </c>
      <c r="H13" s="22" t="s">
        <v>160</v>
      </c>
      <c r="I13" s="22" t="s">
        <v>161</v>
      </c>
      <c r="J13" s="22">
        <f>31500+58800</f>
        <v>90300</v>
      </c>
      <c r="K13" s="22" t="s">
        <v>162</v>
      </c>
      <c r="L13" s="40"/>
      <c r="M13" s="15"/>
      <c r="N13" s="15"/>
      <c r="O13" s="15"/>
    </row>
    <row r="14" s="1" customFormat="1" ht="27" customHeight="1" spans="1:15">
      <c r="A14" s="16" t="s">
        <v>63</v>
      </c>
      <c r="B14" s="17" t="s">
        <v>128</v>
      </c>
      <c r="C14" s="18" t="s">
        <v>163</v>
      </c>
      <c r="D14" s="19">
        <f>82904+1500</f>
        <v>84404</v>
      </c>
      <c r="E14" s="32" t="s">
        <v>125</v>
      </c>
      <c r="F14" s="36"/>
      <c r="G14" s="41" t="s">
        <v>164</v>
      </c>
      <c r="H14" s="41"/>
      <c r="I14" s="41" t="s">
        <v>165</v>
      </c>
      <c r="J14" s="41">
        <v>72000</v>
      </c>
      <c r="K14" s="22" t="s">
        <v>162</v>
      </c>
      <c r="L14" s="40" t="s">
        <v>166</v>
      </c>
      <c r="M14" s="15"/>
      <c r="N14" s="15"/>
      <c r="O14" s="15"/>
    </row>
    <row r="15" s="1" customFormat="1" ht="27" customHeight="1" spans="1:15">
      <c r="A15" s="16" t="s">
        <v>63</v>
      </c>
      <c r="B15" s="170" t="s">
        <v>139</v>
      </c>
      <c r="C15" s="18" t="s">
        <v>167</v>
      </c>
      <c r="D15" s="19">
        <v>25152</v>
      </c>
      <c r="E15" s="32" t="s">
        <v>125</v>
      </c>
      <c r="F15" s="36"/>
      <c r="G15" s="41" t="s">
        <v>168</v>
      </c>
      <c r="H15" s="41"/>
      <c r="I15" s="41" t="s">
        <v>169</v>
      </c>
      <c r="J15" s="41">
        <v>18000</v>
      </c>
      <c r="K15" s="41"/>
      <c r="L15" s="42"/>
    </row>
    <row r="16" s="1" customFormat="1" ht="25" customHeight="1" spans="1:15">
      <c r="A16" s="16" t="s">
        <v>63</v>
      </c>
      <c r="B16" s="170" t="s">
        <v>139</v>
      </c>
      <c r="C16" s="18" t="s">
        <v>170</v>
      </c>
      <c r="D16" s="19">
        <f>45920-18816</f>
        <v>27104</v>
      </c>
      <c r="E16" s="32" t="s">
        <v>125</v>
      </c>
      <c r="F16" s="36"/>
      <c r="G16" s="22" t="s">
        <v>171</v>
      </c>
      <c r="H16" s="22"/>
      <c r="I16" s="22" t="s">
        <v>172</v>
      </c>
      <c r="J16" s="22">
        <v>6300</v>
      </c>
      <c r="K16" s="22"/>
      <c r="L16" s="42"/>
    </row>
    <row r="17" s="1" customFormat="1" ht="27" customHeight="1" spans="1:15">
      <c r="A17" s="16" t="s">
        <v>63</v>
      </c>
      <c r="B17" s="17" t="s">
        <v>173</v>
      </c>
      <c r="C17" s="18" t="s">
        <v>174</v>
      </c>
      <c r="D17" s="19">
        <v>1800</v>
      </c>
      <c r="E17" s="32" t="s">
        <v>125</v>
      </c>
      <c r="F17" s="41"/>
      <c r="G17" s="22" t="s">
        <v>171</v>
      </c>
      <c r="H17" s="41"/>
      <c r="I17" s="41" t="s">
        <v>175</v>
      </c>
      <c r="J17" s="41">
        <v>3400</v>
      </c>
      <c r="K17" s="41"/>
      <c r="M17" s="15"/>
      <c r="N17" s="15"/>
      <c r="O17" s="15"/>
    </row>
    <row r="18" s="1" customFormat="1" ht="27" customHeight="1" spans="1:15">
      <c r="A18" s="16"/>
      <c r="B18" s="16"/>
      <c r="C18" s="18"/>
      <c r="D18" s="19"/>
      <c r="E18" s="32"/>
      <c r="F18" s="41"/>
      <c r="G18" s="43" t="s">
        <v>30</v>
      </c>
      <c r="H18" s="43"/>
      <c r="I18" s="44"/>
      <c r="J18" s="43">
        <f>SUM(J4:J16)</f>
        <v>486595.3</v>
      </c>
      <c r="K18" s="43"/>
      <c r="L18" s="45"/>
      <c r="M18" s="15"/>
      <c r="N18" s="15"/>
      <c r="O18" s="15"/>
    </row>
    <row r="19" s="1" customFormat="1" customHeight="1" spans="1:15">
      <c r="A19" s="41"/>
      <c r="B19" s="41"/>
      <c r="C19" s="41"/>
      <c r="D19" s="41"/>
      <c r="E19" s="32"/>
      <c r="F19" s="41"/>
      <c r="G19" s="13" t="s">
        <v>176</v>
      </c>
      <c r="H19" s="13" t="s">
        <v>177</v>
      </c>
      <c r="I19" s="14" t="s">
        <v>178</v>
      </c>
      <c r="J19" s="13" t="s">
        <v>25</v>
      </c>
      <c r="K19" s="13" t="s">
        <v>119</v>
      </c>
      <c r="L19" s="45"/>
      <c r="M19" s="15"/>
      <c r="N19" s="15"/>
      <c r="O19" s="15"/>
    </row>
    <row r="20" s="1" customFormat="1" ht="24.95" customHeight="1" spans="1:15">
      <c r="A20" s="24" t="s">
        <v>179</v>
      </c>
      <c r="B20" s="24"/>
      <c r="C20" s="26"/>
      <c r="D20" s="27">
        <f>SUM(D6:D18)</f>
        <v>307208.5</v>
      </c>
      <c r="E20" s="28"/>
      <c r="F20" s="24"/>
      <c r="G20" s="46" t="s">
        <v>180</v>
      </c>
      <c r="H20" s="46" t="s">
        <v>181</v>
      </c>
      <c r="I20" s="47"/>
      <c r="J20" s="46">
        <v>55000</v>
      </c>
      <c r="K20" s="46" t="s">
        <v>126</v>
      </c>
      <c r="L20" s="48" t="s">
        <v>182</v>
      </c>
    </row>
    <row r="21" s="1" customFormat="1" ht="24.95" customHeight="1" spans="1:15">
      <c r="A21" s="46" t="s">
        <v>183</v>
      </c>
      <c r="B21" s="46"/>
      <c r="C21" s="46"/>
      <c r="D21" s="49">
        <f>D5+D20</f>
        <v>311108.5</v>
      </c>
      <c r="E21" s="46"/>
      <c r="F21" s="46"/>
      <c r="G21" s="46" t="s">
        <v>184</v>
      </c>
      <c r="H21" s="46" t="s">
        <v>185</v>
      </c>
      <c r="I21" s="47"/>
      <c r="J21" s="46">
        <v>45000</v>
      </c>
      <c r="K21" s="46" t="s">
        <v>126</v>
      </c>
      <c r="L21" s="48" t="s">
        <v>186</v>
      </c>
    </row>
    <row r="22" s="1" customFormat="1" ht="24.95" customHeight="1" spans="1:15">
      <c r="A22" s="24" t="s">
        <v>187</v>
      </c>
      <c r="B22" s="50" t="s">
        <v>117</v>
      </c>
      <c r="C22" s="50" t="s">
        <v>118</v>
      </c>
      <c r="D22" s="51" t="s">
        <v>25</v>
      </c>
      <c r="E22" s="52" t="s">
        <v>188</v>
      </c>
      <c r="F22" s="50" t="s">
        <v>14</v>
      </c>
      <c r="G22" s="46" t="s">
        <v>184</v>
      </c>
      <c r="H22" s="46" t="s">
        <v>189</v>
      </c>
      <c r="I22" s="47"/>
      <c r="J22" s="46">
        <v>30000</v>
      </c>
      <c r="K22" s="46" t="s">
        <v>126</v>
      </c>
      <c r="L22" s="48" t="s">
        <v>190</v>
      </c>
    </row>
    <row r="23" s="1" customFormat="1" ht="33" customHeight="1" spans="1:15">
      <c r="A23" s="16" t="s">
        <v>64</v>
      </c>
      <c r="B23" s="16" t="s">
        <v>191</v>
      </c>
      <c r="C23" s="18" t="s">
        <v>192</v>
      </c>
      <c r="D23" s="31">
        <f>290139-150000-35000</f>
        <v>105139</v>
      </c>
      <c r="E23" s="18" t="s">
        <v>193</v>
      </c>
      <c r="F23" s="53" t="s">
        <v>194</v>
      </c>
      <c r="G23" s="41" t="s">
        <v>195</v>
      </c>
      <c r="H23" s="41" t="s">
        <v>196</v>
      </c>
      <c r="I23" s="54"/>
      <c r="J23" s="41">
        <v>36049.98</v>
      </c>
      <c r="K23" s="22" t="s">
        <v>197</v>
      </c>
      <c r="L23" s="55" t="s">
        <v>198</v>
      </c>
    </row>
    <row r="24" s="1" customFormat="1" ht="48" customHeight="1" spans="1:15">
      <c r="A24" s="24" t="s">
        <v>199</v>
      </c>
      <c r="B24" s="24"/>
      <c r="C24" s="26"/>
      <c r="D24" s="27">
        <f>SUM(D23:D23)</f>
        <v>105139</v>
      </c>
      <c r="E24" s="56"/>
      <c r="F24" s="56"/>
      <c r="G24" s="41" t="s">
        <v>200</v>
      </c>
      <c r="H24" s="41" t="s">
        <v>196</v>
      </c>
      <c r="I24" s="41"/>
      <c r="J24" s="57">
        <v>170000</v>
      </c>
      <c r="K24" s="41"/>
      <c r="L24" s="1" t="s">
        <v>201</v>
      </c>
    </row>
    <row r="25" s="1" customFormat="1" ht="24" customHeight="1" spans="1:15">
      <c r="A25" s="16" t="s">
        <v>64</v>
      </c>
      <c r="B25" s="16" t="s">
        <v>202</v>
      </c>
      <c r="C25" s="18" t="s">
        <v>203</v>
      </c>
      <c r="D25" s="31">
        <v>16303.5</v>
      </c>
      <c r="E25" s="58"/>
      <c r="F25" s="22"/>
      <c r="G25" s="59" t="s">
        <v>204</v>
      </c>
      <c r="H25" s="59" t="s">
        <v>205</v>
      </c>
      <c r="I25" s="60" t="s">
        <v>206</v>
      </c>
      <c r="J25" s="59">
        <v>200000</v>
      </c>
      <c r="K25" s="59" t="s">
        <v>125</v>
      </c>
      <c r="L25" s="61" t="s">
        <v>207</v>
      </c>
    </row>
    <row r="26" s="1" customFormat="1" ht="24" customHeight="1" spans="1:15">
      <c r="A26" s="24" t="s">
        <v>208</v>
      </c>
      <c r="B26" s="24"/>
      <c r="C26" s="26"/>
      <c r="D26" s="27">
        <f>SUM(D25:D25)</f>
        <v>16303.5</v>
      </c>
      <c r="E26" s="62"/>
      <c r="F26" s="24"/>
      <c r="G26" s="59" t="s">
        <v>209</v>
      </c>
      <c r="H26" s="59"/>
      <c r="I26" s="60" t="s">
        <v>210</v>
      </c>
      <c r="J26" s="59">
        <v>24000</v>
      </c>
      <c r="K26" s="59" t="s">
        <v>125</v>
      </c>
      <c r="L26" s="63" t="s">
        <v>211</v>
      </c>
    </row>
    <row r="27" s="1" customFormat="1" ht="45" customHeight="1" spans="1:15">
      <c r="A27" s="16" t="s">
        <v>64</v>
      </c>
      <c r="B27" s="16" t="s">
        <v>212</v>
      </c>
      <c r="C27" s="18" t="s">
        <v>213</v>
      </c>
      <c r="D27" s="31">
        <v>8657</v>
      </c>
      <c r="E27" s="58"/>
      <c r="F27" s="22"/>
      <c r="G27" s="59" t="s">
        <v>210</v>
      </c>
      <c r="H27" s="59"/>
      <c r="I27" s="60" t="s">
        <v>210</v>
      </c>
      <c r="J27" s="59">
        <v>45000</v>
      </c>
      <c r="K27" s="59" t="s">
        <v>125</v>
      </c>
      <c r="L27" s="63" t="s">
        <v>211</v>
      </c>
    </row>
    <row r="28" s="1" customFormat="1" ht="24.95" customHeight="1" spans="1:15">
      <c r="A28" s="16" t="s">
        <v>64</v>
      </c>
      <c r="B28" s="16" t="s">
        <v>214</v>
      </c>
      <c r="C28" s="18" t="s">
        <v>215</v>
      </c>
      <c r="D28" s="19">
        <v>381677</v>
      </c>
      <c r="E28" s="58"/>
      <c r="F28" s="22"/>
      <c r="G28" s="64" t="s">
        <v>216</v>
      </c>
      <c r="H28" s="64" t="s">
        <v>217</v>
      </c>
      <c r="I28" s="64" t="s">
        <v>218</v>
      </c>
      <c r="J28" s="64">
        <v>420000</v>
      </c>
      <c r="K28" s="64" t="s">
        <v>162</v>
      </c>
      <c r="L28" s="64" t="s">
        <v>219</v>
      </c>
    </row>
    <row r="29" s="1" customFormat="1" ht="26.1" customHeight="1" spans="1:15">
      <c r="A29" s="16" t="s">
        <v>64</v>
      </c>
      <c r="B29" s="16" t="s">
        <v>191</v>
      </c>
      <c r="C29" s="18" t="s">
        <v>220</v>
      </c>
      <c r="D29" s="19">
        <f>121044.5+5200</f>
        <v>126244.5</v>
      </c>
      <c r="E29" s="58"/>
      <c r="F29" s="22"/>
      <c r="G29" s="41" t="s">
        <v>221</v>
      </c>
      <c r="H29" s="41" t="s">
        <v>222</v>
      </c>
      <c r="I29" s="41" t="s">
        <v>223</v>
      </c>
      <c r="J29" s="41">
        <v>100000</v>
      </c>
      <c r="K29" s="45"/>
      <c r="L29" s="54" t="s">
        <v>224</v>
      </c>
    </row>
    <row r="30" s="1" customFormat="1" ht="32" customHeight="1" spans="1:15">
      <c r="A30" s="24" t="s">
        <v>225</v>
      </c>
      <c r="B30" s="24"/>
      <c r="C30" s="26"/>
      <c r="D30" s="27">
        <f>SUM(D27:D29)</f>
        <v>516578.5</v>
      </c>
      <c r="E30" s="62"/>
      <c r="F30" s="56"/>
      <c r="G30" s="41" t="s">
        <v>226</v>
      </c>
      <c r="H30" s="41" t="s">
        <v>227</v>
      </c>
      <c r="I30" s="41" t="s">
        <v>223</v>
      </c>
      <c r="J30" s="41">
        <v>11200</v>
      </c>
      <c r="K30" s="41"/>
      <c r="L30" s="54" t="s">
        <v>228</v>
      </c>
    </row>
    <row r="31" s="1" customFormat="1" ht="31" customHeight="1" spans="1:15">
      <c r="A31" s="16" t="s">
        <v>64</v>
      </c>
      <c r="B31" s="16" t="s">
        <v>191</v>
      </c>
      <c r="C31" s="18" t="s">
        <v>229</v>
      </c>
      <c r="D31" s="65">
        <f>10385*12</f>
        <v>124620</v>
      </c>
      <c r="E31" s="22"/>
      <c r="F31" s="22"/>
      <c r="G31" s="13" t="s">
        <v>30</v>
      </c>
      <c r="H31" s="13"/>
      <c r="I31" s="14"/>
      <c r="J31" s="13">
        <f>SUM(J20:J29)</f>
        <v>1125049.98</v>
      </c>
      <c r="K31" s="13"/>
      <c r="L31" s="41"/>
    </row>
    <row r="32" s="1" customFormat="1" ht="26" customHeight="1" spans="1:15">
      <c r="A32" s="16" t="s">
        <v>64</v>
      </c>
      <c r="B32" s="16" t="s">
        <v>191</v>
      </c>
      <c r="C32" s="18" t="s">
        <v>230</v>
      </c>
      <c r="D32" s="19">
        <f>6965*7.5+4992*7.3+2998*7</f>
        <v>109665.1</v>
      </c>
      <c r="E32" s="22"/>
      <c r="F32" s="22"/>
      <c r="G32" s="13" t="s">
        <v>231</v>
      </c>
      <c r="H32" s="43">
        <f>J18+J31</f>
        <v>1611645.28</v>
      </c>
      <c r="I32" s="44"/>
      <c r="J32" s="45"/>
      <c r="K32" s="45"/>
      <c r="L32" s="45"/>
    </row>
    <row r="33" s="1" customFormat="1" ht="26" customHeight="1" spans="1:13">
      <c r="A33" s="16" t="s">
        <v>64</v>
      </c>
      <c r="B33" s="16" t="s">
        <v>232</v>
      </c>
      <c r="C33" s="18" t="s">
        <v>233</v>
      </c>
      <c r="D33" s="65">
        <v>372820</v>
      </c>
      <c r="E33" s="41"/>
      <c r="F33" s="41"/>
      <c r="G33" s="66" t="s">
        <v>234</v>
      </c>
      <c r="H33" s="66"/>
      <c r="I33" s="67"/>
      <c r="J33" s="66"/>
      <c r="K33" s="66"/>
      <c r="L33" s="66"/>
    </row>
    <row r="34" s="1" customFormat="1" ht="26" customHeight="1" spans="1:13">
      <c r="A34" s="24" t="s">
        <v>235</v>
      </c>
      <c r="B34" s="24"/>
      <c r="C34" s="26"/>
      <c r="D34" s="27">
        <f>SUM(D31:D33)</f>
        <v>607105.1</v>
      </c>
      <c r="E34" s="56"/>
      <c r="F34" s="56"/>
      <c r="G34" s="13" t="s">
        <v>236</v>
      </c>
      <c r="H34" s="13" t="s">
        <v>177</v>
      </c>
      <c r="I34" s="14" t="s">
        <v>178</v>
      </c>
      <c r="J34" s="13" t="s">
        <v>25</v>
      </c>
      <c r="K34" s="13" t="s">
        <v>119</v>
      </c>
      <c r="L34" s="45" t="s">
        <v>14</v>
      </c>
    </row>
    <row r="35" s="1" customFormat="1" ht="31" customHeight="1" spans="1:13">
      <c r="A35" s="16" t="s">
        <v>64</v>
      </c>
      <c r="B35" s="16" t="s">
        <v>191</v>
      </c>
      <c r="C35" s="18" t="s">
        <v>237</v>
      </c>
      <c r="D35" s="19">
        <f>16128*7+41342*7.5</f>
        <v>422961</v>
      </c>
      <c r="E35" s="16"/>
      <c r="F35" s="41"/>
      <c r="G35" s="58" t="s">
        <v>238</v>
      </c>
      <c r="H35" s="58" t="s">
        <v>239</v>
      </c>
      <c r="I35" s="53" t="s">
        <v>240</v>
      </c>
      <c r="J35" s="58">
        <v>60350</v>
      </c>
      <c r="K35" s="58" t="s">
        <v>162</v>
      </c>
      <c r="L35" s="68" t="s">
        <v>241</v>
      </c>
    </row>
    <row r="36" s="1" customFormat="1" ht="31" customHeight="1" spans="1:13">
      <c r="A36" s="16" t="s">
        <v>64</v>
      </c>
      <c r="B36" s="16" t="s">
        <v>212</v>
      </c>
      <c r="C36" s="18" t="s">
        <v>242</v>
      </c>
      <c r="D36" s="65">
        <v>55328</v>
      </c>
      <c r="E36" s="16"/>
      <c r="F36" s="41">
        <f>D36+D31+D33+D51</f>
        <v>641048</v>
      </c>
      <c r="G36" s="64" t="s">
        <v>243</v>
      </c>
      <c r="H36" s="64" t="s">
        <v>244</v>
      </c>
      <c r="I36" s="69" t="s">
        <v>240</v>
      </c>
      <c r="J36" s="64">
        <v>126240</v>
      </c>
      <c r="K36" s="70" t="s">
        <v>162</v>
      </c>
      <c r="L36" s="71" t="s">
        <v>245</v>
      </c>
    </row>
    <row r="37" s="1" customFormat="1" ht="31" customHeight="1" spans="1:13">
      <c r="A37" s="16" t="s">
        <v>64</v>
      </c>
      <c r="B37" s="16" t="s">
        <v>202</v>
      </c>
      <c r="C37" s="18" t="s">
        <v>246</v>
      </c>
      <c r="D37" s="19">
        <v>317041.3</v>
      </c>
      <c r="E37" s="16"/>
      <c r="F37" s="41">
        <f>D43+D40+D39+D38+D37+D35+D32</f>
        <v>1481350.4</v>
      </c>
      <c r="G37" s="22" t="s">
        <v>247</v>
      </c>
      <c r="H37" s="22" t="s">
        <v>248</v>
      </c>
      <c r="I37" s="53" t="s">
        <v>240</v>
      </c>
      <c r="J37" s="22">
        <v>339206</v>
      </c>
      <c r="K37" s="22" t="s">
        <v>162</v>
      </c>
      <c r="L37" s="40" t="s">
        <v>249</v>
      </c>
    </row>
    <row r="38" s="1" customFormat="1" ht="62" customHeight="1" spans="1:13">
      <c r="A38" s="16" t="s">
        <v>64</v>
      </c>
      <c r="B38" s="16" t="s">
        <v>250</v>
      </c>
      <c r="C38" s="18" t="s">
        <v>251</v>
      </c>
      <c r="D38" s="19">
        <f>402003.3-104000</f>
        <v>298003.3</v>
      </c>
      <c r="E38" s="16"/>
      <c r="F38" s="41">
        <f>D41+D42+D44+D52</f>
        <v>1096953.4</v>
      </c>
      <c r="G38" s="64" t="s">
        <v>252</v>
      </c>
      <c r="H38" s="64" t="s">
        <v>253</v>
      </c>
      <c r="I38" s="72" t="s">
        <v>240</v>
      </c>
      <c r="J38" s="70">
        <f>600000+280000</f>
        <v>880000</v>
      </c>
      <c r="K38" s="64" t="s">
        <v>162</v>
      </c>
      <c r="L38" s="73" t="s">
        <v>254</v>
      </c>
      <c r="M38" s="74"/>
    </row>
    <row r="39" s="1" customFormat="1" ht="32.1" customHeight="1" spans="1:13">
      <c r="A39" s="16" t="s">
        <v>64</v>
      </c>
      <c r="B39" s="17" t="s">
        <v>128</v>
      </c>
      <c r="C39" s="18" t="s">
        <v>255</v>
      </c>
      <c r="D39" s="19">
        <v>145304</v>
      </c>
      <c r="E39" s="16"/>
      <c r="F39" s="22">
        <f>D46+D47+D48+D53</f>
        <v>1007425.8</v>
      </c>
      <c r="G39" s="64" t="s">
        <v>256</v>
      </c>
      <c r="H39" s="64" t="s">
        <v>257</v>
      </c>
      <c r="I39" s="69" t="s">
        <v>240</v>
      </c>
      <c r="J39" s="70">
        <f>78400+7088</f>
        <v>85488</v>
      </c>
      <c r="K39" s="64" t="s">
        <v>162</v>
      </c>
      <c r="L39" s="75" t="s">
        <v>258</v>
      </c>
    </row>
    <row r="40" s="1" customFormat="1" ht="49" customHeight="1" spans="1:13">
      <c r="A40" s="16" t="s">
        <v>64</v>
      </c>
      <c r="B40" s="17" t="s">
        <v>259</v>
      </c>
      <c r="C40" s="18" t="s">
        <v>260</v>
      </c>
      <c r="D40" s="19">
        <f>10135*5.9</f>
        <v>59796.5</v>
      </c>
      <c r="E40" s="16"/>
      <c r="F40" s="16"/>
      <c r="G40" s="64" t="s">
        <v>261</v>
      </c>
      <c r="H40" s="64" t="s">
        <v>262</v>
      </c>
      <c r="I40" s="69" t="s">
        <v>240</v>
      </c>
      <c r="J40" s="64">
        <f>320640+325000</f>
        <v>645640</v>
      </c>
      <c r="K40" s="64" t="s">
        <v>162</v>
      </c>
      <c r="L40" s="73" t="s">
        <v>263</v>
      </c>
    </row>
    <row r="41" s="1" customFormat="1" ht="61" customHeight="1" spans="1:13">
      <c r="A41" s="16" t="s">
        <v>64</v>
      </c>
      <c r="B41" s="17" t="s">
        <v>191</v>
      </c>
      <c r="C41" s="18" t="s">
        <v>264</v>
      </c>
      <c r="D41" s="19">
        <f>153872+5900</f>
        <v>159772</v>
      </c>
      <c r="E41" s="76"/>
      <c r="F41" s="77" t="s">
        <v>265</v>
      </c>
      <c r="G41" s="22" t="s">
        <v>266</v>
      </c>
      <c r="H41" s="22" t="s">
        <v>267</v>
      </c>
      <c r="I41" s="23" t="s">
        <v>240</v>
      </c>
      <c r="J41" s="22">
        <v>299</v>
      </c>
      <c r="K41" s="22" t="s">
        <v>162</v>
      </c>
      <c r="L41" s="78" t="s">
        <v>268</v>
      </c>
    </row>
    <row r="42" s="1" customFormat="1" ht="32.1" customHeight="1" spans="1:13">
      <c r="A42" s="16" t="s">
        <v>64</v>
      </c>
      <c r="B42" s="17" t="s">
        <v>269</v>
      </c>
      <c r="C42" s="18" t="s">
        <v>270</v>
      </c>
      <c r="D42" s="19">
        <v>493257.5</v>
      </c>
      <c r="E42" s="16"/>
      <c r="F42" s="41"/>
      <c r="G42" s="22" t="s">
        <v>271</v>
      </c>
      <c r="H42" s="22" t="s">
        <v>272</v>
      </c>
      <c r="I42" s="23" t="s">
        <v>240</v>
      </c>
      <c r="J42" s="22">
        <v>1400</v>
      </c>
      <c r="K42" s="22" t="s">
        <v>162</v>
      </c>
      <c r="L42" s="40" t="s">
        <v>273</v>
      </c>
    </row>
    <row r="43" s="1" customFormat="1" ht="35.1" customHeight="1" spans="1:13">
      <c r="A43" s="16" t="s">
        <v>64</v>
      </c>
      <c r="B43" s="17" t="s">
        <v>232</v>
      </c>
      <c r="C43" s="18" t="s">
        <v>274</v>
      </c>
      <c r="D43" s="19">
        <v>128579.2</v>
      </c>
      <c r="E43" s="16"/>
      <c r="F43" s="41"/>
      <c r="G43" s="22" t="s">
        <v>275</v>
      </c>
      <c r="H43" s="22" t="s">
        <v>276</v>
      </c>
      <c r="I43" s="23" t="s">
        <v>240</v>
      </c>
      <c r="J43" s="22">
        <f>4800+4800</f>
        <v>9600</v>
      </c>
      <c r="K43" s="22" t="s">
        <v>162</v>
      </c>
      <c r="L43" s="40" t="s">
        <v>277</v>
      </c>
    </row>
    <row r="44" s="1" customFormat="1" ht="33" customHeight="1" spans="1:13">
      <c r="A44" s="16" t="s">
        <v>64</v>
      </c>
      <c r="B44" s="17" t="s">
        <v>232</v>
      </c>
      <c r="C44" s="18" t="s">
        <v>278</v>
      </c>
      <c r="D44" s="19">
        <f>48904*4.6</f>
        <v>224958.4</v>
      </c>
      <c r="E44" s="16"/>
      <c r="F44" s="76"/>
      <c r="G44" s="22" t="s">
        <v>279</v>
      </c>
      <c r="H44" s="22" t="s">
        <v>280</v>
      </c>
      <c r="I44" s="23" t="s">
        <v>240</v>
      </c>
      <c r="J44" s="22">
        <f>6*290+1094</f>
        <v>2834</v>
      </c>
      <c r="K44" s="22" t="s">
        <v>162</v>
      </c>
      <c r="L44" s="40" t="s">
        <v>281</v>
      </c>
    </row>
    <row r="45" s="1" customFormat="1" ht="35" customHeight="1" spans="1:13">
      <c r="A45" s="24" t="s">
        <v>282</v>
      </c>
      <c r="B45" s="24"/>
      <c r="C45" s="26"/>
      <c r="D45" s="27">
        <f>SUM(D35:D44)</f>
        <v>2305001.2</v>
      </c>
      <c r="E45" s="56"/>
      <c r="F45" s="56"/>
      <c r="G45" s="22" t="s">
        <v>283</v>
      </c>
      <c r="H45" s="22" t="s">
        <v>284</v>
      </c>
      <c r="I45" s="23" t="s">
        <v>240</v>
      </c>
      <c r="J45" s="22">
        <v>8330</v>
      </c>
      <c r="K45" s="22" t="s">
        <v>162</v>
      </c>
      <c r="L45" s="40" t="s">
        <v>285</v>
      </c>
    </row>
    <row r="46" s="1" customFormat="1" ht="26" customHeight="1" spans="1:13">
      <c r="A46" s="16" t="s">
        <v>64</v>
      </c>
      <c r="B46" s="16" t="s">
        <v>232</v>
      </c>
      <c r="C46" s="18" t="s">
        <v>286</v>
      </c>
      <c r="D46" s="19">
        <f>38166*10</f>
        <v>381660</v>
      </c>
      <c r="E46" s="16"/>
      <c r="F46" s="79"/>
      <c r="G46" s="22" t="s">
        <v>287</v>
      </c>
      <c r="H46" s="22" t="s">
        <v>288</v>
      </c>
      <c r="I46" s="22" t="s">
        <v>240</v>
      </c>
      <c r="J46" s="22">
        <v>2828.39</v>
      </c>
      <c r="K46" s="22" t="s">
        <v>162</v>
      </c>
      <c r="L46" s="78" t="s">
        <v>289</v>
      </c>
    </row>
    <row r="47" s="1" customFormat="1" ht="26" customHeight="1" spans="1:13">
      <c r="A47" s="16" t="s">
        <v>64</v>
      </c>
      <c r="B47" s="16" t="s">
        <v>269</v>
      </c>
      <c r="C47" s="18" t="s">
        <v>290</v>
      </c>
      <c r="D47" s="19">
        <v>293722</v>
      </c>
      <c r="E47" s="16"/>
      <c r="F47" s="79"/>
      <c r="G47" s="22" t="s">
        <v>291</v>
      </c>
      <c r="H47" s="22" t="s">
        <v>292</v>
      </c>
      <c r="I47" s="22" t="s">
        <v>240</v>
      </c>
      <c r="J47" s="22">
        <v>1765.36</v>
      </c>
      <c r="K47" s="22" t="s">
        <v>162</v>
      </c>
      <c r="L47" s="78" t="s">
        <v>293</v>
      </c>
    </row>
    <row r="48" s="1" customFormat="1" ht="26" customHeight="1" spans="1:13">
      <c r="A48" s="16" t="s">
        <v>64</v>
      </c>
      <c r="B48" s="16" t="s">
        <v>232</v>
      </c>
      <c r="C48" s="18" t="s">
        <v>294</v>
      </c>
      <c r="D48" s="19">
        <v>208025.8</v>
      </c>
      <c r="E48" s="45"/>
      <c r="F48" s="79"/>
      <c r="G48" s="22" t="s">
        <v>295</v>
      </c>
      <c r="H48" s="22" t="s">
        <v>292</v>
      </c>
      <c r="I48" s="22" t="s">
        <v>240</v>
      </c>
      <c r="J48" s="22">
        <v>4723.53</v>
      </c>
      <c r="K48" s="22" t="s">
        <v>162</v>
      </c>
      <c r="L48" s="78" t="s">
        <v>296</v>
      </c>
    </row>
    <row r="49" s="1" customFormat="1" ht="25" customHeight="1" spans="1:12">
      <c r="A49" s="80" t="s">
        <v>297</v>
      </c>
      <c r="B49" s="80"/>
      <c r="C49" s="81"/>
      <c r="D49" s="65">
        <f>SUM(D46:D48)</f>
        <v>883407.8</v>
      </c>
      <c r="E49" s="45"/>
      <c r="F49" s="45"/>
      <c r="G49" s="22" t="s">
        <v>298</v>
      </c>
      <c r="H49" s="22" t="s">
        <v>292</v>
      </c>
      <c r="I49" s="22" t="s">
        <v>240</v>
      </c>
      <c r="J49" s="22">
        <v>1501.74</v>
      </c>
      <c r="K49" s="22" t="s">
        <v>162</v>
      </c>
      <c r="L49" s="82" t="s">
        <v>299</v>
      </c>
    </row>
    <row r="50" s="1" customFormat="1" ht="25" customHeight="1" spans="1:12">
      <c r="A50" s="46" t="s">
        <v>300</v>
      </c>
      <c r="B50" s="46"/>
      <c r="C50" s="46"/>
      <c r="D50" s="46">
        <f>D24+D26+D30+D34+D45+D49</f>
        <v>4433535.1</v>
      </c>
      <c r="E50" s="46"/>
      <c r="F50" s="46"/>
      <c r="G50" s="22" t="s">
        <v>301</v>
      </c>
      <c r="H50" s="22" t="s">
        <v>288</v>
      </c>
      <c r="I50" s="22" t="s">
        <v>240</v>
      </c>
      <c r="J50" s="22">
        <v>7246.4</v>
      </c>
      <c r="K50" s="22" t="s">
        <v>162</v>
      </c>
      <c r="L50" s="78" t="s">
        <v>302</v>
      </c>
    </row>
    <row r="51" s="1" customFormat="1" ht="24" customHeight="1" spans="1:12">
      <c r="A51" s="43" t="s">
        <v>303</v>
      </c>
      <c r="B51" s="43" t="s">
        <v>232</v>
      </c>
      <c r="C51" s="43" t="s">
        <v>304</v>
      </c>
      <c r="D51" s="83">
        <v>88280</v>
      </c>
      <c r="E51" s="41"/>
      <c r="F51" s="41"/>
      <c r="G51" s="22" t="s">
        <v>305</v>
      </c>
      <c r="H51" s="22" t="s">
        <v>306</v>
      </c>
      <c r="I51" s="22" t="s">
        <v>240</v>
      </c>
      <c r="J51" s="22">
        <v>41108.61</v>
      </c>
      <c r="K51" s="22" t="s">
        <v>162</v>
      </c>
      <c r="L51" s="78" t="s">
        <v>307</v>
      </c>
    </row>
    <row r="52" s="1" customFormat="1" ht="24" customHeight="1" spans="1:12">
      <c r="A52" s="43" t="s">
        <v>303</v>
      </c>
      <c r="B52" s="43" t="s">
        <v>232</v>
      </c>
      <c r="C52" s="43" t="s">
        <v>308</v>
      </c>
      <c r="D52" s="84">
        <v>218965.5</v>
      </c>
      <c r="E52" s="45"/>
      <c r="F52" s="45"/>
      <c r="G52" s="41" t="s">
        <v>309</v>
      </c>
      <c r="H52" s="85" t="s">
        <v>117</v>
      </c>
      <c r="I52" s="86" t="s">
        <v>118</v>
      </c>
      <c r="J52" s="87" t="s">
        <v>25</v>
      </c>
      <c r="K52" s="87"/>
      <c r="L52" s="13" t="s">
        <v>14</v>
      </c>
    </row>
    <row r="53" s="1" customFormat="1" ht="24" customHeight="1" spans="1:12">
      <c r="A53" s="43" t="s">
        <v>303</v>
      </c>
      <c r="B53" s="43" t="s">
        <v>212</v>
      </c>
      <c r="C53" s="43"/>
      <c r="D53" s="84">
        <v>124018</v>
      </c>
      <c r="E53" s="45"/>
      <c r="F53" s="45"/>
      <c r="G53" s="16" t="s">
        <v>64</v>
      </c>
      <c r="H53" s="58" t="s">
        <v>310</v>
      </c>
      <c r="I53" s="88" t="s">
        <v>311</v>
      </c>
      <c r="J53" s="89">
        <v>231550</v>
      </c>
      <c r="K53" s="40" t="s">
        <v>312</v>
      </c>
      <c r="L53" s="90" t="s">
        <v>313</v>
      </c>
    </row>
    <row r="54" s="1" customFormat="1" ht="24" customHeight="1" spans="1:12">
      <c r="A54" s="80" t="s">
        <v>314</v>
      </c>
      <c r="B54" s="46"/>
      <c r="C54" s="46"/>
      <c r="D54" s="65">
        <f>SUM(D51:D53)</f>
        <v>431263.5</v>
      </c>
      <c r="E54" s="46"/>
      <c r="F54" s="46"/>
      <c r="G54" s="41" t="s">
        <v>64</v>
      </c>
      <c r="H54" s="41" t="s">
        <v>315</v>
      </c>
      <c r="I54" s="23" t="s">
        <v>316</v>
      </c>
      <c r="J54" s="91">
        <v>670300</v>
      </c>
      <c r="K54" s="92" t="s">
        <v>317</v>
      </c>
      <c r="L54" s="41" t="s">
        <v>318</v>
      </c>
    </row>
    <row r="55" s="1" customFormat="1" ht="24" customHeight="1" spans="1:12">
      <c r="A55" s="93" t="s">
        <v>319</v>
      </c>
      <c r="B55" s="93"/>
      <c r="C55" s="93"/>
      <c r="D55" s="94">
        <f>D13+D50+D54</f>
        <v>4867138.6</v>
      </c>
      <c r="E55" s="93"/>
      <c r="F55" s="93"/>
      <c r="G55" s="41" t="s">
        <v>64</v>
      </c>
      <c r="H55" s="41" t="s">
        <v>320</v>
      </c>
      <c r="I55" s="23" t="s">
        <v>321</v>
      </c>
      <c r="J55" s="91">
        <v>1040100</v>
      </c>
      <c r="K55" s="92" t="s">
        <v>322</v>
      </c>
      <c r="L55" s="41" t="s">
        <v>323</v>
      </c>
    </row>
    <row r="56" s="1" customFormat="1" ht="24" customHeight="1" spans="1:12">
      <c r="G56" s="41" t="s">
        <v>64</v>
      </c>
      <c r="H56" s="41" t="s">
        <v>324</v>
      </c>
      <c r="I56" s="41" t="s">
        <v>325</v>
      </c>
      <c r="J56" s="91">
        <v>146000</v>
      </c>
      <c r="K56" s="92" t="s">
        <v>326</v>
      </c>
      <c r="L56" s="95" t="s">
        <v>327</v>
      </c>
    </row>
    <row r="57" s="1" customFormat="1" ht="35" customHeight="1" spans="1:12">
      <c r="G57" s="41" t="s">
        <v>64</v>
      </c>
      <c r="H57" s="41" t="s">
        <v>320</v>
      </c>
      <c r="I57" s="41" t="s">
        <v>328</v>
      </c>
      <c r="J57" s="91">
        <v>100400</v>
      </c>
      <c r="K57" s="92">
        <v>-35000</v>
      </c>
      <c r="L57" s="96" t="s">
        <v>329</v>
      </c>
    </row>
    <row r="58" s="1" customFormat="1" ht="24" customHeight="1" spans="1:12">
      <c r="G58" s="41" t="s">
        <v>64</v>
      </c>
      <c r="H58" s="41" t="s">
        <v>320</v>
      </c>
      <c r="I58" s="41" t="s">
        <v>330</v>
      </c>
      <c r="J58" s="91">
        <v>232500</v>
      </c>
      <c r="K58" s="92"/>
      <c r="L58" s="96" t="s">
        <v>331</v>
      </c>
    </row>
    <row r="59" s="1" customFormat="1" ht="24" customHeight="1" spans="1:12">
      <c r="A59" s="76"/>
      <c r="B59" s="76"/>
      <c r="C59" s="76"/>
      <c r="D59" s="76"/>
      <c r="E59" s="76"/>
      <c r="F59" s="76"/>
      <c r="G59" s="41" t="s">
        <v>64</v>
      </c>
      <c r="H59" s="41" t="s">
        <v>332</v>
      </c>
      <c r="I59" s="41" t="s">
        <v>333</v>
      </c>
      <c r="J59" s="91">
        <v>878500</v>
      </c>
      <c r="K59" s="92" t="s">
        <v>334</v>
      </c>
      <c r="L59" s="41" t="s">
        <v>335</v>
      </c>
    </row>
    <row r="60" s="1" customFormat="1" ht="24" customHeight="1" spans="1:12">
      <c r="A60" s="76"/>
      <c r="B60" s="76"/>
      <c r="C60" s="76"/>
      <c r="D60" s="76"/>
      <c r="E60" s="76"/>
      <c r="F60" s="76"/>
      <c r="G60" s="41" t="s">
        <v>64</v>
      </c>
      <c r="H60" s="41" t="s">
        <v>324</v>
      </c>
      <c r="I60" s="54" t="s">
        <v>336</v>
      </c>
      <c r="J60" s="91">
        <v>360000</v>
      </c>
      <c r="K60" s="92" t="s">
        <v>337</v>
      </c>
      <c r="L60" s="97" t="s">
        <v>338</v>
      </c>
    </row>
    <row r="61" s="1" customFormat="1" ht="24" customHeight="1" spans="1:12">
      <c r="A61" s="76"/>
      <c r="B61" s="76"/>
      <c r="C61" s="98"/>
      <c r="D61" s="3"/>
      <c r="E61" s="3"/>
      <c r="F61" s="76"/>
      <c r="G61" s="41" t="s">
        <v>303</v>
      </c>
      <c r="H61" s="41" t="s">
        <v>339</v>
      </c>
      <c r="I61" s="54" t="s">
        <v>340</v>
      </c>
      <c r="J61" s="91">
        <v>475000</v>
      </c>
      <c r="K61" s="92" t="s">
        <v>341</v>
      </c>
      <c r="L61" s="41" t="s">
        <v>342</v>
      </c>
    </row>
    <row r="62" s="1" customFormat="1" ht="25" customHeight="1" spans="1:12">
      <c r="A62" s="76"/>
      <c r="B62" s="76"/>
      <c r="C62" s="98"/>
      <c r="D62" s="3"/>
      <c r="E62" s="3"/>
      <c r="F62" s="76"/>
      <c r="G62" s="41" t="s">
        <v>303</v>
      </c>
      <c r="H62" s="41" t="s">
        <v>343</v>
      </c>
      <c r="I62" s="54"/>
      <c r="J62" s="91">
        <v>1266400</v>
      </c>
      <c r="K62" s="92" t="s">
        <v>344</v>
      </c>
      <c r="L62" s="41" t="s">
        <v>345</v>
      </c>
    </row>
    <row r="63" s="1" customFormat="1" ht="22" customHeight="1" spans="1:12">
      <c r="A63" s="76"/>
      <c r="B63" s="76"/>
      <c r="C63" s="98"/>
      <c r="D63" s="3"/>
      <c r="E63" s="3"/>
      <c r="F63" s="76"/>
      <c r="G63" s="41" t="s">
        <v>64</v>
      </c>
      <c r="H63" s="41" t="s">
        <v>346</v>
      </c>
      <c r="I63" s="54" t="s">
        <v>347</v>
      </c>
      <c r="J63" s="91">
        <v>71800</v>
      </c>
      <c r="K63" s="92"/>
      <c r="L63" s="41" t="s">
        <v>348</v>
      </c>
    </row>
    <row r="64" s="1" customFormat="1" customHeight="1" spans="1:12">
      <c r="A64" s="76"/>
      <c r="B64" s="76"/>
      <c r="C64" s="98"/>
      <c r="D64" s="3"/>
      <c r="E64" s="3"/>
      <c r="F64" s="76"/>
      <c r="G64" s="41" t="s">
        <v>64</v>
      </c>
      <c r="H64" s="45" t="s">
        <v>349</v>
      </c>
      <c r="I64" s="54" t="s">
        <v>350</v>
      </c>
      <c r="J64" s="91">
        <v>157500</v>
      </c>
      <c r="K64" s="92" t="s">
        <v>351</v>
      </c>
      <c r="L64" s="41" t="s">
        <v>352</v>
      </c>
    </row>
    <row r="65" s="1" customFormat="1" ht="25" customHeight="1" spans="1:12">
      <c r="A65" s="76"/>
      <c r="B65" s="76"/>
      <c r="C65" s="98"/>
      <c r="D65" s="3"/>
      <c r="E65" s="3"/>
      <c r="F65" s="76"/>
      <c r="G65" s="41" t="s">
        <v>64</v>
      </c>
      <c r="H65" s="41" t="s">
        <v>324</v>
      </c>
      <c r="I65" s="54" t="s">
        <v>353</v>
      </c>
      <c r="J65" s="91">
        <v>471370</v>
      </c>
      <c r="K65" s="92" t="s">
        <v>354</v>
      </c>
      <c r="L65" s="41" t="s">
        <v>355</v>
      </c>
    </row>
    <row r="66" s="1" customFormat="1" ht="22" customHeight="1" spans="1:12">
      <c r="C66" s="2"/>
      <c r="D66" s="3"/>
      <c r="E66" s="3"/>
      <c r="G66" s="41" t="s">
        <v>64</v>
      </c>
      <c r="H66" s="41" t="s">
        <v>320</v>
      </c>
      <c r="I66" s="54" t="s">
        <v>356</v>
      </c>
      <c r="J66" s="91">
        <v>287600</v>
      </c>
      <c r="K66" s="41"/>
      <c r="L66" s="41" t="s">
        <v>357</v>
      </c>
    </row>
    <row r="67" s="1" customFormat="1" customHeight="1" spans="1:12">
      <c r="C67" s="2"/>
      <c r="D67" s="3"/>
      <c r="E67" s="3"/>
      <c r="G67" s="41" t="s">
        <v>64</v>
      </c>
      <c r="H67" s="41" t="s">
        <v>315</v>
      </c>
      <c r="I67" s="41" t="s">
        <v>358</v>
      </c>
      <c r="J67" s="91">
        <v>23500</v>
      </c>
      <c r="K67" s="45"/>
      <c r="L67" s="41" t="s">
        <v>359</v>
      </c>
    </row>
    <row r="68" s="1" customFormat="1" customHeight="1" spans="1:12">
      <c r="C68" s="2"/>
      <c r="D68" s="3"/>
      <c r="E68" s="3"/>
      <c r="G68" s="41" t="s">
        <v>64</v>
      </c>
      <c r="H68" s="41" t="s">
        <v>346</v>
      </c>
      <c r="I68" s="41" t="s">
        <v>360</v>
      </c>
      <c r="J68" s="91">
        <v>124500</v>
      </c>
      <c r="K68" s="45"/>
      <c r="L68" s="41" t="s">
        <v>361</v>
      </c>
    </row>
    <row r="69" s="1" customFormat="1" customHeight="1" spans="1:12">
      <c r="C69" s="2"/>
      <c r="D69" s="3"/>
      <c r="E69" s="3"/>
      <c r="G69" s="41" t="s">
        <v>64</v>
      </c>
      <c r="H69" s="41" t="s">
        <v>324</v>
      </c>
      <c r="I69" s="54" t="s">
        <v>362</v>
      </c>
      <c r="J69" s="41">
        <v>940000</v>
      </c>
      <c r="K69" s="92" t="s">
        <v>363</v>
      </c>
      <c r="L69" s="41" t="s">
        <v>364</v>
      </c>
    </row>
    <row r="70" s="1" customFormat="1" customHeight="1" spans="1:12">
      <c r="C70" s="2"/>
      <c r="D70" s="3"/>
      <c r="E70" s="3"/>
      <c r="G70" s="41" t="s">
        <v>64</v>
      </c>
      <c r="H70" s="41" t="s">
        <v>128</v>
      </c>
      <c r="I70" s="54" t="s">
        <v>365</v>
      </c>
      <c r="J70" s="41">
        <v>175100</v>
      </c>
      <c r="K70" s="41"/>
      <c r="L70" s="41" t="s">
        <v>366</v>
      </c>
    </row>
    <row r="71" s="1" customFormat="1" customHeight="1" spans="1:12">
      <c r="C71" s="2"/>
      <c r="D71" s="3"/>
      <c r="E71" s="3"/>
    </row>
    <row r="72" s="1" customFormat="1" customHeight="1" spans="1:12">
      <c r="C72" s="2"/>
      <c r="D72" s="3"/>
      <c r="E72" s="3"/>
    </row>
    <row r="73" s="1" customFormat="1" customHeight="1" spans="1:12">
      <c r="C73" s="2"/>
      <c r="D73" s="3"/>
      <c r="E73" s="3"/>
    </row>
    <row r="74" s="1" customFormat="1" customHeight="1" spans="1:12">
      <c r="C74" s="2"/>
      <c r="D74" s="3"/>
      <c r="E74" s="3"/>
    </row>
    <row r="75" s="1" customFormat="1" customHeight="1" spans="1:12">
      <c r="C75" s="2"/>
      <c r="D75" s="3"/>
      <c r="E75" s="3"/>
    </row>
    <row r="76" s="1" customFormat="1" customHeight="1" spans="1:12">
      <c r="C76" s="2"/>
      <c r="D76" s="3"/>
      <c r="E76" s="3"/>
    </row>
    <row r="77" s="1" customFormat="1" customHeight="1" spans="1:12">
      <c r="C77" s="2"/>
      <c r="D77" s="3"/>
      <c r="E77" s="3"/>
    </row>
    <row r="78" s="1" customFormat="1" customHeight="1" spans="1:12">
      <c r="C78" s="2"/>
      <c r="D78" s="3"/>
      <c r="E78" s="3"/>
    </row>
    <row r="79" s="1" customFormat="1" customHeight="1" spans="1:12">
      <c r="C79" s="2"/>
      <c r="D79" s="3"/>
      <c r="E79" s="3"/>
    </row>
    <row r="80" s="1" customFormat="1" customHeight="1" spans="1:12">
      <c r="C80" s="2"/>
      <c r="D80" s="3"/>
      <c r="E80" s="3"/>
    </row>
    <row r="81" s="1" customFormat="1" customHeight="1" spans="3:5">
      <c r="C81" s="2"/>
      <c r="D81" s="3"/>
      <c r="E81" s="3"/>
    </row>
    <row r="82" s="1" customFormat="1" customHeight="1" spans="3:5">
      <c r="C82" s="2"/>
      <c r="D82" s="3"/>
      <c r="E82" s="3"/>
    </row>
    <row r="83" s="1" customFormat="1" customHeight="1" spans="3:5">
      <c r="C83" s="2"/>
      <c r="D83" s="3"/>
      <c r="E83" s="3"/>
    </row>
    <row r="84" s="1" customFormat="1" customHeight="1" spans="3:5">
      <c r="C84" s="2"/>
      <c r="D84" s="3"/>
      <c r="E84" s="3"/>
    </row>
    <row r="85" s="1" customFormat="1" customHeight="1" spans="3:5">
      <c r="C85" s="2"/>
      <c r="D85" s="3"/>
      <c r="E85" s="3"/>
    </row>
    <row r="86" s="1" customFormat="1" customHeight="1" spans="3:5">
      <c r="C86" s="2"/>
      <c r="D86" s="3"/>
      <c r="E86" s="3"/>
    </row>
    <row r="87" s="1" customFormat="1" customHeight="1" spans="3:5">
      <c r="C87" s="2"/>
      <c r="D87" s="3"/>
      <c r="E87" s="3"/>
    </row>
    <row r="88" s="1" customFormat="1" customHeight="1" spans="3:5">
      <c r="C88" s="2"/>
      <c r="D88" s="3"/>
      <c r="E88" s="3"/>
    </row>
    <row r="89" s="1" customFormat="1" customHeight="1" spans="3:5">
      <c r="C89" s="2"/>
      <c r="D89" s="3"/>
      <c r="E89" s="3"/>
    </row>
    <row r="90" s="1" customFormat="1" customHeight="1" spans="3:5">
      <c r="C90" s="2"/>
      <c r="D90" s="3"/>
      <c r="E90" s="3"/>
    </row>
  </sheetData>
  <mergeCells count="3">
    <mergeCell ref="A1:L1"/>
    <mergeCell ref="A2:L2"/>
    <mergeCell ref="G33:L33"/>
  </mergeCells>
  <pageMargins left="0.75" right="0.75" top="1" bottom="1" header="0.5" footer="0.5"/>
  <headerFooter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WPS_1508126355</cp:lastModifiedBy>
  <dcterms:created xsi:type="dcterms:W3CDTF">2026-04-24T07:29:00Z</dcterms:created>
  <dcterms:modified xsi:type="dcterms:W3CDTF">2026-04-30T09:35:47Z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DEEB6905A2574BC0A0F4156417AE7883_11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