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20" windowWidth="9380" windowHeight="4460"/>
  </bookViews>
  <sheets>
    <sheet name="Cost and schedule" sheetId="1" r:id="rId1"/>
  </sheets>
  <definedNames>
    <definedName name="_xlnm.Print_Area" localSheetId="0">'Cost and schedule'!$A$6:$T$60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7" i="1" l="1"/>
  <c r="C17" i="1" s="1"/>
  <c r="AA13" i="1"/>
  <c r="AA12" i="1"/>
  <c r="D54" i="1"/>
  <c r="AA35" i="1"/>
  <c r="AA34" i="1"/>
  <c r="W38" i="1"/>
  <c r="W47" i="1"/>
  <c r="W28" i="1"/>
  <c r="I40" i="1"/>
  <c r="I39" i="1"/>
  <c r="D17" i="1"/>
  <c r="D22" i="1"/>
  <c r="D51" i="1"/>
  <c r="H57" i="1"/>
  <c r="P50" i="1"/>
  <c r="D32" i="1"/>
  <c r="D46" i="1"/>
  <c r="D27" i="1"/>
  <c r="W14" i="1"/>
  <c r="D45" i="1"/>
  <c r="W36" i="1"/>
  <c r="H41" i="1"/>
  <c r="P51" i="1"/>
  <c r="W43" i="1"/>
  <c r="D33" i="1"/>
  <c r="H14" i="1"/>
  <c r="D34" i="1"/>
  <c r="D36" i="1"/>
  <c r="D56" i="1"/>
  <c r="W42" i="1"/>
  <c r="H19" i="1"/>
  <c r="D18" i="1"/>
  <c r="D55" i="1"/>
  <c r="W21" i="1"/>
  <c r="D26" i="1"/>
  <c r="D12" i="1"/>
  <c r="D38" i="1"/>
  <c r="D49" i="1"/>
  <c r="D28" i="1"/>
  <c r="D50" i="1"/>
  <c r="P49" i="1"/>
  <c r="D13" i="1"/>
  <c r="D47" i="1"/>
  <c r="W37" i="1"/>
  <c r="D25" i="1"/>
  <c r="K25" i="1"/>
  <c r="D37" i="1"/>
  <c r="C12" i="1" l="1"/>
  <c r="W44" i="1"/>
  <c r="W13" i="1"/>
  <c r="C22" i="1"/>
  <c r="H22" i="1" s="1"/>
  <c r="C25" i="1" s="1"/>
  <c r="H25" i="1" s="1"/>
  <c r="H12" i="1"/>
  <c r="H17" i="1"/>
  <c r="C18" i="1" s="1"/>
  <c r="H18" i="1" s="1"/>
  <c r="W39" i="1"/>
  <c r="W20" i="1"/>
  <c r="W25" i="1"/>
  <c r="W27" i="1"/>
  <c r="W26" i="1"/>
  <c r="W17" i="1"/>
  <c r="W22" i="1" l="1"/>
  <c r="W30" i="1"/>
  <c r="W49" i="1" s="1"/>
  <c r="C13" i="1"/>
  <c r="H13" i="1" s="1"/>
  <c r="C59" i="1"/>
  <c r="C26" i="1"/>
  <c r="H26" i="1" s="1"/>
  <c r="C27" i="1" s="1"/>
  <c r="H27" i="1" s="1"/>
  <c r="C28" i="1" s="1"/>
  <c r="H28" i="1" s="1"/>
  <c r="C32" i="1"/>
  <c r="H32" i="1" s="1"/>
  <c r="C33" i="1" s="1"/>
  <c r="H33" i="1" s="1"/>
  <c r="C34" i="1" s="1"/>
  <c r="H34" i="1" s="1"/>
  <c r="C36" i="1"/>
  <c r="H36" i="1" s="1"/>
  <c r="C37" i="1" s="1"/>
  <c r="H37" i="1" s="1"/>
  <c r="C38" i="1" s="1"/>
  <c r="H38" i="1" s="1"/>
  <c r="H40" i="1" s="1"/>
  <c r="H39" i="1" l="1"/>
  <c r="C46" i="1"/>
  <c r="C47" i="1"/>
  <c r="C45" i="1"/>
  <c r="C49" i="1" l="1"/>
  <c r="H45" i="1"/>
  <c r="H47" i="1"/>
  <c r="C51" i="1"/>
  <c r="H51" i="1" s="1"/>
  <c r="C54" i="1" s="1"/>
  <c r="H54" i="1" s="1"/>
  <c r="C55" i="1" s="1"/>
  <c r="H55" i="1" s="1"/>
  <c r="C56" i="1" s="1"/>
  <c r="H56" i="1" s="1"/>
  <c r="H46" i="1"/>
  <c r="C50" i="1"/>
  <c r="H50" i="1" s="1"/>
  <c r="H49" i="1" l="1"/>
</calcChain>
</file>

<file path=xl/sharedStrings.xml><?xml version="1.0" encoding="utf-8"?>
<sst xmlns="http://schemas.openxmlformats.org/spreadsheetml/2006/main" count="163" uniqueCount="88">
  <si>
    <t>Contract award date</t>
  </si>
  <si>
    <t>Start</t>
  </si>
  <si>
    <t>Duration d (weeks)</t>
  </si>
  <si>
    <t>Finish</t>
  </si>
  <si>
    <t>Probability</t>
  </si>
  <si>
    <t>Start lag (weeks)</t>
  </si>
  <si>
    <t>Finish lag (weeks)</t>
  </si>
  <si>
    <t>Date St</t>
  </si>
  <si>
    <t>Dist</t>
  </si>
  <si>
    <t>Min</t>
  </si>
  <si>
    <t>ML</t>
  </si>
  <si>
    <t>Max</t>
  </si>
  <si>
    <t>Date Fin</t>
  </si>
  <si>
    <t>logic</t>
  </si>
  <si>
    <t>Cost</t>
  </si>
  <si>
    <t>DESIGN (Task1)</t>
  </si>
  <si>
    <t>Detail (a)</t>
  </si>
  <si>
    <t>=Start date</t>
  </si>
  <si>
    <t>St+d</t>
  </si>
  <si>
    <t>Rework risk (b)</t>
  </si>
  <si>
    <t>Detail</t>
  </si>
  <si>
    <t>Total (c)</t>
  </si>
  <si>
    <t>Discrete</t>
  </si>
  <si>
    <t>+Rework risk</t>
  </si>
  <si>
    <t>per week</t>
  </si>
  <si>
    <t>Total</t>
  </si>
  <si>
    <t>EARTHWORKS (Task2)</t>
  </si>
  <si>
    <t>Normal (a)</t>
  </si>
  <si>
    <t>Archaeo risk (b)</t>
  </si>
  <si>
    <t>Fin2a</t>
  </si>
  <si>
    <t>Normal</t>
  </si>
  <si>
    <t>FOUNDATIONS (Task3)</t>
  </si>
  <si>
    <t>Labour</t>
  </si>
  <si>
    <t>Materials</t>
  </si>
  <si>
    <t>STRUCTURE (Task4)</t>
  </si>
  <si>
    <t>Floor1 (a)</t>
  </si>
  <si>
    <t>Fin3+lag</t>
  </si>
  <si>
    <t>Floor2 (b)</t>
  </si>
  <si>
    <t>Fin4a</t>
  </si>
  <si>
    <t>Floor1 labour</t>
  </si>
  <si>
    <t>Floor3 (c)</t>
  </si>
  <si>
    <t>Fin4b</t>
  </si>
  <si>
    <t>Floor2 labour</t>
  </si>
  <si>
    <t>Roofing (d)</t>
  </si>
  <si>
    <t>Floor3 labour</t>
  </si>
  <si>
    <t>Floor materials</t>
  </si>
  <si>
    <t>ENVELOPE (Task5)</t>
  </si>
  <si>
    <t>Roofing</t>
  </si>
  <si>
    <t>Brown Bros</t>
  </si>
  <si>
    <t>Fin4a+lag</t>
  </si>
  <si>
    <t>Fin5a</t>
  </si>
  <si>
    <t>Fin5b</t>
  </si>
  <si>
    <t>Redd&amp;Greene</t>
  </si>
  <si>
    <t>Floor1 (d)</t>
  </si>
  <si>
    <t>Floor2 (e)</t>
  </si>
  <si>
    <t>Fin5d</t>
  </si>
  <si>
    <t>Labour total</t>
  </si>
  <si>
    <t>Floor3 (f)</t>
  </si>
  <si>
    <t>Fin5e</t>
  </si>
  <si>
    <t>Floor</t>
  </si>
  <si>
    <t>per floor</t>
  </si>
  <si>
    <t>Totals</t>
  </si>
  <si>
    <t>Doors</t>
  </si>
  <si>
    <t>(g)</t>
  </si>
  <si>
    <t>Combined</t>
  </si>
  <si>
    <t>SERVICES AND FINISHINGS (Task6)</t>
  </si>
  <si>
    <t>Services</t>
  </si>
  <si>
    <t>Finishings</t>
  </si>
  <si>
    <t>COMMISSIONING (Task7)</t>
  </si>
  <si>
    <t>Tidy up site</t>
  </si>
  <si>
    <t>GRAND TOTAL</t>
  </si>
  <si>
    <t>Tidy up site (a)</t>
  </si>
  <si>
    <t>Fin6f</t>
  </si>
  <si>
    <t>1st call back (b)</t>
  </si>
  <si>
    <t>Fin7a</t>
  </si>
  <si>
    <t>2nd call back (c)</t>
  </si>
  <si>
    <t>Fin7b</t>
  </si>
  <si>
    <t>FINISH DATE</t>
  </si>
  <si>
    <t>St6a</t>
  </si>
  <si>
    <t>St6b</t>
  </si>
  <si>
    <t>St6c</t>
  </si>
  <si>
    <t>Fin5a or 5d</t>
  </si>
  <si>
    <t>Fin5b or 5e</t>
  </si>
  <si>
    <t>Fin5c or 5f</t>
  </si>
  <si>
    <t>MAX(Fin1c, Fin2c)</t>
  </si>
  <si>
    <t>Fin1a</t>
  </si>
  <si>
    <t>Cost and schedule</t>
  </si>
  <si>
    <r>
      <t>Problem:</t>
    </r>
    <r>
      <rPr>
        <sz val="10"/>
        <rFont val="Times New Roman"/>
        <family val="1"/>
      </rPr>
      <t xml:space="preserve"> A new building is to be constructed by a consortium for a client. The project is divided into seven sections. The client wishes to see a risk analysis of the schedule and cost risks and how these relate to each other.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</si>
</sst>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£&quot;#,##0;\-&quot;£&quot;#,##0"/>
    <numFmt numFmtId="165" formatCode="0.0"/>
  </numFmts>
  <fonts count="1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5" fontId="4" fillId="0" borderId="0" xfId="0" applyNumberFormat="1" applyFont="1"/>
    <xf numFmtId="15" fontId="4" fillId="0" borderId="0" xfId="0" applyNumberFormat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1" xfId="0" applyNumberFormat="1" applyFont="1" applyBorder="1"/>
    <xf numFmtId="15" fontId="4" fillId="0" borderId="2" xfId="0" applyNumberFormat="1" applyFont="1" applyBorder="1" applyAlignment="1">
      <alignment horizontal="center"/>
    </xf>
    <xf numFmtId="1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quotePrefix="1" applyNumberFormat="1" applyFont="1" applyBorder="1" applyAlignment="1">
      <alignment horizontal="center"/>
    </xf>
    <xf numFmtId="165" fontId="4" fillId="0" borderId="0" xfId="0" applyNumberFormat="1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15" fontId="6" fillId="2" borderId="7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6" fillId="2" borderId="4" xfId="0" applyFont="1" applyFill="1" applyBorder="1" applyAlignment="1">
      <alignment horizontal="centerContinuous"/>
    </xf>
    <xf numFmtId="0" fontId="6" fillId="2" borderId="7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Continuous"/>
    </xf>
    <xf numFmtId="15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5" fontId="4" fillId="0" borderId="7" xfId="0" applyNumberFormat="1" applyFont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5" fontId="4" fillId="0" borderId="10" xfId="0" applyNumberFormat="1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6" xfId="0" applyNumberFormat="1" applyFont="1" applyFill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15" fontId="4" fillId="0" borderId="12" xfId="0" applyNumberFormat="1" applyFont="1" applyBorder="1" applyAlignment="1">
      <alignment horizontal="center"/>
    </xf>
    <xf numFmtId="15" fontId="4" fillId="0" borderId="13" xfId="0" applyNumberFormat="1" applyFont="1" applyBorder="1" applyAlignment="1">
      <alignment horizontal="center"/>
    </xf>
    <xf numFmtId="0" fontId="2" fillId="3" borderId="12" xfId="0" quotePrefix="1" applyFont="1" applyFill="1" applyBorder="1" applyAlignment="1">
      <alignment horizontal="right"/>
    </xf>
    <xf numFmtId="0" fontId="4" fillId="3" borderId="13" xfId="0" quotePrefix="1" applyFont="1" applyFill="1" applyBorder="1" applyAlignment="1">
      <alignment horizontal="left"/>
    </xf>
    <xf numFmtId="0" fontId="2" fillId="3" borderId="3" xfId="0" quotePrefix="1" applyFont="1" applyFill="1" applyBorder="1" applyAlignment="1">
      <alignment horizontal="right"/>
    </xf>
    <xf numFmtId="0" fontId="4" fillId="3" borderId="10" xfId="0" quotePrefix="1" applyFont="1" applyFill="1" applyBorder="1" applyAlignment="1">
      <alignment horizontal="left"/>
    </xf>
    <xf numFmtId="0" fontId="4" fillId="3" borderId="3" xfId="0" quotePrefix="1" applyFont="1" applyFill="1" applyBorder="1" applyAlignment="1">
      <alignment horizontal="left"/>
    </xf>
    <xf numFmtId="0" fontId="3" fillId="3" borderId="3" xfId="0" applyFont="1" applyFill="1" applyBorder="1"/>
    <xf numFmtId="0" fontId="4" fillId="3" borderId="3" xfId="0" applyFont="1" applyFill="1" applyBorder="1"/>
    <xf numFmtId="0" fontId="1" fillId="3" borderId="9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3" borderId="9" xfId="0" applyFont="1" applyFill="1" applyBorder="1"/>
    <xf numFmtId="0" fontId="11" fillId="3" borderId="9" xfId="0" quotePrefix="1" applyFont="1" applyFill="1" applyBorder="1" applyAlignment="1">
      <alignment horizontal="left"/>
    </xf>
    <xf numFmtId="0" fontId="6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"/>
    </xf>
    <xf numFmtId="0" fontId="1" fillId="3" borderId="10" xfId="0" quotePrefix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164" fontId="12" fillId="0" borderId="14" xfId="0" applyNumberFormat="1" applyFont="1" applyBorder="1" applyAlignment="1">
      <alignment horizontal="center"/>
    </xf>
    <xf numFmtId="15" fontId="12" fillId="0" borderId="15" xfId="0" applyNumberFormat="1" applyFont="1" applyBorder="1" applyAlignment="1">
      <alignment horizontal="center"/>
    </xf>
    <xf numFmtId="15" fontId="13" fillId="0" borderId="9" xfId="0" applyNumberFormat="1" applyFont="1" applyBorder="1"/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9" fontId="14" fillId="0" borderId="3" xfId="0" applyNumberFormat="1" applyFont="1" applyBorder="1" applyAlignment="1">
      <alignment horizontal="center"/>
    </xf>
    <xf numFmtId="15" fontId="14" fillId="0" borderId="10" xfId="0" applyNumberFormat="1" applyFont="1" applyBorder="1" applyAlignment="1">
      <alignment horizontal="center"/>
    </xf>
    <xf numFmtId="15" fontId="14" fillId="0" borderId="0" xfId="0" applyNumberFormat="1" applyFont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9" fontId="14" fillId="0" borderId="2" xfId="0" applyNumberFormat="1" applyFont="1" applyBorder="1" applyAlignment="1">
      <alignment horizontal="center"/>
    </xf>
    <xf numFmtId="15" fontId="14" fillId="0" borderId="2" xfId="0" applyNumberFormat="1" applyFont="1" applyBorder="1" applyAlignment="1">
      <alignment horizontal="center"/>
    </xf>
    <xf numFmtId="15" fontId="14" fillId="0" borderId="0" xfId="0" applyNumberFormat="1" applyFont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5" fontId="1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0" borderId="11" xfId="0" applyFont="1" applyBorder="1"/>
    <xf numFmtId="0" fontId="4" fillId="2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9" fontId="14" fillId="0" borderId="7" xfId="0" applyNumberFormat="1" applyFont="1" applyBorder="1" applyAlignment="1">
      <alignment horizontal="center"/>
    </xf>
    <xf numFmtId="15" fontId="14" fillId="0" borderId="4" xfId="0" applyNumberFormat="1" applyFont="1" applyBorder="1"/>
    <xf numFmtId="164" fontId="14" fillId="0" borderId="0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9" fontId="14" fillId="0" borderId="6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9" fontId="14" fillId="0" borderId="10" xfId="0" applyNumberFormat="1" applyFont="1" applyBorder="1" applyAlignment="1">
      <alignment horizontal="center"/>
    </xf>
    <xf numFmtId="15" fontId="14" fillId="0" borderId="5" xfId="0" applyNumberFormat="1" applyFont="1" applyBorder="1"/>
    <xf numFmtId="15" fontId="14" fillId="0" borderId="0" xfId="0" applyNumberFormat="1" applyFont="1" applyBorder="1"/>
    <xf numFmtId="15" fontId="15" fillId="0" borderId="5" xfId="0" applyNumberFormat="1" applyFont="1" applyBorder="1"/>
    <xf numFmtId="5" fontId="14" fillId="0" borderId="0" xfId="0" applyNumberFormat="1" applyFont="1" applyBorder="1" applyAlignment="1">
      <alignment horizontal="center"/>
    </xf>
    <xf numFmtId="5" fontId="14" fillId="0" borderId="7" xfId="0" applyNumberFormat="1" applyFont="1" applyBorder="1" applyAlignment="1">
      <alignment horizontal="center"/>
    </xf>
    <xf numFmtId="15" fontId="15" fillId="0" borderId="6" xfId="0" applyNumberFormat="1" applyFont="1" applyBorder="1"/>
    <xf numFmtId="15" fontId="14" fillId="0" borderId="6" xfId="0" applyNumberFormat="1" applyFont="1" applyBorder="1"/>
    <xf numFmtId="9" fontId="14" fillId="0" borderId="4" xfId="0" applyNumberFormat="1" applyFont="1" applyBorder="1"/>
    <xf numFmtId="9" fontId="14" fillId="0" borderId="6" xfId="0" applyNumberFormat="1" applyFont="1" applyBorder="1"/>
    <xf numFmtId="9" fontId="14" fillId="0" borderId="5" xfId="0" applyNumberFormat="1" applyFont="1" applyBorder="1"/>
    <xf numFmtId="9" fontId="14" fillId="0" borderId="0" xfId="0" applyNumberFormat="1" applyFont="1" applyBorder="1"/>
    <xf numFmtId="9" fontId="15" fillId="0" borderId="6" xfId="0" applyNumberFormat="1" applyFont="1" applyBorder="1"/>
    <xf numFmtId="0" fontId="6" fillId="2" borderId="7" xfId="0" applyFont="1" applyFill="1" applyBorder="1" applyAlignment="1">
      <alignment horizontal="center" vertical="distributed"/>
    </xf>
    <xf numFmtId="0" fontId="6" fillId="2" borderId="5" xfId="0" applyFont="1" applyFill="1" applyBorder="1" applyAlignment="1">
      <alignment horizontal="center" vertical="distributed"/>
    </xf>
    <xf numFmtId="15" fontId="6" fillId="2" borderId="7" xfId="0" applyNumberFormat="1" applyFont="1" applyFill="1" applyBorder="1" applyAlignment="1">
      <alignment horizontal="center" vertical="distributed"/>
    </xf>
    <xf numFmtId="15" fontId="6" fillId="2" borderId="10" xfId="0" applyNumberFormat="1" applyFont="1" applyFill="1" applyBorder="1" applyAlignment="1">
      <alignment horizontal="center" vertical="distributed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368300</xdr:colOff>
      <xdr:row>2</xdr:row>
      <xdr:rowOff>25400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22569D-4839-4599-8E26-F2DEB0FF9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B80"/>
  <sheetViews>
    <sheetView showGridLines="0" tabSelected="1" workbookViewId="0"/>
  </sheetViews>
  <sheetFormatPr defaultColWidth="9.1796875" defaultRowHeight="12.5" x14ac:dyDescent="0.25"/>
  <cols>
    <col min="1" max="1" width="2.7265625" style="8" customWidth="1"/>
    <col min="2" max="2" width="32.26953125" style="8" customWidth="1"/>
    <col min="3" max="3" width="12.54296875" style="1" customWidth="1"/>
    <col min="4" max="4" width="4.54296875" style="8" customWidth="1"/>
    <col min="5" max="7" width="7.1796875" style="8" customWidth="1"/>
    <col min="8" max="9" width="9.7265625" style="1" customWidth="1"/>
    <col min="10" max="10" width="15.7265625" style="8" customWidth="1"/>
    <col min="11" max="11" width="4.26953125" style="8" customWidth="1"/>
    <col min="12" max="12" width="4.7265625" style="8" customWidth="1"/>
    <col min="13" max="13" width="4.453125" style="8" customWidth="1"/>
    <col min="14" max="14" width="4.26953125" style="8" customWidth="1"/>
    <col min="15" max="15" width="7.81640625" style="8" customWidth="1"/>
    <col min="16" max="19" width="5.26953125" style="8" customWidth="1"/>
    <col min="20" max="21" width="2.7265625" style="8" customWidth="1"/>
    <col min="22" max="22" width="33.54296875" style="8" bestFit="1" customWidth="1"/>
    <col min="23" max="23" width="10.1796875" style="8" customWidth="1"/>
    <col min="24" max="24" width="7.54296875" style="8" customWidth="1"/>
    <col min="25" max="25" width="8.54296875" style="8" customWidth="1"/>
    <col min="26" max="27" width="9.7265625" style="8" customWidth="1"/>
    <col min="28" max="29" width="2.7265625" style="8" customWidth="1"/>
    <col min="30" max="16384" width="9.1796875" style="8"/>
  </cols>
  <sheetData>
    <row r="1" spans="2:28" s="30" customFormat="1" ht="88.5" customHeight="1" x14ac:dyDescent="0.25"/>
    <row r="2" spans="2:28" s="30" customFormat="1" ht="17.25" customHeight="1" x14ac:dyDescent="0.4">
      <c r="D2" s="31" t="s">
        <v>86</v>
      </c>
    </row>
    <row r="3" spans="2:28" s="30" customFormat="1" ht="17.25" customHeight="1" thickBot="1" x14ac:dyDescent="0.4">
      <c r="E3" s="32"/>
    </row>
    <row r="4" spans="2:28" s="30" customFormat="1" ht="16.5" customHeight="1" x14ac:dyDescent="0.25">
      <c r="B4" s="132" t="s">
        <v>87</v>
      </c>
      <c r="C4" s="133"/>
      <c r="D4" s="133"/>
      <c r="E4" s="133"/>
      <c r="F4" s="133"/>
      <c r="G4" s="133"/>
      <c r="H4" s="133"/>
      <c r="I4" s="134"/>
    </row>
    <row r="5" spans="2:28" s="30" customFormat="1" ht="12.75" customHeight="1" thickBot="1" x14ac:dyDescent="0.3">
      <c r="B5" s="135"/>
      <c r="C5" s="136"/>
      <c r="D5" s="136"/>
      <c r="E5" s="136"/>
      <c r="F5" s="136"/>
      <c r="G5" s="136"/>
      <c r="H5" s="136"/>
      <c r="I5" s="137"/>
    </row>
    <row r="6" spans="2:28" x14ac:dyDescent="0.25">
      <c r="J6" s="30"/>
      <c r="K6" s="30"/>
      <c r="L6" s="30"/>
    </row>
    <row r="7" spans="2:28" ht="13" x14ac:dyDescent="0.3">
      <c r="B7" s="66" t="s">
        <v>0</v>
      </c>
      <c r="C7" s="76">
        <f ca="1">TODAY()+200</f>
        <v>43200</v>
      </c>
      <c r="X7" s="9"/>
    </row>
    <row r="8" spans="2:28" x14ac:dyDescent="0.25">
      <c r="B8" s="7"/>
      <c r="X8" s="9"/>
    </row>
    <row r="9" spans="2:28" s="10" customFormat="1" x14ac:dyDescent="0.25">
      <c r="C9" s="33" t="s">
        <v>1</v>
      </c>
      <c r="D9" s="34" t="s">
        <v>2</v>
      </c>
      <c r="E9" s="35"/>
      <c r="F9" s="35"/>
      <c r="G9" s="36"/>
      <c r="H9" s="33" t="s">
        <v>3</v>
      </c>
      <c r="I9" s="130" t="s">
        <v>4</v>
      </c>
      <c r="J9" s="37" t="s">
        <v>1</v>
      </c>
      <c r="K9" s="38" t="s">
        <v>5</v>
      </c>
      <c r="L9" s="35"/>
      <c r="M9" s="35"/>
      <c r="N9" s="36"/>
      <c r="O9" s="37" t="s">
        <v>3</v>
      </c>
      <c r="P9" s="34" t="s">
        <v>6</v>
      </c>
      <c r="Q9" s="35"/>
      <c r="R9" s="35"/>
      <c r="S9" s="36"/>
      <c r="V9" s="11"/>
      <c r="W9" s="67" t="s">
        <v>14</v>
      </c>
      <c r="X9" s="67"/>
      <c r="Y9" s="67"/>
      <c r="Z9" s="67"/>
      <c r="AA9" s="128" t="s">
        <v>4</v>
      </c>
      <c r="AB9" s="11"/>
    </row>
    <row r="10" spans="2:28" s="10" customFormat="1" x14ac:dyDescent="0.25">
      <c r="C10" s="39" t="s">
        <v>7</v>
      </c>
      <c r="D10" s="41" t="s">
        <v>8</v>
      </c>
      <c r="E10" s="41" t="s">
        <v>9</v>
      </c>
      <c r="F10" s="50" t="s">
        <v>10</v>
      </c>
      <c r="G10" s="41" t="s">
        <v>11</v>
      </c>
      <c r="H10" s="51" t="s">
        <v>12</v>
      </c>
      <c r="I10" s="131"/>
      <c r="J10" s="40" t="s">
        <v>13</v>
      </c>
      <c r="K10" s="41" t="s">
        <v>8</v>
      </c>
      <c r="L10" s="41" t="s">
        <v>9</v>
      </c>
      <c r="M10" s="41" t="s">
        <v>10</v>
      </c>
      <c r="N10" s="41" t="s">
        <v>11</v>
      </c>
      <c r="O10" s="40" t="s">
        <v>13</v>
      </c>
      <c r="P10" s="41" t="s">
        <v>8</v>
      </c>
      <c r="Q10" s="41" t="s">
        <v>9</v>
      </c>
      <c r="R10" s="41" t="s">
        <v>10</v>
      </c>
      <c r="S10" s="41" t="s">
        <v>11</v>
      </c>
      <c r="V10" s="15"/>
      <c r="W10" s="103" t="s">
        <v>8</v>
      </c>
      <c r="X10" s="68" t="s">
        <v>9</v>
      </c>
      <c r="Y10" s="104" t="s">
        <v>10</v>
      </c>
      <c r="Z10" s="68" t="s">
        <v>11</v>
      </c>
      <c r="AA10" s="129"/>
      <c r="AB10" s="11"/>
    </row>
    <row r="11" spans="2:28" ht="13" x14ac:dyDescent="0.3">
      <c r="B11" s="63" t="s">
        <v>15</v>
      </c>
      <c r="C11" s="47"/>
      <c r="D11" s="42"/>
      <c r="E11" s="42"/>
      <c r="F11" s="13"/>
      <c r="G11" s="42"/>
      <c r="H11" s="53"/>
      <c r="I11" s="47"/>
      <c r="J11" s="42"/>
      <c r="K11" s="13"/>
      <c r="L11" s="42"/>
      <c r="M11" s="13"/>
      <c r="N11" s="42"/>
      <c r="O11" s="13"/>
      <c r="P11" s="42"/>
      <c r="Q11" s="42"/>
      <c r="R11" s="13"/>
      <c r="S11" s="42"/>
      <c r="V11" s="63" t="s">
        <v>15</v>
      </c>
      <c r="W11" s="23"/>
      <c r="X11" s="105"/>
      <c r="Y11" s="106"/>
      <c r="Z11" s="107"/>
      <c r="AA11" s="108"/>
      <c r="AB11" s="15"/>
    </row>
    <row r="12" spans="2:28" ht="13" x14ac:dyDescent="0.3">
      <c r="B12" s="56" t="s">
        <v>16</v>
      </c>
      <c r="C12" s="48">
        <f ca="1">C7</f>
        <v>43200</v>
      </c>
      <c r="D12" s="45" t="e">
        <f ca="1">_xll.RiskTriang(E12,F12,G12)</f>
        <v>#NAME?</v>
      </c>
      <c r="E12" s="77">
        <v>12</v>
      </c>
      <c r="F12" s="78">
        <v>16</v>
      </c>
      <c r="G12" s="77">
        <v>25</v>
      </c>
      <c r="H12" s="54" t="e">
        <f ca="1">C12+D12*7</f>
        <v>#NAME?</v>
      </c>
      <c r="I12" s="83">
        <v>0.8</v>
      </c>
      <c r="J12" s="52" t="s">
        <v>17</v>
      </c>
      <c r="K12" s="20"/>
      <c r="L12" s="43"/>
      <c r="M12" s="20"/>
      <c r="N12" s="43"/>
      <c r="O12" s="20" t="s">
        <v>18</v>
      </c>
      <c r="P12" s="43"/>
      <c r="Q12" s="43"/>
      <c r="R12" s="20"/>
      <c r="S12" s="43"/>
      <c r="V12" s="58" t="s">
        <v>20</v>
      </c>
      <c r="W12" s="4">
        <v>160000</v>
      </c>
      <c r="X12" s="77"/>
      <c r="Y12" s="109">
        <v>160000</v>
      </c>
      <c r="Z12" s="110"/>
      <c r="AA12" s="111">
        <f>I12</f>
        <v>0.8</v>
      </c>
      <c r="AB12" s="15"/>
    </row>
    <row r="13" spans="2:28" ht="13" x14ac:dyDescent="0.3">
      <c r="B13" s="56" t="s">
        <v>19</v>
      </c>
      <c r="C13" s="48" t="e">
        <f ca="1">H12</f>
        <v>#NAME?</v>
      </c>
      <c r="D13" s="45" t="e">
        <f ca="1">_xll.RiskTriang(E13,F13,G13)</f>
        <v>#NAME?</v>
      </c>
      <c r="E13" s="77">
        <v>3</v>
      </c>
      <c r="F13" s="78">
        <v>4</v>
      </c>
      <c r="G13" s="77">
        <v>6</v>
      </c>
      <c r="H13" s="54" t="e">
        <f ca="1">C13+D13*7</f>
        <v>#NAME?</v>
      </c>
      <c r="I13" s="83">
        <v>0.2</v>
      </c>
      <c r="J13" s="43" t="s">
        <v>85</v>
      </c>
      <c r="K13" s="20"/>
      <c r="L13" s="43"/>
      <c r="M13" s="20"/>
      <c r="N13" s="43"/>
      <c r="O13" s="20" t="s">
        <v>18</v>
      </c>
      <c r="P13" s="43"/>
      <c r="Q13" s="43"/>
      <c r="R13" s="20"/>
      <c r="S13" s="43"/>
      <c r="V13" s="58" t="s">
        <v>23</v>
      </c>
      <c r="W13" s="4" t="e">
        <f ca="1">Y13*D13+W12</f>
        <v>#NAME?</v>
      </c>
      <c r="X13" s="77"/>
      <c r="Y13" s="109">
        <v>12000</v>
      </c>
      <c r="Z13" s="112" t="s">
        <v>24</v>
      </c>
      <c r="AA13" s="111">
        <f>I13</f>
        <v>0.2</v>
      </c>
      <c r="AB13" s="15"/>
    </row>
    <row r="14" spans="2:28" ht="13" x14ac:dyDescent="0.3">
      <c r="B14" s="57" t="s">
        <v>21</v>
      </c>
      <c r="C14" s="49"/>
      <c r="D14" s="46"/>
      <c r="E14" s="79"/>
      <c r="F14" s="80"/>
      <c r="G14" s="79"/>
      <c r="H14" s="55" t="e">
        <f ca="1">_xll.RiskIndepC("design")+_xll.RiskDiscrete(H12:H13,I12:I13)</f>
        <v>#NAME?</v>
      </c>
      <c r="I14" s="84"/>
      <c r="J14" s="44"/>
      <c r="K14" s="16"/>
      <c r="L14" s="44"/>
      <c r="M14" s="16"/>
      <c r="N14" s="44"/>
      <c r="O14" s="16" t="s">
        <v>22</v>
      </c>
      <c r="P14" s="44"/>
      <c r="Q14" s="44"/>
      <c r="R14" s="16"/>
      <c r="S14" s="44"/>
      <c r="V14" s="69" t="s">
        <v>25</v>
      </c>
      <c r="W14" s="5" t="e">
        <f ca="1">_xll.RiskDepC("design",1)+_xll.RiskDiscrete(W12:W13,AA12:AA13)</f>
        <v>#NAME?</v>
      </c>
      <c r="X14" s="113"/>
      <c r="Y14" s="114"/>
      <c r="Z14" s="115"/>
      <c r="AA14" s="116"/>
      <c r="AB14" s="15"/>
    </row>
    <row r="15" spans="2:28" x14ac:dyDescent="0.25">
      <c r="C15" s="25"/>
      <c r="D15" s="26"/>
      <c r="E15" s="81"/>
      <c r="F15" s="81"/>
      <c r="G15" s="81"/>
      <c r="H15" s="25"/>
      <c r="I15" s="85"/>
      <c r="J15" s="27"/>
      <c r="K15" s="27"/>
      <c r="L15" s="27"/>
      <c r="M15" s="27"/>
      <c r="N15" s="27"/>
      <c r="O15" s="27"/>
      <c r="P15" s="27"/>
      <c r="Q15" s="27"/>
      <c r="R15" s="27"/>
      <c r="S15" s="99"/>
      <c r="V15" s="15"/>
      <c r="W15" s="4"/>
      <c r="X15" s="109"/>
      <c r="Y15" s="109"/>
      <c r="Z15" s="87"/>
      <c r="AA15" s="117"/>
      <c r="AB15" s="15"/>
    </row>
    <row r="16" spans="2:28" ht="13" x14ac:dyDescent="0.3">
      <c r="B16" s="63" t="s">
        <v>26</v>
      </c>
      <c r="C16" s="12"/>
      <c r="D16" s="93"/>
      <c r="E16" s="82"/>
      <c r="F16" s="94"/>
      <c r="G16" s="82"/>
      <c r="H16" s="47"/>
      <c r="I16" s="86"/>
      <c r="J16" s="42"/>
      <c r="K16" s="13"/>
      <c r="L16" s="42"/>
      <c r="M16" s="13"/>
      <c r="N16" s="42"/>
      <c r="O16" s="13"/>
      <c r="P16" s="42"/>
      <c r="Q16" s="13"/>
      <c r="R16" s="42"/>
      <c r="S16" s="14"/>
      <c r="V16" s="63" t="s">
        <v>26</v>
      </c>
      <c r="W16" s="3"/>
      <c r="X16" s="105"/>
      <c r="Y16" s="106"/>
      <c r="Z16" s="107"/>
      <c r="AA16" s="108"/>
      <c r="AB16" s="15"/>
    </row>
    <row r="17" spans="2:28" ht="13" x14ac:dyDescent="0.3">
      <c r="B17" s="58" t="s">
        <v>27</v>
      </c>
      <c r="C17" s="18">
        <f ca="1">C7</f>
        <v>43200</v>
      </c>
      <c r="D17" s="45" t="e">
        <f ca="1">_xll.RiskTriang(E17,F17,G17)</f>
        <v>#NAME?</v>
      </c>
      <c r="E17" s="78">
        <v>3</v>
      </c>
      <c r="F17" s="77">
        <v>4</v>
      </c>
      <c r="G17" s="78">
        <v>7</v>
      </c>
      <c r="H17" s="48" t="e">
        <f ca="1">C17+D17*7</f>
        <v>#NAME?</v>
      </c>
      <c r="I17" s="87">
        <v>0.7</v>
      </c>
      <c r="J17" s="52" t="s">
        <v>17</v>
      </c>
      <c r="K17" s="20"/>
      <c r="L17" s="43"/>
      <c r="M17" s="20"/>
      <c r="N17" s="43"/>
      <c r="O17" s="20" t="s">
        <v>18</v>
      </c>
      <c r="P17" s="43"/>
      <c r="Q17" s="20"/>
      <c r="R17" s="43"/>
      <c r="S17" s="22"/>
      <c r="V17" s="69" t="s">
        <v>30</v>
      </c>
      <c r="W17" s="5" t="e">
        <f ca="1">_xll.RiskTriang(X17,Y17,Z17)*D17</f>
        <v>#NAME?</v>
      </c>
      <c r="X17" s="113">
        <v>4200</v>
      </c>
      <c r="Y17" s="114">
        <v>4500</v>
      </c>
      <c r="Z17" s="113">
        <v>4700</v>
      </c>
      <c r="AA17" s="118" t="s">
        <v>24</v>
      </c>
      <c r="AB17" s="15"/>
    </row>
    <row r="18" spans="2:28" ht="13" x14ac:dyDescent="0.3">
      <c r="B18" s="58" t="s">
        <v>28</v>
      </c>
      <c r="C18" s="18" t="e">
        <f ca="1">H17</f>
        <v>#NAME?</v>
      </c>
      <c r="D18" s="45" t="e">
        <f ca="1">_xll.RiskTriang(E18,F18,G18)</f>
        <v>#NAME?</v>
      </c>
      <c r="E18" s="78">
        <v>8</v>
      </c>
      <c r="F18" s="77">
        <v>10</v>
      </c>
      <c r="G18" s="78">
        <v>14</v>
      </c>
      <c r="H18" s="48" t="e">
        <f ca="1">C18+D18*7</f>
        <v>#NAME?</v>
      </c>
      <c r="I18" s="87">
        <v>0.3</v>
      </c>
      <c r="J18" s="43" t="s">
        <v>29</v>
      </c>
      <c r="K18" s="20"/>
      <c r="L18" s="43"/>
      <c r="M18" s="20"/>
      <c r="N18" s="43"/>
      <c r="O18" s="20" t="s">
        <v>18</v>
      </c>
      <c r="P18" s="43"/>
      <c r="Q18" s="20"/>
      <c r="R18" s="43"/>
      <c r="S18" s="22"/>
      <c r="V18" s="15"/>
      <c r="W18" s="4"/>
      <c r="X18" s="109"/>
      <c r="Y18" s="109"/>
      <c r="Z18" s="119"/>
      <c r="AA18" s="117"/>
      <c r="AB18" s="15"/>
    </row>
    <row r="19" spans="2:28" ht="13" x14ac:dyDescent="0.3">
      <c r="B19" s="59" t="s">
        <v>21</v>
      </c>
      <c r="C19" s="24"/>
      <c r="D19" s="46"/>
      <c r="E19" s="80"/>
      <c r="F19" s="79"/>
      <c r="G19" s="80"/>
      <c r="H19" s="49" t="e">
        <f ca="1">_xll.RiskDiscrete(H17:H18,I17:I18)</f>
        <v>#NAME?</v>
      </c>
      <c r="I19" s="88"/>
      <c r="J19" s="44"/>
      <c r="K19" s="16"/>
      <c r="L19" s="44"/>
      <c r="M19" s="16"/>
      <c r="N19" s="44"/>
      <c r="O19" s="16" t="s">
        <v>22</v>
      </c>
      <c r="P19" s="44"/>
      <c r="Q19" s="16"/>
      <c r="R19" s="44"/>
      <c r="S19" s="17"/>
      <c r="V19" s="63" t="s">
        <v>31</v>
      </c>
      <c r="W19" s="3"/>
      <c r="X19" s="105"/>
      <c r="Y19" s="106"/>
      <c r="Z19" s="120"/>
      <c r="AA19" s="108"/>
      <c r="AB19" s="15"/>
    </row>
    <row r="20" spans="2:28" ht="13" x14ac:dyDescent="0.3">
      <c r="C20" s="25"/>
      <c r="D20" s="26"/>
      <c r="E20" s="81"/>
      <c r="F20" s="81"/>
      <c r="G20" s="81"/>
      <c r="H20" s="25"/>
      <c r="I20" s="85"/>
      <c r="J20" s="27"/>
      <c r="K20" s="27"/>
      <c r="L20" s="27"/>
      <c r="M20" s="27"/>
      <c r="N20" s="27"/>
      <c r="O20" s="27"/>
      <c r="P20" s="27"/>
      <c r="Q20" s="27"/>
      <c r="R20" s="27"/>
      <c r="S20" s="27"/>
      <c r="V20" s="70" t="s">
        <v>32</v>
      </c>
      <c r="W20" s="4" t="e">
        <f ca="1">_xll.RiskTriang(X20,Y20,Z20)*D22</f>
        <v>#NAME?</v>
      </c>
      <c r="X20" s="110">
        <v>2800</v>
      </c>
      <c r="Y20" s="109">
        <v>3000</v>
      </c>
      <c r="Z20" s="110">
        <v>3300</v>
      </c>
      <c r="AA20" s="121" t="s">
        <v>24</v>
      </c>
      <c r="AB20" s="15"/>
    </row>
    <row r="21" spans="2:28" ht="13" x14ac:dyDescent="0.3">
      <c r="B21" s="63" t="s">
        <v>31</v>
      </c>
      <c r="C21" s="12"/>
      <c r="D21" s="93"/>
      <c r="E21" s="82"/>
      <c r="F21" s="94"/>
      <c r="G21" s="82"/>
      <c r="H21" s="47"/>
      <c r="I21" s="86"/>
      <c r="J21" s="42"/>
      <c r="K21" s="13"/>
      <c r="L21" s="42"/>
      <c r="M21" s="13"/>
      <c r="N21" s="42"/>
      <c r="O21" s="13"/>
      <c r="P21" s="42"/>
      <c r="Q21" s="13"/>
      <c r="R21" s="42"/>
      <c r="S21" s="14"/>
      <c r="V21" s="70" t="s">
        <v>33</v>
      </c>
      <c r="W21" s="4" t="e">
        <f ca="1">_xll.RiskTriang(X21,Y21,Z21)</f>
        <v>#NAME?</v>
      </c>
      <c r="X21" s="110">
        <v>37000</v>
      </c>
      <c r="Y21" s="109">
        <v>38500</v>
      </c>
      <c r="Z21" s="110">
        <v>40000</v>
      </c>
      <c r="AA21" s="122"/>
      <c r="AB21" s="15"/>
    </row>
    <row r="22" spans="2:28" ht="13" x14ac:dyDescent="0.3">
      <c r="B22" s="62"/>
      <c r="C22" s="18" t="e">
        <f ca="1">MAX(H14,H19)</f>
        <v>#NAME?</v>
      </c>
      <c r="D22" s="45" t="e">
        <f ca="1">_xll.RiskTriang(E22,F22,G22)</f>
        <v>#NAME?</v>
      </c>
      <c r="E22" s="78">
        <v>6</v>
      </c>
      <c r="F22" s="77">
        <v>7</v>
      </c>
      <c r="G22" s="78">
        <v>8</v>
      </c>
      <c r="H22" s="48" t="e">
        <f ca="1">C22+D22*7</f>
        <v>#NAME?</v>
      </c>
      <c r="I22" s="90"/>
      <c r="J22" s="43" t="s">
        <v>84</v>
      </c>
      <c r="K22" s="20"/>
      <c r="L22" s="43"/>
      <c r="M22" s="20"/>
      <c r="N22" s="43"/>
      <c r="O22" s="20" t="s">
        <v>18</v>
      </c>
      <c r="P22" s="43"/>
      <c r="Q22" s="20"/>
      <c r="R22" s="43"/>
      <c r="S22" s="22"/>
      <c r="V22" s="71" t="s">
        <v>25</v>
      </c>
      <c r="W22" s="5" t="e">
        <f ca="1">W21+W20</f>
        <v>#NAME?</v>
      </c>
      <c r="X22" s="113"/>
      <c r="Y22" s="114"/>
      <c r="Z22" s="115"/>
      <c r="AA22" s="116"/>
      <c r="AB22" s="15"/>
    </row>
    <row r="23" spans="2:28" x14ac:dyDescent="0.25">
      <c r="B23" s="102"/>
      <c r="C23" s="96"/>
      <c r="D23" s="100"/>
      <c r="E23" s="97"/>
      <c r="F23" s="97"/>
      <c r="G23" s="97"/>
      <c r="H23" s="96"/>
      <c r="I23" s="98"/>
      <c r="J23" s="99"/>
      <c r="K23" s="99"/>
      <c r="L23" s="99"/>
      <c r="M23" s="99"/>
      <c r="N23" s="99"/>
      <c r="O23" s="99"/>
      <c r="P23" s="99"/>
      <c r="Q23" s="99"/>
      <c r="R23" s="99"/>
      <c r="S23" s="99"/>
      <c r="V23" s="15"/>
      <c r="W23" s="4"/>
      <c r="X23" s="109"/>
      <c r="Y23" s="109"/>
      <c r="Z23" s="87"/>
      <c r="AA23" s="117"/>
      <c r="AB23" s="15"/>
    </row>
    <row r="24" spans="2:28" ht="13" x14ac:dyDescent="0.3">
      <c r="B24" s="69" t="s">
        <v>34</v>
      </c>
      <c r="C24" s="18"/>
      <c r="D24" s="45"/>
      <c r="E24" s="78"/>
      <c r="F24" s="77"/>
      <c r="G24" s="78"/>
      <c r="H24" s="48"/>
      <c r="I24" s="90"/>
      <c r="J24" s="43"/>
      <c r="K24" s="20"/>
      <c r="L24" s="43"/>
      <c r="M24" s="20"/>
      <c r="N24" s="43"/>
      <c r="O24" s="20"/>
      <c r="P24" s="43"/>
      <c r="Q24" s="20"/>
      <c r="R24" s="43"/>
      <c r="S24" s="22"/>
      <c r="V24" s="63" t="s">
        <v>34</v>
      </c>
      <c r="W24" s="3"/>
      <c r="X24" s="105"/>
      <c r="Y24" s="106"/>
      <c r="Z24" s="105"/>
      <c r="AA24" s="123"/>
      <c r="AB24" s="15"/>
    </row>
    <row r="25" spans="2:28" x14ac:dyDescent="0.25">
      <c r="B25" s="60" t="s">
        <v>35</v>
      </c>
      <c r="C25" s="18" t="e">
        <f ca="1">H22+7*K25</f>
        <v>#NAME?</v>
      </c>
      <c r="D25" s="45" t="e">
        <f ca="1">_xll.RiskTriang(E25,F25,G25)</f>
        <v>#NAME?</v>
      </c>
      <c r="E25" s="78">
        <v>4</v>
      </c>
      <c r="F25" s="77">
        <v>4.5</v>
      </c>
      <c r="G25" s="78">
        <v>6</v>
      </c>
      <c r="H25" s="48" t="e">
        <f ca="1">C25+D25*7</f>
        <v>#NAME?</v>
      </c>
      <c r="I25" s="90"/>
      <c r="J25" s="52" t="s">
        <v>36</v>
      </c>
      <c r="K25" s="19" t="e">
        <f ca="1">_xll.RiskTriang(L25,M25,N25)</f>
        <v>#NAME?</v>
      </c>
      <c r="L25" s="77">
        <v>6</v>
      </c>
      <c r="M25" s="78">
        <v>7</v>
      </c>
      <c r="N25" s="77">
        <v>8</v>
      </c>
      <c r="O25" s="20" t="s">
        <v>18</v>
      </c>
      <c r="P25" s="43"/>
      <c r="Q25" s="20"/>
      <c r="R25" s="43"/>
      <c r="S25" s="22"/>
      <c r="V25" s="60" t="s">
        <v>39</v>
      </c>
      <c r="W25" s="4" t="e">
        <f ca="1">_xll.RiskTriang(X25,Y25,Z25)*D45</f>
        <v>#NAME?</v>
      </c>
      <c r="X25" s="110">
        <v>4700</v>
      </c>
      <c r="Y25" s="109">
        <v>5200</v>
      </c>
      <c r="Z25" s="110">
        <v>5500</v>
      </c>
      <c r="AA25" s="124"/>
      <c r="AB25" s="2"/>
    </row>
    <row r="26" spans="2:28" x14ac:dyDescent="0.25">
      <c r="B26" s="60" t="s">
        <v>37</v>
      </c>
      <c r="C26" s="18" t="e">
        <f ca="1">H25</f>
        <v>#NAME?</v>
      </c>
      <c r="D26" s="45" t="e">
        <f ca="1">_xll.RiskTriang(E26,F26,G26)</f>
        <v>#NAME?</v>
      </c>
      <c r="E26" s="78">
        <v>4</v>
      </c>
      <c r="F26" s="77">
        <v>4.5</v>
      </c>
      <c r="G26" s="78">
        <v>6</v>
      </c>
      <c r="H26" s="48" t="e">
        <f ca="1">C26+D26*7</f>
        <v>#NAME?</v>
      </c>
      <c r="I26" s="90"/>
      <c r="J26" s="43" t="s">
        <v>38</v>
      </c>
      <c r="K26" s="20"/>
      <c r="L26" s="43"/>
      <c r="M26" s="20"/>
      <c r="N26" s="43"/>
      <c r="O26" s="20" t="s">
        <v>18</v>
      </c>
      <c r="P26" s="43"/>
      <c r="Q26" s="20"/>
      <c r="R26" s="43"/>
      <c r="S26" s="22"/>
      <c r="V26" s="60" t="s">
        <v>42</v>
      </c>
      <c r="W26" s="4" t="e">
        <f ca="1">_xll.RiskTriang(X26,Y26,Z26)*D46</f>
        <v>#NAME?</v>
      </c>
      <c r="X26" s="110">
        <v>4700</v>
      </c>
      <c r="Y26" s="109">
        <v>5200</v>
      </c>
      <c r="Z26" s="110">
        <v>5500</v>
      </c>
      <c r="AA26" s="124"/>
      <c r="AB26" s="2"/>
    </row>
    <row r="27" spans="2:28" x14ac:dyDescent="0.25">
      <c r="B27" s="60" t="s">
        <v>40</v>
      </c>
      <c r="C27" s="18" t="e">
        <f ca="1">H26</f>
        <v>#NAME?</v>
      </c>
      <c r="D27" s="45" t="e">
        <f ca="1">_xll.RiskTriang(E27,F27,G27)</f>
        <v>#NAME?</v>
      </c>
      <c r="E27" s="78">
        <v>4</v>
      </c>
      <c r="F27" s="77">
        <v>4.5</v>
      </c>
      <c r="G27" s="78">
        <v>6</v>
      </c>
      <c r="H27" s="48" t="e">
        <f ca="1">C27+D27*7</f>
        <v>#NAME?</v>
      </c>
      <c r="I27" s="90"/>
      <c r="J27" s="43" t="s">
        <v>41</v>
      </c>
      <c r="K27" s="20"/>
      <c r="L27" s="43"/>
      <c r="M27" s="20"/>
      <c r="N27" s="43"/>
      <c r="O27" s="20" t="s">
        <v>18</v>
      </c>
      <c r="P27" s="43"/>
      <c r="Q27" s="20"/>
      <c r="R27" s="43"/>
      <c r="S27" s="22"/>
      <c r="V27" s="60" t="s">
        <v>44</v>
      </c>
      <c r="W27" s="4" t="e">
        <f ca="1">_xll.RiskTriang(X27,Y27,Z27)*D47</f>
        <v>#NAME?</v>
      </c>
      <c r="X27" s="110">
        <v>4700</v>
      </c>
      <c r="Y27" s="109">
        <v>5200</v>
      </c>
      <c r="Z27" s="110">
        <v>5500</v>
      </c>
      <c r="AA27" s="124"/>
      <c r="AB27" s="2"/>
    </row>
    <row r="28" spans="2:28" x14ac:dyDescent="0.25">
      <c r="B28" s="60" t="s">
        <v>43</v>
      </c>
      <c r="C28" s="18" t="e">
        <f ca="1">H27</f>
        <v>#NAME?</v>
      </c>
      <c r="D28" s="45" t="e">
        <f ca="1">_xll.RiskTriang(E28,F28,G28)</f>
        <v>#NAME?</v>
      </c>
      <c r="E28" s="78">
        <v>7</v>
      </c>
      <c r="F28" s="77">
        <v>8</v>
      </c>
      <c r="G28" s="78">
        <v>10</v>
      </c>
      <c r="H28" s="48" t="e">
        <f ca="1">C28+D28*7</f>
        <v>#NAME?</v>
      </c>
      <c r="I28" s="90"/>
      <c r="J28" s="43"/>
      <c r="K28" s="20"/>
      <c r="L28" s="43"/>
      <c r="M28" s="20"/>
      <c r="N28" s="43"/>
      <c r="O28" s="20" t="s">
        <v>18</v>
      </c>
      <c r="P28" s="43"/>
      <c r="Q28" s="20"/>
      <c r="R28" s="43"/>
      <c r="S28" s="22"/>
      <c r="V28" s="60" t="s">
        <v>45</v>
      </c>
      <c r="W28" s="4">
        <f>3*AVERAGE(X28:Z28)</f>
        <v>52700</v>
      </c>
      <c r="X28" s="110">
        <v>17200</v>
      </c>
      <c r="Y28" s="109">
        <v>17500</v>
      </c>
      <c r="Z28" s="110">
        <v>18000</v>
      </c>
      <c r="AA28" s="124"/>
      <c r="AB28" s="2"/>
    </row>
    <row r="29" spans="2:28" x14ac:dyDescent="0.25">
      <c r="B29" s="102"/>
      <c r="C29" s="96"/>
      <c r="D29" s="100"/>
      <c r="E29" s="97"/>
      <c r="F29" s="97"/>
      <c r="G29" s="97"/>
      <c r="H29" s="96"/>
      <c r="I29" s="98"/>
      <c r="J29" s="99"/>
      <c r="K29" s="99"/>
      <c r="L29" s="99"/>
      <c r="M29" s="99"/>
      <c r="N29" s="99"/>
      <c r="O29" s="99"/>
      <c r="P29" s="99"/>
      <c r="Q29" s="99"/>
      <c r="R29" s="99"/>
      <c r="S29" s="99"/>
      <c r="V29" s="60" t="s">
        <v>47</v>
      </c>
      <c r="W29" s="4">
        <v>172000</v>
      </c>
      <c r="X29" s="110"/>
      <c r="Y29" s="109"/>
      <c r="Z29" s="110"/>
      <c r="AA29" s="124"/>
      <c r="AB29" s="2"/>
    </row>
    <row r="30" spans="2:28" ht="13" x14ac:dyDescent="0.3">
      <c r="B30" s="69" t="s">
        <v>46</v>
      </c>
      <c r="C30" s="18"/>
      <c r="D30" s="45"/>
      <c r="E30" s="78"/>
      <c r="F30" s="77"/>
      <c r="G30" s="78"/>
      <c r="H30" s="48"/>
      <c r="I30" s="90"/>
      <c r="J30" s="43"/>
      <c r="K30" s="20"/>
      <c r="L30" s="43"/>
      <c r="M30" s="20"/>
      <c r="N30" s="43"/>
      <c r="O30" s="20"/>
      <c r="P30" s="43"/>
      <c r="Q30" s="20"/>
      <c r="R30" s="43"/>
      <c r="S30" s="22"/>
      <c r="V30" s="72" t="s">
        <v>25</v>
      </c>
      <c r="W30" s="5" t="e">
        <f ca="1">SUM(W25:W29)</f>
        <v>#NAME?</v>
      </c>
      <c r="X30" s="113"/>
      <c r="Y30" s="114"/>
      <c r="Z30" s="113"/>
      <c r="AA30" s="125"/>
      <c r="AB30" s="2"/>
    </row>
    <row r="31" spans="2:28" ht="13" x14ac:dyDescent="0.3">
      <c r="B31" s="61" t="s">
        <v>48</v>
      </c>
      <c r="C31" s="20"/>
      <c r="D31" s="45"/>
      <c r="E31" s="78"/>
      <c r="F31" s="77"/>
      <c r="G31" s="78"/>
      <c r="H31" s="48"/>
      <c r="I31" s="87">
        <v>0.9</v>
      </c>
      <c r="J31" s="43"/>
      <c r="L31" s="6"/>
      <c r="N31" s="43"/>
      <c r="O31" s="20"/>
      <c r="P31" s="43"/>
      <c r="Q31" s="20"/>
      <c r="R31" s="43"/>
      <c r="S31" s="22"/>
      <c r="V31" s="15"/>
      <c r="W31" s="4"/>
      <c r="X31" s="109"/>
      <c r="Y31" s="109"/>
      <c r="Z31" s="109"/>
      <c r="AA31" s="126"/>
      <c r="AB31" s="2"/>
    </row>
    <row r="32" spans="2:28" ht="13" x14ac:dyDescent="0.3">
      <c r="B32" s="58" t="s">
        <v>35</v>
      </c>
      <c r="C32" s="18" t="e">
        <f ca="1">H25+7*K32</f>
        <v>#NAME?</v>
      </c>
      <c r="D32" s="45" t="e">
        <f ca="1">_xll.RiskTriang(E32,F32,G32)</f>
        <v>#NAME?</v>
      </c>
      <c r="E32" s="78">
        <v>7</v>
      </c>
      <c r="F32" s="77">
        <v>8</v>
      </c>
      <c r="G32" s="78">
        <v>9</v>
      </c>
      <c r="H32" s="48" t="e">
        <f ca="1">C32+7*D32</f>
        <v>#NAME?</v>
      </c>
      <c r="I32" s="90"/>
      <c r="J32" s="43" t="s">
        <v>49</v>
      </c>
      <c r="K32" s="78">
        <v>3</v>
      </c>
      <c r="L32" s="77"/>
      <c r="M32" s="78">
        <v>3</v>
      </c>
      <c r="N32" s="43"/>
      <c r="O32" s="20" t="s">
        <v>18</v>
      </c>
      <c r="P32" s="43"/>
      <c r="Q32" s="20"/>
      <c r="R32" s="43"/>
      <c r="S32" s="22"/>
      <c r="V32" s="63" t="s">
        <v>46</v>
      </c>
      <c r="W32" s="3"/>
      <c r="X32" s="105"/>
      <c r="Y32" s="106"/>
      <c r="Z32" s="105"/>
      <c r="AA32" s="123"/>
      <c r="AB32" s="2"/>
    </row>
    <row r="33" spans="2:28" ht="13" x14ac:dyDescent="0.3">
      <c r="B33" s="58" t="s">
        <v>37</v>
      </c>
      <c r="C33" s="18" t="e">
        <f ca="1">H32</f>
        <v>#NAME?</v>
      </c>
      <c r="D33" s="45" t="e">
        <f ca="1">_xll.RiskTriang(E33,F33,G33)</f>
        <v>#NAME?</v>
      </c>
      <c r="E33" s="78">
        <v>7</v>
      </c>
      <c r="F33" s="77">
        <v>8</v>
      </c>
      <c r="G33" s="78">
        <v>9</v>
      </c>
      <c r="H33" s="48" t="e">
        <f ca="1">C33+7*D33</f>
        <v>#NAME?</v>
      </c>
      <c r="I33" s="90"/>
      <c r="J33" s="43" t="s">
        <v>50</v>
      </c>
      <c r="K33" s="20"/>
      <c r="L33" s="43"/>
      <c r="M33" s="20"/>
      <c r="N33" s="43"/>
      <c r="O33" s="20" t="s">
        <v>18</v>
      </c>
      <c r="P33" s="43"/>
      <c r="Q33" s="20"/>
      <c r="R33" s="43"/>
      <c r="S33" s="22"/>
      <c r="V33" s="62" t="s">
        <v>32</v>
      </c>
      <c r="W33" s="4"/>
      <c r="X33" s="110"/>
      <c r="Y33" s="109"/>
      <c r="Z33" s="110"/>
      <c r="AA33" s="124"/>
      <c r="AB33" s="2"/>
    </row>
    <row r="34" spans="2:28" ht="13" x14ac:dyDescent="0.3">
      <c r="B34" s="58" t="s">
        <v>40</v>
      </c>
      <c r="C34" s="18" t="e">
        <f ca="1">H33</f>
        <v>#NAME?</v>
      </c>
      <c r="D34" s="45" t="e">
        <f ca="1">_xll.RiskTriang(E34,F34,G34)</f>
        <v>#NAME?</v>
      </c>
      <c r="E34" s="78">
        <v>7</v>
      </c>
      <c r="F34" s="77">
        <v>8</v>
      </c>
      <c r="G34" s="78">
        <v>9</v>
      </c>
      <c r="H34" s="48" t="e">
        <f ca="1">C34+7*D34</f>
        <v>#NAME?</v>
      </c>
      <c r="I34" s="90"/>
      <c r="J34" s="43" t="s">
        <v>51</v>
      </c>
      <c r="K34" s="20"/>
      <c r="L34" s="43"/>
      <c r="M34" s="20"/>
      <c r="N34" s="43"/>
      <c r="O34" s="20" t="s">
        <v>18</v>
      </c>
      <c r="P34" s="43"/>
      <c r="Q34" s="20"/>
      <c r="R34" s="43"/>
      <c r="S34" s="22"/>
      <c r="V34" s="73" t="s">
        <v>48</v>
      </c>
      <c r="W34" s="4">
        <v>197000</v>
      </c>
      <c r="X34" s="110"/>
      <c r="Y34" s="109"/>
      <c r="Z34" s="110"/>
      <c r="AA34" s="111">
        <f>I31</f>
        <v>0.9</v>
      </c>
      <c r="AB34" s="2"/>
    </row>
    <row r="35" spans="2:28" ht="13" x14ac:dyDescent="0.3">
      <c r="B35" s="61" t="s">
        <v>52</v>
      </c>
      <c r="C35" s="20"/>
      <c r="D35" s="45"/>
      <c r="E35" s="78"/>
      <c r="F35" s="77"/>
      <c r="G35" s="78"/>
      <c r="H35" s="48"/>
      <c r="I35" s="87">
        <v>0.1</v>
      </c>
      <c r="J35" s="43"/>
      <c r="L35" s="6"/>
      <c r="N35" s="43"/>
      <c r="O35" s="20"/>
      <c r="P35" s="43"/>
      <c r="Q35" s="20"/>
      <c r="R35" s="43"/>
      <c r="S35" s="22"/>
      <c r="V35" s="73" t="s">
        <v>52</v>
      </c>
      <c r="W35" s="4">
        <v>209000</v>
      </c>
      <c r="X35" s="110"/>
      <c r="Y35" s="109"/>
      <c r="Z35" s="110"/>
      <c r="AA35" s="111">
        <f>I35</f>
        <v>0.1</v>
      </c>
      <c r="AB35" s="2"/>
    </row>
    <row r="36" spans="2:28" ht="13" x14ac:dyDescent="0.3">
      <c r="B36" s="58" t="s">
        <v>53</v>
      </c>
      <c r="C36" s="18" t="e">
        <f ca="1">H25+K36*7</f>
        <v>#NAME?</v>
      </c>
      <c r="D36" s="45" t="e">
        <f ca="1">_xll.RiskTriang(E36,F36,G36)</f>
        <v>#NAME?</v>
      </c>
      <c r="E36" s="78">
        <v>6</v>
      </c>
      <c r="F36" s="77">
        <v>8</v>
      </c>
      <c r="G36" s="78">
        <v>11</v>
      </c>
      <c r="H36" s="48" t="e">
        <f ca="1">C36+7*D36</f>
        <v>#NAME?</v>
      </c>
      <c r="I36" s="90"/>
      <c r="J36" s="43" t="s">
        <v>49</v>
      </c>
      <c r="K36" s="78">
        <v>3</v>
      </c>
      <c r="L36" s="77"/>
      <c r="M36" s="78">
        <v>3</v>
      </c>
      <c r="N36" s="43"/>
      <c r="O36" s="20" t="s">
        <v>18</v>
      </c>
      <c r="P36" s="43"/>
      <c r="Q36" s="20"/>
      <c r="R36" s="43"/>
      <c r="S36" s="22"/>
      <c r="V36" s="60" t="s">
        <v>56</v>
      </c>
      <c r="W36" s="4" t="e">
        <f ca="1">_xll.RiskDepC("brown",1)+_xll.RiskDiscrete(W34:W35,AA34:AA35)</f>
        <v>#NAME?</v>
      </c>
      <c r="X36" s="110"/>
      <c r="Y36" s="109"/>
      <c r="Z36" s="110"/>
      <c r="AA36" s="124"/>
      <c r="AB36" s="2"/>
    </row>
    <row r="37" spans="2:28" ht="13" x14ac:dyDescent="0.3">
      <c r="B37" s="58" t="s">
        <v>54</v>
      </c>
      <c r="C37" s="18" t="e">
        <f ca="1">H36</f>
        <v>#NAME?</v>
      </c>
      <c r="D37" s="45" t="e">
        <f ca="1">_xll.RiskTriang(E37,F37,G37)</f>
        <v>#NAME?</v>
      </c>
      <c r="E37" s="78">
        <v>6</v>
      </c>
      <c r="F37" s="77">
        <v>8</v>
      </c>
      <c r="G37" s="78">
        <v>11</v>
      </c>
      <c r="H37" s="48" t="e">
        <f ca="1">C37+7*D37</f>
        <v>#NAME?</v>
      </c>
      <c r="I37" s="90"/>
      <c r="J37" s="43" t="s">
        <v>55</v>
      </c>
      <c r="K37" s="20"/>
      <c r="L37" s="43"/>
      <c r="M37" s="20"/>
      <c r="N37" s="43"/>
      <c r="O37" s="20" t="s">
        <v>18</v>
      </c>
      <c r="P37" s="43"/>
      <c r="Q37" s="20"/>
      <c r="R37" s="43"/>
      <c r="S37" s="22"/>
      <c r="V37" s="70" t="s">
        <v>59</v>
      </c>
      <c r="W37" s="4" t="e">
        <f ca="1">_xll.RiskTriang(X37,Y37,Z37)*3</f>
        <v>#NAME?</v>
      </c>
      <c r="X37" s="110">
        <v>36000</v>
      </c>
      <c r="Y37" s="109">
        <v>37000</v>
      </c>
      <c r="Z37" s="110">
        <v>40000</v>
      </c>
      <c r="AA37" s="127" t="s">
        <v>60</v>
      </c>
      <c r="AB37" s="2"/>
    </row>
    <row r="38" spans="2:28" ht="13" x14ac:dyDescent="0.3">
      <c r="B38" s="58" t="s">
        <v>57</v>
      </c>
      <c r="C38" s="18" t="e">
        <f ca="1">H37</f>
        <v>#NAME?</v>
      </c>
      <c r="D38" s="45" t="e">
        <f ca="1">_xll.RiskTriang(E38,F38,G38)</f>
        <v>#NAME?</v>
      </c>
      <c r="E38" s="78">
        <v>6</v>
      </c>
      <c r="F38" s="77">
        <v>8</v>
      </c>
      <c r="G38" s="78">
        <v>11</v>
      </c>
      <c r="H38" s="48" t="e">
        <f ca="1">C38+7*D38</f>
        <v>#NAME?</v>
      </c>
      <c r="I38" s="90"/>
      <c r="J38" s="43" t="s">
        <v>58</v>
      </c>
      <c r="K38" s="20"/>
      <c r="L38" s="43"/>
      <c r="M38" s="20"/>
      <c r="N38" s="43"/>
      <c r="O38" s="20" t="s">
        <v>18</v>
      </c>
      <c r="P38" s="43"/>
      <c r="Q38" s="20"/>
      <c r="R38" s="43"/>
      <c r="S38" s="22"/>
      <c r="V38" s="70" t="s">
        <v>62</v>
      </c>
      <c r="W38" s="4">
        <f>Y38</f>
        <v>9800</v>
      </c>
      <c r="X38" s="110"/>
      <c r="Y38" s="109">
        <v>9800</v>
      </c>
      <c r="Z38" s="110"/>
      <c r="AA38" s="124"/>
      <c r="AB38" s="2"/>
    </row>
    <row r="39" spans="2:28" ht="13" x14ac:dyDescent="0.3">
      <c r="B39" s="60" t="s">
        <v>61</v>
      </c>
      <c r="C39" s="28" t="s">
        <v>48</v>
      </c>
      <c r="D39" s="45"/>
      <c r="E39" s="78"/>
      <c r="F39" s="77"/>
      <c r="G39" s="78"/>
      <c r="H39" s="95" t="e">
        <f ca="1">H34</f>
        <v>#NAME?</v>
      </c>
      <c r="I39" s="91">
        <f>I31</f>
        <v>0.9</v>
      </c>
      <c r="J39" s="43"/>
      <c r="K39" s="20"/>
      <c r="L39" s="43"/>
      <c r="M39" s="20"/>
      <c r="N39" s="43"/>
      <c r="O39" s="20"/>
      <c r="P39" s="43"/>
      <c r="Q39" s="20"/>
      <c r="R39" s="43"/>
      <c r="S39" s="22"/>
      <c r="V39" s="72" t="s">
        <v>25</v>
      </c>
      <c r="W39" s="5" t="e">
        <f ca="1">W38+W37+W36</f>
        <v>#NAME?</v>
      </c>
      <c r="X39" s="113"/>
      <c r="Y39" s="114"/>
      <c r="Z39" s="113"/>
      <c r="AA39" s="125"/>
      <c r="AB39" s="2"/>
    </row>
    <row r="40" spans="2:28" ht="13" x14ac:dyDescent="0.3">
      <c r="B40" s="62"/>
      <c r="C40" s="18" t="s">
        <v>52</v>
      </c>
      <c r="D40" s="45"/>
      <c r="E40" s="78"/>
      <c r="F40" s="77"/>
      <c r="G40" s="78"/>
      <c r="H40" s="95" t="e">
        <f ca="1">H38</f>
        <v>#NAME?</v>
      </c>
      <c r="I40" s="91">
        <f>I35</f>
        <v>0.1</v>
      </c>
      <c r="J40" s="43"/>
      <c r="K40" s="20"/>
      <c r="L40" s="43"/>
      <c r="M40" s="20"/>
      <c r="N40" s="43"/>
      <c r="O40" s="20"/>
      <c r="P40" s="43"/>
      <c r="Q40" s="20"/>
      <c r="R40" s="43"/>
      <c r="S40" s="22"/>
      <c r="V40" s="15"/>
      <c r="W40" s="4"/>
      <c r="X40" s="109"/>
      <c r="Y40" s="109"/>
      <c r="Z40" s="109"/>
      <c r="AA40" s="126"/>
      <c r="AB40" s="2"/>
    </row>
    <row r="41" spans="2:28" ht="13" x14ac:dyDescent="0.3">
      <c r="B41" s="101" t="s">
        <v>63</v>
      </c>
      <c r="C41" s="18" t="s">
        <v>64</v>
      </c>
      <c r="D41" s="45"/>
      <c r="E41" s="78"/>
      <c r="F41" s="77"/>
      <c r="G41" s="78"/>
      <c r="H41" s="48" t="e">
        <f ca="1">_xll.RiskIndepC("brown")+_xll.RiskDiscrete(H39:H40,I39:I40)</f>
        <v>#NAME?</v>
      </c>
      <c r="I41" s="87"/>
      <c r="J41" s="43"/>
      <c r="K41" s="20"/>
      <c r="L41" s="43"/>
      <c r="M41" s="20"/>
      <c r="N41" s="43"/>
      <c r="O41" s="20" t="s">
        <v>22</v>
      </c>
      <c r="P41" s="43"/>
      <c r="Q41" s="20"/>
      <c r="R41" s="43"/>
      <c r="S41" s="22"/>
      <c r="V41" s="65" t="s">
        <v>65</v>
      </c>
      <c r="W41" s="3"/>
      <c r="X41" s="105"/>
      <c r="Y41" s="106"/>
      <c r="Z41" s="105"/>
      <c r="AA41" s="123"/>
      <c r="AB41" s="2"/>
    </row>
    <row r="42" spans="2:28" x14ac:dyDescent="0.25">
      <c r="B42" s="102"/>
      <c r="C42" s="96"/>
      <c r="D42" s="100"/>
      <c r="E42" s="97"/>
      <c r="F42" s="97"/>
      <c r="G42" s="97"/>
      <c r="H42" s="99"/>
      <c r="I42" s="97"/>
      <c r="J42" s="99"/>
      <c r="K42" s="99"/>
      <c r="L42" s="99"/>
      <c r="M42" s="99"/>
      <c r="N42" s="99"/>
      <c r="O42" s="99"/>
      <c r="P42" s="99"/>
      <c r="Q42" s="99"/>
      <c r="R42" s="99"/>
      <c r="S42" s="99"/>
      <c r="V42" s="62" t="s">
        <v>66</v>
      </c>
      <c r="W42" s="4" t="e">
        <f ca="1">_xll.RiskTriang(X42,Y42,Z42)*3</f>
        <v>#NAME?</v>
      </c>
      <c r="X42" s="110">
        <v>82000</v>
      </c>
      <c r="Y42" s="109">
        <v>86000</v>
      </c>
      <c r="Z42" s="110">
        <v>91000</v>
      </c>
      <c r="AA42" s="124"/>
      <c r="AB42" s="2"/>
    </row>
    <row r="43" spans="2:28" ht="13" x14ac:dyDescent="0.3">
      <c r="B43" s="71" t="s">
        <v>65</v>
      </c>
      <c r="C43" s="18"/>
      <c r="D43" s="45"/>
      <c r="E43" s="78"/>
      <c r="F43" s="77"/>
      <c r="G43" s="78"/>
      <c r="H43" s="48"/>
      <c r="I43" s="90"/>
      <c r="J43" s="43"/>
      <c r="K43" s="20"/>
      <c r="L43" s="43"/>
      <c r="M43" s="20"/>
      <c r="N43" s="43"/>
      <c r="O43" s="20"/>
      <c r="P43" s="43"/>
      <c r="Q43" s="20"/>
      <c r="R43" s="43"/>
      <c r="S43" s="22"/>
      <c r="V43" s="62" t="s">
        <v>67</v>
      </c>
      <c r="W43" s="4" t="e">
        <f ca="1">_xll.RiskTriang(X43,Y43,Z43)*3</f>
        <v>#NAME?</v>
      </c>
      <c r="X43" s="110">
        <v>92000</v>
      </c>
      <c r="Y43" s="109">
        <v>95000</v>
      </c>
      <c r="Z43" s="110">
        <v>107000</v>
      </c>
      <c r="AA43" s="124"/>
      <c r="AB43" s="2"/>
    </row>
    <row r="44" spans="2:28" ht="13" x14ac:dyDescent="0.3">
      <c r="B44" s="61" t="s">
        <v>66</v>
      </c>
      <c r="C44" s="18"/>
      <c r="D44" s="45"/>
      <c r="E44" s="78"/>
      <c r="F44" s="77"/>
      <c r="G44" s="78"/>
      <c r="H44" s="48"/>
      <c r="I44" s="90"/>
      <c r="J44" s="43"/>
      <c r="K44" s="20"/>
      <c r="L44" s="43"/>
      <c r="M44" s="20"/>
      <c r="N44" s="43"/>
      <c r="O44" s="20"/>
      <c r="P44" s="43"/>
      <c r="Q44" s="20"/>
      <c r="R44" s="43"/>
      <c r="S44" s="22"/>
      <c r="V44" s="71" t="s">
        <v>25</v>
      </c>
      <c r="W44" s="5" t="e">
        <f ca="1">W42+W43</f>
        <v>#NAME?</v>
      </c>
      <c r="X44" s="113"/>
      <c r="Y44" s="114"/>
      <c r="Z44" s="113"/>
      <c r="AA44" s="125"/>
      <c r="AB44" s="2"/>
    </row>
    <row r="45" spans="2:28" x14ac:dyDescent="0.25">
      <c r="B45" s="60" t="s">
        <v>35</v>
      </c>
      <c r="C45" s="18" t="e">
        <f ca="1">IF($H$41=$H$34,H32,H36)</f>
        <v>#NAME?</v>
      </c>
      <c r="D45" s="45" t="e">
        <f ca="1">_xll.RiskTriang(E45,F45,G45)</f>
        <v>#NAME?</v>
      </c>
      <c r="E45" s="78">
        <v>8</v>
      </c>
      <c r="F45" s="77">
        <v>10</v>
      </c>
      <c r="G45" s="78">
        <v>13</v>
      </c>
      <c r="H45" s="48" t="e">
        <f ca="1">C45+7*D45</f>
        <v>#NAME?</v>
      </c>
      <c r="I45" s="90"/>
      <c r="J45" s="43" t="s">
        <v>81</v>
      </c>
      <c r="K45" s="20"/>
      <c r="L45" s="43"/>
      <c r="M45" s="20"/>
      <c r="N45" s="43"/>
      <c r="O45" s="20" t="s">
        <v>18</v>
      </c>
      <c r="P45" s="43"/>
      <c r="Q45" s="20"/>
      <c r="R45" s="43"/>
      <c r="S45" s="22"/>
      <c r="V45" s="15"/>
      <c r="W45" s="4"/>
      <c r="X45" s="109"/>
      <c r="Y45" s="109"/>
      <c r="Z45" s="109"/>
      <c r="AA45" s="126"/>
      <c r="AB45" s="2"/>
    </row>
    <row r="46" spans="2:28" ht="13" x14ac:dyDescent="0.3">
      <c r="B46" s="60" t="s">
        <v>37</v>
      </c>
      <c r="C46" s="18" t="e">
        <f ca="1">IF($H$41=$H$34,MAX(H33,H45),MAX(H37,H45))</f>
        <v>#NAME?</v>
      </c>
      <c r="D46" s="45" t="e">
        <f ca="1">_xll.RiskTriang(E46,F46,G46)</f>
        <v>#NAME?</v>
      </c>
      <c r="E46" s="78">
        <v>8</v>
      </c>
      <c r="F46" s="77">
        <v>10</v>
      </c>
      <c r="G46" s="78">
        <v>13</v>
      </c>
      <c r="H46" s="48" t="e">
        <f ca="1">C46+7*D46</f>
        <v>#NAME?</v>
      </c>
      <c r="I46" s="90"/>
      <c r="J46" s="43" t="s">
        <v>82</v>
      </c>
      <c r="K46" s="20"/>
      <c r="L46" s="43"/>
      <c r="M46" s="20"/>
      <c r="N46" s="43"/>
      <c r="O46" s="20" t="s">
        <v>18</v>
      </c>
      <c r="P46" s="43"/>
      <c r="Q46" s="20"/>
      <c r="R46" s="43"/>
      <c r="S46" s="22"/>
      <c r="V46" s="65" t="s">
        <v>68</v>
      </c>
      <c r="W46" s="3"/>
      <c r="X46" s="105"/>
      <c r="Y46" s="106"/>
      <c r="Z46" s="105"/>
      <c r="AA46" s="123"/>
      <c r="AB46" s="2"/>
    </row>
    <row r="47" spans="2:28" ht="13" x14ac:dyDescent="0.3">
      <c r="B47" s="60" t="s">
        <v>40</v>
      </c>
      <c r="C47" s="18" t="e">
        <f ca="1">IF($H$41=$H$34,MAX(H34,H46),MAX(H38,H46))</f>
        <v>#NAME?</v>
      </c>
      <c r="D47" s="45" t="e">
        <f ca="1">_xll.RiskTriang(E47,F47,G47)</f>
        <v>#NAME?</v>
      </c>
      <c r="E47" s="78">
        <v>8</v>
      </c>
      <c r="F47" s="77">
        <v>10</v>
      </c>
      <c r="G47" s="78">
        <v>13</v>
      </c>
      <c r="H47" s="48" t="e">
        <f ca="1">C47+7*D47</f>
        <v>#NAME?</v>
      </c>
      <c r="I47" s="90"/>
      <c r="J47" s="43" t="s">
        <v>83</v>
      </c>
      <c r="K47" s="20"/>
      <c r="L47" s="43"/>
      <c r="M47" s="20"/>
      <c r="N47" s="43"/>
      <c r="O47" s="20" t="s">
        <v>18</v>
      </c>
      <c r="P47" s="43"/>
      <c r="Q47" s="20"/>
      <c r="R47" s="43"/>
      <c r="S47" s="22"/>
      <c r="V47" s="69" t="s">
        <v>69</v>
      </c>
      <c r="W47" s="5">
        <f>Y47</f>
        <v>4000</v>
      </c>
      <c r="X47" s="113"/>
      <c r="Y47" s="114">
        <v>4000</v>
      </c>
      <c r="Z47" s="113"/>
      <c r="AA47" s="125"/>
      <c r="AB47" s="2"/>
    </row>
    <row r="48" spans="2:28" ht="13.5" thickBot="1" x14ac:dyDescent="0.35">
      <c r="B48" s="64" t="s">
        <v>67</v>
      </c>
      <c r="C48" s="18"/>
      <c r="D48" s="45"/>
      <c r="E48" s="78"/>
      <c r="F48" s="77"/>
      <c r="G48" s="78"/>
      <c r="H48" s="48"/>
      <c r="I48" s="90"/>
      <c r="J48" s="43"/>
      <c r="K48" s="20"/>
      <c r="L48" s="43"/>
      <c r="M48" s="20"/>
      <c r="N48" s="43"/>
      <c r="O48" s="20"/>
      <c r="P48" s="43"/>
      <c r="Q48" s="20"/>
      <c r="R48" s="43"/>
      <c r="S48" s="22"/>
      <c r="V48" s="15"/>
      <c r="W48" s="18"/>
      <c r="X48" s="20"/>
      <c r="Y48" s="20"/>
      <c r="Z48" s="20"/>
      <c r="AA48" s="15"/>
      <c r="AB48" s="2"/>
    </row>
    <row r="49" spans="2:28" ht="13.5" thickBot="1" x14ac:dyDescent="0.35">
      <c r="B49" s="60" t="s">
        <v>53</v>
      </c>
      <c r="C49" s="18" t="e">
        <f ca="1">C45</f>
        <v>#NAME?</v>
      </c>
      <c r="D49" s="45" t="e">
        <f ca="1">_xll.RiskTriang(E49,F49,G49)</f>
        <v>#NAME?</v>
      </c>
      <c r="E49" s="78">
        <v>9</v>
      </c>
      <c r="F49" s="77">
        <v>11</v>
      </c>
      <c r="G49" s="78">
        <v>13</v>
      </c>
      <c r="H49" s="48" t="e">
        <f ca="1">MAX(C49+7*D49,H45+7*P49)</f>
        <v>#NAME?</v>
      </c>
      <c r="I49" s="90"/>
      <c r="J49" s="43" t="s">
        <v>78</v>
      </c>
      <c r="K49" s="20"/>
      <c r="L49" s="43"/>
      <c r="M49" s="20"/>
      <c r="N49" s="43"/>
      <c r="O49" s="20" t="s">
        <v>11</v>
      </c>
      <c r="P49" s="43" t="e">
        <f ca="1">_xll.RiskTriang($Q$49,$R$49,$S$49)</f>
        <v>#NAME?</v>
      </c>
      <c r="Q49" s="78">
        <v>2</v>
      </c>
      <c r="R49" s="77">
        <v>3</v>
      </c>
      <c r="S49" s="92">
        <v>4</v>
      </c>
      <c r="V49" s="65" t="s">
        <v>70</v>
      </c>
      <c r="W49" s="74" t="e">
        <f ca="1">W47+W44+W39+W30+W22+W17+W14</f>
        <v>#NAME?</v>
      </c>
      <c r="X49" s="20"/>
      <c r="Y49" s="20"/>
      <c r="Z49" s="20"/>
      <c r="AA49" s="15"/>
      <c r="AB49" s="2"/>
    </row>
    <row r="50" spans="2:28" x14ac:dyDescent="0.25">
      <c r="B50" s="60" t="s">
        <v>54</v>
      </c>
      <c r="C50" s="18" t="e">
        <f ca="1">C46</f>
        <v>#NAME?</v>
      </c>
      <c r="D50" s="45" t="e">
        <f ca="1">_xll.RiskTriang(E50,F50,G50)</f>
        <v>#NAME?</v>
      </c>
      <c r="E50" s="78">
        <v>9</v>
      </c>
      <c r="F50" s="77">
        <v>11</v>
      </c>
      <c r="G50" s="78">
        <v>13</v>
      </c>
      <c r="H50" s="48" t="e">
        <f ca="1">MAX(C50+7*D50,H46+7*P50)</f>
        <v>#NAME?</v>
      </c>
      <c r="I50" s="90"/>
      <c r="J50" s="43" t="s">
        <v>79</v>
      </c>
      <c r="K50" s="20"/>
      <c r="L50" s="43"/>
      <c r="M50" s="20"/>
      <c r="N50" s="43"/>
      <c r="O50" s="20" t="s">
        <v>11</v>
      </c>
      <c r="P50" s="43" t="e">
        <f ca="1">_xll.RiskTriang($Q$49,$R$49,$S$49)</f>
        <v>#NAME?</v>
      </c>
      <c r="Q50" s="20"/>
      <c r="R50" s="43"/>
      <c r="S50" s="22"/>
      <c r="AB50" s="2"/>
    </row>
    <row r="51" spans="2:28" x14ac:dyDescent="0.25">
      <c r="B51" s="60" t="s">
        <v>57</v>
      </c>
      <c r="C51" s="18" t="e">
        <f ca="1">C47</f>
        <v>#NAME?</v>
      </c>
      <c r="D51" s="45" t="e">
        <f ca="1">_xll.RiskTriang(E51,F51,G51)</f>
        <v>#NAME?</v>
      </c>
      <c r="E51" s="78">
        <v>9</v>
      </c>
      <c r="F51" s="77">
        <v>11</v>
      </c>
      <c r="G51" s="78">
        <v>13</v>
      </c>
      <c r="H51" s="48" t="e">
        <f ca="1">MAX(C51+7*D51,H47+7*P51)</f>
        <v>#NAME?</v>
      </c>
      <c r="I51" s="90"/>
      <c r="J51" s="43" t="s">
        <v>80</v>
      </c>
      <c r="K51" s="20"/>
      <c r="L51" s="43"/>
      <c r="M51" s="20"/>
      <c r="N51" s="43"/>
      <c r="O51" s="21" t="s">
        <v>11</v>
      </c>
      <c r="P51" s="43" t="e">
        <f ca="1">_xll.RiskTriang($Q$49,$R$49,$S$49)</f>
        <v>#NAME?</v>
      </c>
      <c r="Q51" s="20"/>
      <c r="R51" s="43"/>
      <c r="S51" s="22"/>
      <c r="V51" s="15"/>
      <c r="W51" s="2"/>
      <c r="X51" s="15"/>
      <c r="Y51" s="15"/>
      <c r="Z51" s="15"/>
      <c r="AA51" s="15"/>
      <c r="AB51" s="2"/>
    </row>
    <row r="52" spans="2:28" x14ac:dyDescent="0.25">
      <c r="B52" s="102"/>
      <c r="C52" s="96"/>
      <c r="D52" s="100"/>
      <c r="E52" s="97"/>
      <c r="F52" s="97"/>
      <c r="G52" s="97"/>
      <c r="H52" s="96"/>
      <c r="I52" s="98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28" ht="13" x14ac:dyDescent="0.3">
      <c r="B53" s="71" t="s">
        <v>68</v>
      </c>
      <c r="C53" s="18"/>
      <c r="D53" s="45"/>
      <c r="E53" s="78"/>
      <c r="F53" s="77"/>
      <c r="G53" s="78"/>
      <c r="H53" s="48"/>
      <c r="I53" s="90"/>
      <c r="J53" s="43"/>
      <c r="K53" s="20"/>
      <c r="L53" s="43"/>
      <c r="M53" s="20"/>
      <c r="N53" s="43"/>
      <c r="O53" s="20"/>
      <c r="P53" s="43"/>
      <c r="Q53" s="20"/>
      <c r="R53" s="43"/>
      <c r="S53" s="22"/>
    </row>
    <row r="54" spans="2:28" ht="13" x14ac:dyDescent="0.3">
      <c r="B54" s="58" t="s">
        <v>71</v>
      </c>
      <c r="C54" s="18" t="e">
        <f ca="1">H51</f>
        <v>#NAME?</v>
      </c>
      <c r="D54" s="45">
        <f>F54</f>
        <v>2</v>
      </c>
      <c r="E54" s="78">
        <v>1.5</v>
      </c>
      <c r="F54" s="77">
        <v>2</v>
      </c>
      <c r="G54" s="78">
        <v>2.5</v>
      </c>
      <c r="H54" s="48" t="e">
        <f ca="1">C54+D54*7</f>
        <v>#NAME?</v>
      </c>
      <c r="I54" s="87">
        <v>0.6</v>
      </c>
      <c r="J54" s="52" t="s">
        <v>72</v>
      </c>
      <c r="K54" s="20"/>
      <c r="L54" s="43"/>
      <c r="M54" s="20"/>
      <c r="N54" s="43"/>
      <c r="O54" s="20" t="s">
        <v>18</v>
      </c>
      <c r="P54" s="43"/>
      <c r="Q54" s="20"/>
      <c r="R54" s="43"/>
      <c r="S54" s="22"/>
    </row>
    <row r="55" spans="2:28" ht="13" x14ac:dyDescent="0.3">
      <c r="B55" s="58" t="s">
        <v>73</v>
      </c>
      <c r="C55" s="18" t="e">
        <f ca="1">H54</f>
        <v>#NAME?</v>
      </c>
      <c r="D55" s="45" t="e">
        <f ca="1">_xll.RiskTriang(E55,F55,G55)</f>
        <v>#NAME?</v>
      </c>
      <c r="E55" s="78">
        <v>0.5</v>
      </c>
      <c r="F55" s="77">
        <v>2</v>
      </c>
      <c r="G55" s="78">
        <v>5</v>
      </c>
      <c r="H55" s="48" t="e">
        <f ca="1">C55+D55*7</f>
        <v>#NAME?</v>
      </c>
      <c r="I55" s="87">
        <v>0.35</v>
      </c>
      <c r="J55" s="43" t="s">
        <v>74</v>
      </c>
      <c r="K55" s="20"/>
      <c r="L55" s="43"/>
      <c r="M55" s="20"/>
      <c r="N55" s="43"/>
      <c r="O55" s="20" t="s">
        <v>18</v>
      </c>
      <c r="P55" s="43"/>
      <c r="Q55" s="20"/>
      <c r="R55" s="43"/>
      <c r="S55" s="22"/>
    </row>
    <row r="56" spans="2:28" ht="13" x14ac:dyDescent="0.3">
      <c r="B56" s="58" t="s">
        <v>75</v>
      </c>
      <c r="C56" s="18" t="e">
        <f ca="1">H55</f>
        <v>#NAME?</v>
      </c>
      <c r="D56" s="45" t="e">
        <f ca="1">_xll.RiskTriang(E56,F56,G56)</f>
        <v>#NAME?</v>
      </c>
      <c r="E56" s="78">
        <v>0.5</v>
      </c>
      <c r="F56" s="77">
        <v>1</v>
      </c>
      <c r="G56" s="78">
        <v>1.5</v>
      </c>
      <c r="H56" s="48" t="e">
        <f ca="1">C56+D56*7</f>
        <v>#NAME?</v>
      </c>
      <c r="I56" s="87">
        <v>0.05</v>
      </c>
      <c r="J56" s="43" t="s">
        <v>76</v>
      </c>
      <c r="K56" s="20"/>
      <c r="L56" s="43"/>
      <c r="M56" s="20"/>
      <c r="N56" s="43"/>
      <c r="O56" s="20" t="s">
        <v>18</v>
      </c>
      <c r="P56" s="43"/>
      <c r="Q56" s="20"/>
      <c r="R56" s="43"/>
      <c r="S56" s="22"/>
    </row>
    <row r="57" spans="2:28" x14ac:dyDescent="0.25">
      <c r="B57" s="59" t="s">
        <v>25</v>
      </c>
      <c r="C57" s="24"/>
      <c r="D57" s="46"/>
      <c r="E57" s="16"/>
      <c r="F57" s="44"/>
      <c r="G57" s="16"/>
      <c r="H57" s="49" t="e">
        <f ca="1">_xll.RiskDiscrete(H54:H56,I54:I56)</f>
        <v>#NAME?</v>
      </c>
      <c r="I57" s="89"/>
      <c r="J57" s="44"/>
      <c r="K57" s="16"/>
      <c r="L57" s="44"/>
      <c r="M57" s="16"/>
      <c r="N57" s="44"/>
      <c r="O57" s="16" t="s">
        <v>22</v>
      </c>
      <c r="P57" s="44"/>
      <c r="Q57" s="16"/>
      <c r="R57" s="44"/>
      <c r="S57" s="17"/>
    </row>
    <row r="58" spans="2:28" x14ac:dyDescent="0.25">
      <c r="B58" s="102"/>
      <c r="C58" s="18"/>
      <c r="D58" s="19"/>
      <c r="E58" s="20"/>
      <c r="F58" s="20"/>
      <c r="G58" s="20"/>
      <c r="H58" s="18"/>
      <c r="I58" s="18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2:28" ht="13" x14ac:dyDescent="0.3">
      <c r="B59" s="63" t="s">
        <v>77</v>
      </c>
      <c r="C59" s="75" t="e">
        <f ca="1">MAX(H12:H57)</f>
        <v>#NAME?</v>
      </c>
      <c r="E59" s="20"/>
      <c r="F59" s="20"/>
      <c r="G59" s="20"/>
      <c r="H59" s="18"/>
      <c r="I59" s="18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2:28" x14ac:dyDescent="0.25">
      <c r="D60" s="29"/>
    </row>
    <row r="61" spans="2:28" x14ac:dyDescent="0.25">
      <c r="C61" s="8"/>
      <c r="H61" s="8"/>
      <c r="I61" s="8"/>
    </row>
    <row r="62" spans="2:28" x14ac:dyDescent="0.25">
      <c r="C62" s="8"/>
      <c r="H62" s="8"/>
      <c r="I62" s="8"/>
    </row>
    <row r="63" spans="2:28" x14ac:dyDescent="0.25">
      <c r="C63" s="8"/>
      <c r="H63" s="8"/>
      <c r="I63" s="8"/>
    </row>
    <row r="64" spans="2:28" x14ac:dyDescent="0.25">
      <c r="C64" s="8"/>
      <c r="H64" s="8"/>
      <c r="I64" s="8"/>
    </row>
    <row r="65" spans="3:9" x14ac:dyDescent="0.25">
      <c r="C65" s="8"/>
      <c r="H65" s="8"/>
      <c r="I65" s="8"/>
    </row>
    <row r="66" spans="3:9" x14ac:dyDescent="0.25">
      <c r="C66" s="8"/>
      <c r="H66" s="8"/>
      <c r="I66" s="8"/>
    </row>
    <row r="67" spans="3:9" x14ac:dyDescent="0.25">
      <c r="C67" s="8"/>
      <c r="H67" s="8"/>
      <c r="I67" s="8"/>
    </row>
    <row r="68" spans="3:9" x14ac:dyDescent="0.25">
      <c r="C68" s="8"/>
      <c r="H68" s="8"/>
      <c r="I68" s="8"/>
    </row>
    <row r="69" spans="3:9" x14ac:dyDescent="0.25">
      <c r="C69" s="8"/>
      <c r="H69" s="8"/>
      <c r="I69" s="8"/>
    </row>
    <row r="70" spans="3:9" x14ac:dyDescent="0.25">
      <c r="C70" s="8"/>
      <c r="H70" s="8"/>
      <c r="I70" s="8"/>
    </row>
    <row r="71" spans="3:9" x14ac:dyDescent="0.25">
      <c r="C71" s="8"/>
      <c r="H71" s="8"/>
      <c r="I71" s="8"/>
    </row>
    <row r="72" spans="3:9" x14ac:dyDescent="0.25">
      <c r="C72" s="8"/>
      <c r="H72" s="8"/>
      <c r="I72" s="8"/>
    </row>
    <row r="73" spans="3:9" x14ac:dyDescent="0.25">
      <c r="C73" s="8"/>
      <c r="H73" s="8"/>
      <c r="I73" s="8"/>
    </row>
    <row r="74" spans="3:9" x14ac:dyDescent="0.25">
      <c r="C74" s="8"/>
      <c r="H74" s="8"/>
      <c r="I74" s="8"/>
    </row>
    <row r="75" spans="3:9" x14ac:dyDescent="0.25">
      <c r="C75" s="8"/>
      <c r="H75" s="8"/>
      <c r="I75" s="8"/>
    </row>
    <row r="76" spans="3:9" x14ac:dyDescent="0.25">
      <c r="C76" s="8"/>
      <c r="H76" s="8"/>
      <c r="I76" s="8"/>
    </row>
    <row r="77" spans="3:9" x14ac:dyDescent="0.25">
      <c r="C77" s="8"/>
    </row>
    <row r="78" spans="3:9" x14ac:dyDescent="0.25">
      <c r="C78" s="8"/>
    </row>
    <row r="79" spans="3:9" x14ac:dyDescent="0.25">
      <c r="C79" s="8"/>
    </row>
    <row r="80" spans="3:9" x14ac:dyDescent="0.25">
      <c r="C80" s="8"/>
    </row>
  </sheetData>
  <mergeCells count="3">
    <mergeCell ref="AA9:AA10"/>
    <mergeCell ref="I9:I10"/>
    <mergeCell ref="B4:I5"/>
  </mergeCells>
  <phoneticPr fontId="5" type="noConversion"/>
  <printOptions horizontalCentered="1" verticalCentered="1" headings="1"/>
  <pageMargins left="0.75" right="0.75" top="1" bottom="1" header="0.5" footer="0.5"/>
  <pageSetup paperSize="9" scale="52" orientation="portrait" horizontalDpi="4294967292" verticalDpi="300" r:id="rId1"/>
  <headerFooter alignWithMargins="0">
    <oddHeader>&amp;CFigure 13.9a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and schedule</vt:lpstr>
      <vt:lpstr>'Cost and schedule'!Print_Area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1999-07-27T17:54:11Z</cp:lastPrinted>
  <dcterms:created xsi:type="dcterms:W3CDTF">2003-08-25T20:53:09Z</dcterms:created>
  <dcterms:modified xsi:type="dcterms:W3CDTF">2017-09-22T16:20:03Z</dcterms:modified>
  <cp:category/>
</cp:coreProperties>
</file>