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0550" windowHeight="6030"/>
  </bookViews>
  <sheets>
    <sheet name="Market growth model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ostSuperlaunch">'Market growth model'!$C$12</definedName>
    <definedName name="IfSuperlaunch">'Market growth model'!$C$15</definedName>
    <definedName name="ra">'Market growth model'!$F$14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2</definedName>
    <definedName name="RiskPauseOnError" hidden="1">FALSE</definedName>
    <definedName name="RiskRealTimeResults">FALSE</definedName>
    <definedName name="RiskReportGraphFormat">0</definedName>
    <definedName name="RiskResultsUpdateFreq">10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71027" calcMode="manual"/>
</workbook>
</file>

<file path=xl/calcChain.xml><?xml version="1.0" encoding="utf-8"?>
<calcChain xmlns="http://schemas.openxmlformats.org/spreadsheetml/2006/main">
  <c r="B19" i="1" l="1"/>
  <c r="B20" i="1" s="1"/>
  <c r="B4" i="1"/>
  <c r="C10" i="1"/>
  <c r="E19" i="1"/>
  <c r="C9" i="1"/>
  <c r="AN18" i="1"/>
  <c r="F10" i="1"/>
  <c r="F8" i="1"/>
  <c r="C11" i="1"/>
  <c r="C7" i="1"/>
  <c r="C15" i="1"/>
  <c r="F9" i="1"/>
  <c r="K23" i="1" l="1"/>
  <c r="K19" i="1"/>
  <c r="G19" i="1"/>
  <c r="G20" i="1"/>
  <c r="B21" i="1"/>
  <c r="B22" i="1" s="1"/>
  <c r="K21" i="1"/>
  <c r="K28" i="1"/>
  <c r="K27" i="1"/>
  <c r="K20" i="1"/>
  <c r="K24" i="1"/>
  <c r="G21" i="1"/>
  <c r="K22" i="1"/>
  <c r="K25" i="1"/>
  <c r="K26" i="1"/>
  <c r="T19" i="1"/>
  <c r="F11" i="1"/>
  <c r="C20" i="1"/>
  <c r="C8" i="1"/>
  <c r="C13" i="1" l="1"/>
  <c r="F19" i="1" s="1"/>
  <c r="H19" i="1" s="1"/>
  <c r="I19" i="1" s="1"/>
  <c r="D20" i="1"/>
  <c r="D21" i="1" s="1"/>
  <c r="L19" i="1"/>
  <c r="M19" i="1" s="1"/>
  <c r="F20" i="1"/>
  <c r="H20" i="1" s="1"/>
  <c r="I20" i="1" s="1"/>
  <c r="B23" i="1"/>
  <c r="G22" i="1"/>
  <c r="D22" i="1"/>
  <c r="O19" i="1"/>
  <c r="P19" i="1"/>
  <c r="N19" i="1"/>
  <c r="L20" i="1"/>
  <c r="F21" i="1"/>
  <c r="H21" i="1" s="1"/>
  <c r="I21" i="1" s="1"/>
  <c r="E21" i="1"/>
  <c r="E20" i="1"/>
  <c r="B24" i="1" l="1"/>
  <c r="G23" i="1"/>
  <c r="J20" i="1"/>
  <c r="M20" i="1" s="1"/>
  <c r="U20" i="1"/>
  <c r="U21" i="1" s="1"/>
  <c r="L21" i="1"/>
  <c r="F22" i="1"/>
  <c r="H22" i="1" s="1"/>
  <c r="I22" i="1" s="1"/>
  <c r="D23" i="1"/>
  <c r="N20" i="1"/>
  <c r="P20" i="1"/>
  <c r="O20" i="1"/>
  <c r="Q19" i="1"/>
  <c r="C21" i="1"/>
  <c r="E22" i="1"/>
  <c r="R19" i="1" l="1"/>
  <c r="S19" i="1" s="1"/>
  <c r="V19" i="1" s="1"/>
  <c r="W19" i="1" s="1"/>
  <c r="J21" i="1"/>
  <c r="G24" i="1"/>
  <c r="B25" i="1"/>
  <c r="J22" i="1"/>
  <c r="M21" i="1"/>
  <c r="L22" i="1"/>
  <c r="F23" i="1"/>
  <c r="H23" i="1" s="1"/>
  <c r="I23" i="1" s="1"/>
  <c r="P21" i="1"/>
  <c r="O21" i="1"/>
  <c r="N21" i="1"/>
  <c r="U22" i="1"/>
  <c r="D24" i="1"/>
  <c r="C22" i="1"/>
  <c r="Q20" i="1"/>
  <c r="E23" i="1"/>
  <c r="R20" i="1" l="1"/>
  <c r="S20" i="1" s="1"/>
  <c r="V20" i="1" s="1"/>
  <c r="W20" i="1" s="1"/>
  <c r="G25" i="1"/>
  <c r="B26" i="1"/>
  <c r="L23" i="1"/>
  <c r="F24" i="1"/>
  <c r="H24" i="1" s="1"/>
  <c r="I24" i="1" s="1"/>
  <c r="D25" i="1"/>
  <c r="P22" i="1"/>
  <c r="O22" i="1"/>
  <c r="N22" i="1"/>
  <c r="M22" i="1"/>
  <c r="J23" i="1"/>
  <c r="U23" i="1"/>
  <c r="Q21" i="1"/>
  <c r="E24" i="1"/>
  <c r="C23" i="1"/>
  <c r="R21" i="1" l="1"/>
  <c r="S21" i="1" s="1"/>
  <c r="V21" i="1" s="1"/>
  <c r="W21" i="1" s="1"/>
  <c r="B27" i="1"/>
  <c r="G26" i="1"/>
  <c r="D26" i="1"/>
  <c r="O23" i="1"/>
  <c r="P23" i="1"/>
  <c r="N23" i="1"/>
  <c r="U24" i="1"/>
  <c r="J24" i="1"/>
  <c r="M23" i="1"/>
  <c r="F25" i="1"/>
  <c r="H25" i="1" s="1"/>
  <c r="I25" i="1" s="1"/>
  <c r="L24" i="1"/>
  <c r="C24" i="1"/>
  <c r="Q22" i="1"/>
  <c r="E25" i="1"/>
  <c r="R22" i="1" l="1"/>
  <c r="S22" i="1" s="1"/>
  <c r="V22" i="1" s="1"/>
  <c r="W22" i="1" s="1"/>
  <c r="U25" i="1"/>
  <c r="G27" i="1"/>
  <c r="B28" i="1"/>
  <c r="G28" i="1" s="1"/>
  <c r="D27" i="1"/>
  <c r="N24" i="1"/>
  <c r="O24" i="1"/>
  <c r="P24" i="1"/>
  <c r="J25" i="1"/>
  <c r="M24" i="1"/>
  <c r="F26" i="1"/>
  <c r="H26" i="1" s="1"/>
  <c r="I26" i="1" s="1"/>
  <c r="L25" i="1"/>
  <c r="C25" i="1"/>
  <c r="E26" i="1"/>
  <c r="Q23" i="1"/>
  <c r="R23" i="1" l="1"/>
  <c r="S23" i="1" s="1"/>
  <c r="V23" i="1" s="1"/>
  <c r="W23" i="1" s="1"/>
  <c r="U26" i="1"/>
  <c r="N25" i="1"/>
  <c r="O25" i="1"/>
  <c r="P25" i="1"/>
  <c r="F27" i="1"/>
  <c r="H27" i="1" s="1"/>
  <c r="I27" i="1" s="1"/>
  <c r="L26" i="1"/>
  <c r="M25" i="1"/>
  <c r="J26" i="1"/>
  <c r="D28" i="1"/>
  <c r="E28" i="1"/>
  <c r="Q24" i="1"/>
  <c r="E27" i="1"/>
  <c r="C26" i="1"/>
  <c r="R24" i="1" l="1"/>
  <c r="S24" i="1" s="1"/>
  <c r="V24" i="1" s="1"/>
  <c r="W24" i="1" s="1"/>
  <c r="P26" i="1"/>
  <c r="N26" i="1"/>
  <c r="O26" i="1"/>
  <c r="M26" i="1"/>
  <c r="J27" i="1"/>
  <c r="F28" i="1"/>
  <c r="H28" i="1" s="1"/>
  <c r="I28" i="1" s="1"/>
  <c r="L28" i="1" s="1"/>
  <c r="L27" i="1"/>
  <c r="U27" i="1"/>
  <c r="U28" i="1" s="1"/>
  <c r="C27" i="1"/>
  <c r="Q25" i="1"/>
  <c r="R25" i="1" l="1"/>
  <c r="S25" i="1" s="1"/>
  <c r="V25" i="1" s="1"/>
  <c r="W25" i="1" s="1"/>
  <c r="M27" i="1"/>
  <c r="J28" i="1"/>
  <c r="M28" i="1" s="1"/>
  <c r="O27" i="1"/>
  <c r="P27" i="1"/>
  <c r="N27" i="1"/>
  <c r="P28" i="1"/>
  <c r="O28" i="1"/>
  <c r="N28" i="1"/>
  <c r="C28" i="1"/>
  <c r="Q26" i="1"/>
  <c r="R26" i="1" l="1"/>
  <c r="S26" i="1" s="1"/>
  <c r="V26" i="1" s="1"/>
  <c r="W26" i="1" s="1"/>
  <c r="Q28" i="1"/>
  <c r="Q27" i="1"/>
  <c r="R27" i="1" l="1"/>
  <c r="S27" i="1" s="1"/>
  <c r="V27" i="1" s="1"/>
  <c r="W27" i="1" s="1"/>
  <c r="R28" i="1"/>
  <c r="S28" i="1" s="1"/>
  <c r="V28" i="1" s="1"/>
  <c r="W28" i="1" s="1"/>
  <c r="C16" i="1"/>
</calcChain>
</file>

<file path=xl/comments1.xml><?xml version="1.0" encoding="utf-8"?>
<comments xmlns="http://schemas.openxmlformats.org/spreadsheetml/2006/main">
  <authors>
    <author>Timour Koupeev</author>
    <author>A satisfied Microsoft Office user</author>
  </authors>
  <commentList>
    <comment ref="C15" authorId="0" shapeId="0">
      <text>
        <r>
          <rPr>
            <sz val="8"/>
            <color indexed="81"/>
            <rFont val="Tahoma"/>
            <family val="2"/>
          </rPr>
          <t>0=launch
1=super-launch</t>
        </r>
      </text>
    </comment>
    <comment ref="D18" authorId="1" shapeId="0">
      <text>
        <r>
          <rPr>
            <sz val="8"/>
            <color indexed="81"/>
            <rFont val="Tahoma"/>
            <family val="2"/>
          </rPr>
          <t>Calculated multiplicaitvely.
Linear growth.</t>
        </r>
      </text>
    </comment>
    <comment ref="F18" authorId="1" shapeId="0">
      <text>
        <r>
          <rPr>
            <sz val="8"/>
            <color indexed="81"/>
            <rFont val="Tahoma"/>
            <family val="2"/>
          </rPr>
          <t xml:space="preserve">Start with base units from last year
</t>
        </r>
      </text>
    </comment>
    <comment ref="J18" authorId="1" shapeId="0">
      <text>
        <r>
          <rPr>
            <sz val="8"/>
            <color indexed="81"/>
            <rFont val="Tahoma"/>
            <family val="2"/>
          </rPr>
          <t xml:space="preserve">Last year's price inflated (US inflation).
</t>
        </r>
      </text>
    </comment>
    <comment ref="K18" authorId="1" shapeId="0">
      <text>
        <r>
          <rPr>
            <sz val="8"/>
            <color indexed="81"/>
            <rFont val="Tahoma"/>
            <family val="2"/>
          </rPr>
          <t xml:space="preserve">Own brand grows to sustainable level in years 1-5
</t>
        </r>
      </text>
    </comment>
  </commentList>
</comments>
</file>

<file path=xl/sharedStrings.xml><?xml version="1.0" encoding="utf-8"?>
<sst xmlns="http://schemas.openxmlformats.org/spreadsheetml/2006/main" count="45" uniqueCount="45">
  <si>
    <t xml:space="preserve">Sales </t>
  </si>
  <si>
    <t>Min</t>
  </si>
  <si>
    <t>Most likely</t>
  </si>
  <si>
    <t>Max</t>
  </si>
  <si>
    <t>Own brand end</t>
  </si>
  <si>
    <t>Initial units %, vol.</t>
  </si>
  <si>
    <t>Inflation:</t>
  </si>
  <si>
    <t>A</t>
  </si>
  <si>
    <t>B</t>
  </si>
  <si>
    <t>C</t>
  </si>
  <si>
    <t>Sample:</t>
  </si>
  <si>
    <t>Year</t>
  </si>
  <si>
    <t>Exchange rate</t>
  </si>
  <si>
    <t>Inflation UK</t>
  </si>
  <si>
    <t>Inflation US</t>
  </si>
  <si>
    <t>Units growth fraction</t>
  </si>
  <si>
    <t>US Price</t>
  </si>
  <si>
    <t>Own brand%</t>
  </si>
  <si>
    <t>OB min</t>
  </si>
  <si>
    <t>OB likely</t>
  </si>
  <si>
    <t>OB max</t>
  </si>
  <si>
    <t>OB cost (£)</t>
  </si>
  <si>
    <t>Own brand profit ($)</t>
  </si>
  <si>
    <t>Total profit</t>
  </si>
  <si>
    <t>Capex</t>
  </si>
  <si>
    <t>Fixed costs</t>
  </si>
  <si>
    <t>Cashflow(£)</t>
  </si>
  <si>
    <t>DCF (£)</t>
  </si>
  <si>
    <t>Market growth model</t>
  </si>
  <si>
    <t>Cost of production</t>
  </si>
  <si>
    <t>Launch or Superlaunch</t>
  </si>
  <si>
    <t>Cost Superlaunch $</t>
  </si>
  <si>
    <t>Own brand start</t>
  </si>
  <si>
    <t>Cost - proprietary, $</t>
  </si>
  <si>
    <t>Initial volume</t>
  </si>
  <si>
    <t>Sales growth lambda</t>
  </si>
  <si>
    <t>NPV £</t>
  </si>
  <si>
    <t>Eventual volume 000s</t>
  </si>
  <si>
    <t>Base units 000s</t>
  </si>
  <si>
    <t>Units growth 000s</t>
  </si>
  <si>
    <t>Total units 000s</t>
  </si>
  <si>
    <t>Own brand volume 000s</t>
  </si>
  <si>
    <t>Proprietary profit</t>
  </si>
  <si>
    <t>Discount rate</t>
  </si>
  <si>
    <t>Run two simulations to review both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</si>
</sst>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0.00000"/>
    <numFmt numFmtId="168" formatCode="#,##0.00_ ;\-#,##0.00\ "/>
    <numFmt numFmtId="169" formatCode="_-* #,##0.000_-;\-* #,##0.000_-;_-* &quot;-&quot;??_-;_-@_-"/>
  </numFmts>
  <fonts count="15" x14ac:knownFonts="1">
    <font>
      <sz val="11"/>
      <name val="Arial"/>
    </font>
    <font>
      <sz val="11"/>
      <name val="Arial"/>
      <family val="2"/>
    </font>
    <font>
      <sz val="9"/>
      <name val="Arial"/>
      <family val="2"/>
    </font>
    <font>
      <sz val="7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9"/>
      <color indexed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5" fillId="0" borderId="0" xfId="0" applyFont="1" applyAlignment="1">
      <alignment wrapText="1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0" fontId="0" fillId="0" borderId="0" xfId="0" applyFill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10" fontId="12" fillId="0" borderId="1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distributed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3" xfId="2" applyFont="1" applyBorder="1" applyAlignment="1">
      <alignment horizontal="center"/>
    </xf>
    <xf numFmtId="9" fontId="2" fillId="0" borderId="4" xfId="2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168" fontId="2" fillId="0" borderId="3" xfId="1" applyNumberFormat="1" applyFont="1" applyBorder="1" applyAlignment="1">
      <alignment horizontal="center"/>
    </xf>
    <xf numFmtId="168" fontId="2" fillId="0" borderId="4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0" fontId="12" fillId="0" borderId="6" xfId="2" applyNumberFormat="1" applyFont="1" applyFill="1" applyBorder="1" applyAlignment="1">
      <alignment horizontal="center"/>
    </xf>
    <xf numFmtId="0" fontId="12" fillId="0" borderId="6" xfId="0" applyFont="1" applyFill="1" applyBorder="1"/>
    <xf numFmtId="1" fontId="12" fillId="0" borderId="2" xfId="0" applyNumberFormat="1" applyFont="1" applyFill="1" applyBorder="1" applyAlignment="1">
      <alignment horizontal="center"/>
    </xf>
    <xf numFmtId="1" fontId="10" fillId="0" borderId="2" xfId="0" applyNumberFormat="1" applyFont="1" applyFill="1" applyBorder="1" applyAlignment="1">
      <alignment horizontal="center"/>
    </xf>
    <xf numFmtId="166" fontId="12" fillId="0" borderId="2" xfId="1" applyNumberFormat="1" applyFont="1" applyFill="1" applyBorder="1" applyAlignment="1">
      <alignment horizontal="center"/>
    </xf>
    <xf numFmtId="167" fontId="12" fillId="0" borderId="2" xfId="0" applyNumberFormat="1" applyFont="1" applyFill="1" applyBorder="1" applyAlignment="1">
      <alignment horizontal="center"/>
    </xf>
    <xf numFmtId="165" fontId="12" fillId="0" borderId="2" xfId="2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0" fillId="3" borderId="2" xfId="0" applyFont="1" applyFill="1" applyBorder="1"/>
    <xf numFmtId="0" fontId="10" fillId="3" borderId="10" xfId="0" applyFont="1" applyFill="1" applyBorder="1"/>
    <xf numFmtId="0" fontId="10" fillId="0" borderId="1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10" fillId="0" borderId="5" xfId="2" applyNumberFormat="1" applyFont="1" applyFill="1" applyBorder="1" applyAlignment="1">
      <alignment horizontal="center"/>
    </xf>
    <xf numFmtId="166" fontId="13" fillId="0" borderId="12" xfId="1" applyNumberFormat="1" applyFont="1" applyBorder="1"/>
    <xf numFmtId="166" fontId="2" fillId="0" borderId="3" xfId="1" applyNumberFormat="1" applyFont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10" fontId="12" fillId="0" borderId="6" xfId="0" applyNumberFormat="1" applyFont="1" applyFill="1" applyBorder="1"/>
    <xf numFmtId="1" fontId="2" fillId="4" borderId="3" xfId="0" applyNumberFormat="1" applyFont="1" applyFill="1" applyBorder="1" applyAlignment="1">
      <alignment horizontal="center"/>
    </xf>
    <xf numFmtId="169" fontId="2" fillId="0" borderId="3" xfId="1" applyNumberFormat="1" applyFont="1" applyBorder="1" applyAlignment="1">
      <alignment horizontal="center"/>
    </xf>
    <xf numFmtId="169" fontId="2" fillId="0" borderId="4" xfId="1" applyNumberFormat="1" applyFont="1" applyBorder="1" applyAlignment="1">
      <alignment horizontal="center"/>
    </xf>
    <xf numFmtId="0" fontId="10" fillId="5" borderId="13" xfId="0" applyFont="1" applyFill="1" applyBorder="1" applyAlignment="1">
      <alignment horizontal="left" vertical="distributed" wrapText="1"/>
    </xf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0" borderId="18" xfId="0" applyFont="1" applyBorder="1"/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units</a:t>
            </a:r>
          </a:p>
        </c:rich>
      </c:tx>
      <c:layout>
        <c:manualLayout>
          <c:xMode val="edge"/>
          <c:yMode val="edge"/>
          <c:x val="0.39310352334990384"/>
          <c:y val="2.6881537195910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17241379310345"/>
          <c:y val="0.14516205247213371"/>
          <c:w val="0.78965517241379313"/>
          <c:h val="0.715057517733103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'Market growth model'!$B$19:$B$28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model'!$I$19:$I$28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4-4020-B636-4FA6B4A0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97392"/>
        <c:axId val="1"/>
      </c:scatterChart>
      <c:valAx>
        <c:axId val="71829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200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297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Exchange rate</a:t>
            </a:r>
          </a:p>
        </c:rich>
      </c:tx>
      <c:layout>
        <c:manualLayout>
          <c:xMode val="edge"/>
          <c:yMode val="edge"/>
          <c:x val="0.35395311792922435"/>
          <c:y val="2.67378244386118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9394361423302"/>
          <c:y val="0.1390377962007964"/>
          <c:w val="0.80412640989586659"/>
          <c:h val="0.7379698413734577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'Market growth model'!$B$19:$B$28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model'!$C$19:$C$28</c:f>
              <c:numCache>
                <c:formatCode>_-* #,##0.000_-;\-* #,##0.000_-;_-* "-"??_-;_-@_-</c:formatCode>
                <c:ptCount val="10"/>
                <c:pt idx="0">
                  <c:v>0.62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2-48CD-8D33-C645C2E8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95424"/>
        <c:axId val="1"/>
      </c:scatterChart>
      <c:valAx>
        <c:axId val="7182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_-* #,##0.000_-;\-* #,##0.00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295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Proprietary profit</a:t>
            </a:r>
          </a:p>
        </c:rich>
      </c:tx>
      <c:layout>
        <c:manualLayout>
          <c:xMode val="edge"/>
          <c:yMode val="edge"/>
          <c:x val="0.32876772554460443"/>
          <c:y val="2.65955777668012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3046913538959"/>
          <c:y val="0.13829787234042554"/>
          <c:w val="0.7465765908881884"/>
          <c:h val="0.7393617021276596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'Market growth model'!$B$19:$B$28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model'!$M$19:$M$28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C-4D43-A378-B70954FC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04200"/>
        <c:axId val="1"/>
      </c:scatterChart>
      <c:valAx>
        <c:axId val="58950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000000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504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Own brand profit</a:t>
            </a:r>
          </a:p>
        </c:rich>
      </c:tx>
      <c:layout>
        <c:manualLayout>
          <c:xMode val="edge"/>
          <c:yMode val="edge"/>
          <c:x val="0.34202019856213622"/>
          <c:y val="2.6454955998147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92538191766006"/>
          <c:y val="0.13756684837367919"/>
          <c:w val="0.75895886184163441"/>
          <c:h val="0.7407445681659647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'Market growth model'!$B$19:$B$28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model'!$R$19:$R$28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A-486D-87DA-1EAE7AE8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25416"/>
        <c:axId val="1"/>
      </c:scatterChart>
      <c:valAx>
        <c:axId val="42812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000000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125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profit</a:t>
            </a:r>
          </a:p>
        </c:rich>
      </c:tx>
      <c:layout>
        <c:manualLayout>
          <c:xMode val="edge"/>
          <c:yMode val="edge"/>
          <c:x val="0.40303165545602349"/>
          <c:y val="2.63158802230013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490318685839"/>
          <c:y val="0.13684245693476801"/>
          <c:w val="0.7666689354549463"/>
          <c:h val="0.742107170300088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'Market growth model'!$B$19:$B$28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model'!$S$19:$S$28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4510-8167-7B9F944A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26728"/>
        <c:axId val="1"/>
      </c:scatterChart>
      <c:valAx>
        <c:axId val="42812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8000000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126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DCF £</a:t>
            </a:r>
          </a:p>
        </c:rich>
      </c:tx>
      <c:layout>
        <c:manualLayout>
          <c:xMode val="edge"/>
          <c:yMode val="edge"/>
          <c:x val="0.44444581609502204"/>
          <c:y val="2.617780959198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00062004160479"/>
          <c:y val="0.13612565445026178"/>
          <c:w val="0.74920867190188467"/>
          <c:h val="0.8062827225130889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'Market growth model'!$B$19:$B$28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model'!$W$19:$W$28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A-415C-994C-87841CA3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48312"/>
        <c:axId val="1"/>
      </c:scatterChart>
      <c:valAx>
        <c:axId val="71814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148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hyperlink" Target="http://www.epixanalytics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4</xdr:col>
      <xdr:colOff>38100</xdr:colOff>
      <xdr:row>41</xdr:row>
      <xdr:rowOff>63500</xdr:rowOff>
    </xdr:to>
    <xdr:graphicFrame macro="">
      <xdr:nvGraphicFramePr>
        <xdr:cNvPr id="1216" name="Chart 107">
          <a:extLst>
            <a:ext uri="{FF2B5EF4-FFF2-40B4-BE49-F238E27FC236}">
              <a16:creationId xmlns:a16="http://schemas.microsoft.com/office/drawing/2014/main" id="{46F10E5B-50B5-4F3F-BF70-204B5F646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30</xdr:row>
      <xdr:rowOff>6350</xdr:rowOff>
    </xdr:from>
    <xdr:to>
      <xdr:col>7</xdr:col>
      <xdr:colOff>457200</xdr:colOff>
      <xdr:row>41</xdr:row>
      <xdr:rowOff>82550</xdr:rowOff>
    </xdr:to>
    <xdr:graphicFrame macro="">
      <xdr:nvGraphicFramePr>
        <xdr:cNvPr id="1217" name="Chart 112">
          <a:extLst>
            <a:ext uri="{FF2B5EF4-FFF2-40B4-BE49-F238E27FC236}">
              <a16:creationId xmlns:a16="http://schemas.microsoft.com/office/drawing/2014/main" id="{C7824A03-4D1D-4344-ADEB-0C7C0B31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30</xdr:row>
      <xdr:rowOff>6350</xdr:rowOff>
    </xdr:from>
    <xdr:to>
      <xdr:col>11</xdr:col>
      <xdr:colOff>571500</xdr:colOff>
      <xdr:row>41</xdr:row>
      <xdr:rowOff>88900</xdr:rowOff>
    </xdr:to>
    <xdr:graphicFrame macro="">
      <xdr:nvGraphicFramePr>
        <xdr:cNvPr id="1218" name="Chart 113">
          <a:extLst>
            <a:ext uri="{FF2B5EF4-FFF2-40B4-BE49-F238E27FC236}">
              <a16:creationId xmlns:a16="http://schemas.microsoft.com/office/drawing/2014/main" id="{675E41A4-A7F6-47E8-A7C1-CBCDC5337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</xdr:colOff>
      <xdr:row>30</xdr:row>
      <xdr:rowOff>0</xdr:rowOff>
    </xdr:from>
    <xdr:to>
      <xdr:col>16</xdr:col>
      <xdr:colOff>622300</xdr:colOff>
      <xdr:row>41</xdr:row>
      <xdr:rowOff>88900</xdr:rowOff>
    </xdr:to>
    <xdr:graphicFrame macro="">
      <xdr:nvGraphicFramePr>
        <xdr:cNvPr id="1219" name="Chart 114">
          <a:extLst>
            <a:ext uri="{FF2B5EF4-FFF2-40B4-BE49-F238E27FC236}">
              <a16:creationId xmlns:a16="http://schemas.microsoft.com/office/drawing/2014/main" id="{537B27CA-0258-4F0C-992D-EEBB3F2C6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63500</xdr:colOff>
      <xdr:row>30</xdr:row>
      <xdr:rowOff>0</xdr:rowOff>
    </xdr:from>
    <xdr:to>
      <xdr:col>20</xdr:col>
      <xdr:colOff>673100</xdr:colOff>
      <xdr:row>41</xdr:row>
      <xdr:rowOff>101600</xdr:rowOff>
    </xdr:to>
    <xdr:graphicFrame macro="">
      <xdr:nvGraphicFramePr>
        <xdr:cNvPr id="1220" name="Chart 115">
          <a:extLst>
            <a:ext uri="{FF2B5EF4-FFF2-40B4-BE49-F238E27FC236}">
              <a16:creationId xmlns:a16="http://schemas.microsoft.com/office/drawing/2014/main" id="{FF8005FD-4FB9-4837-83E6-F6510C3A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57150</xdr:colOff>
      <xdr:row>30</xdr:row>
      <xdr:rowOff>0</xdr:rowOff>
    </xdr:from>
    <xdr:to>
      <xdr:col>25</xdr:col>
      <xdr:colOff>31750</xdr:colOff>
      <xdr:row>41</xdr:row>
      <xdr:rowOff>107950</xdr:rowOff>
    </xdr:to>
    <xdr:graphicFrame macro="">
      <xdr:nvGraphicFramePr>
        <xdr:cNvPr id="1221" name="Chart 116">
          <a:extLst>
            <a:ext uri="{FF2B5EF4-FFF2-40B4-BE49-F238E27FC236}">
              <a16:creationId xmlns:a16="http://schemas.microsoft.com/office/drawing/2014/main" id="{FF38F6E1-FD63-451E-8A4E-7326427AF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457200</xdr:colOff>
      <xdr:row>1</xdr:row>
      <xdr:rowOff>177800</xdr:rowOff>
    </xdr:to>
    <xdr:pic>
      <xdr:nvPicPr>
        <xdr:cNvPr id="3" name="Picture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8B02E48-6F5F-435D-83AC-61CF1ECE4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0"/>
          <a:ext cx="25019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N33"/>
  <sheetViews>
    <sheetView showGridLines="0" tabSelected="1" workbookViewId="0"/>
  </sheetViews>
  <sheetFormatPr defaultColWidth="9" defaultRowHeight="11.5" x14ac:dyDescent="0.25"/>
  <cols>
    <col min="1" max="1" width="2.58203125" style="1" customWidth="1"/>
    <col min="2" max="2" width="16.75" style="1" customWidth="1"/>
    <col min="3" max="3" width="10.08203125" style="1" customWidth="1"/>
    <col min="4" max="4" width="8.83203125" style="1" bestFit="1" customWidth="1"/>
    <col min="5" max="5" width="13.83203125" style="1" customWidth="1"/>
    <col min="6" max="6" width="8.33203125" style="1" bestFit="1" customWidth="1"/>
    <col min="7" max="8" width="9.83203125" style="1" bestFit="1" customWidth="1"/>
    <col min="9" max="9" width="8.25" style="1" bestFit="1" customWidth="1"/>
    <col min="10" max="10" width="8.58203125" style="1" bestFit="1" customWidth="1"/>
    <col min="11" max="11" width="9.75" style="1" bestFit="1" customWidth="1"/>
    <col min="12" max="12" width="10.33203125" style="1" customWidth="1"/>
    <col min="13" max="13" width="10.83203125" style="1" bestFit="1" customWidth="1"/>
    <col min="14" max="14" width="6" style="1" bestFit="1" customWidth="1"/>
    <col min="15" max="15" width="7" style="1" bestFit="1" customWidth="1"/>
    <col min="16" max="16" width="6.5" style="1" bestFit="1" customWidth="1"/>
    <col min="17" max="17" width="8.75" style="1" bestFit="1" customWidth="1"/>
    <col min="18" max="18" width="10.83203125" style="1" bestFit="1" customWidth="1"/>
    <col min="19" max="19" width="11.75" style="1" bestFit="1" customWidth="1"/>
    <col min="20" max="20" width="10.58203125" style="1" customWidth="1"/>
    <col min="21" max="23" width="10.83203125" style="1" bestFit="1" customWidth="1"/>
    <col min="24" max="16384" width="9" style="1"/>
  </cols>
  <sheetData>
    <row r="1" spans="2:37" s="6" customFormat="1" ht="93.75" customHeight="1" x14ac:dyDescent="0.3"/>
    <row r="2" spans="2:37" s="6" customFormat="1" ht="17.25" customHeight="1" x14ac:dyDescent="0.4">
      <c r="E2" s="7" t="s">
        <v>28</v>
      </c>
      <c r="F2" s="7"/>
    </row>
    <row r="3" spans="2:37" s="6" customFormat="1" ht="15" customHeight="1" thickBot="1" x14ac:dyDescent="0.4">
      <c r="E3" s="8"/>
    </row>
    <row r="4" spans="2:37" s="6" customFormat="1" ht="12.75" customHeight="1" x14ac:dyDescent="0.3">
      <c r="B4" s="57" t="str">
        <f ca="1">CONCATENATE("Problem: You are asked to determine an NPV for 10 years of cashflow (with no residual value, e.g. lease end), discounted at 8.5% on revenue converted back to sterling, for a new store in Times Square, New York to be opened in ",YEAR(TODAY())+1)</f>
        <v>Problem: You are asked to determine an NPV for 10 years of cashflow (with no residual value, e.g. lease end), discounted at 8.5% on revenue converted back to sterling, for a new store in Times Square, New York to be opened in 2018</v>
      </c>
      <c r="C4" s="58"/>
      <c r="D4" s="58"/>
      <c r="E4" s="58"/>
      <c r="F4" s="58"/>
      <c r="G4" s="58"/>
      <c r="H4" s="58"/>
      <c r="I4" s="59"/>
    </row>
    <row r="5" spans="2:37" s="6" customFormat="1" ht="12.75" customHeight="1" thickBot="1" x14ac:dyDescent="0.35">
      <c r="B5" s="60"/>
      <c r="C5" s="61"/>
      <c r="D5" s="61"/>
      <c r="E5" s="61"/>
      <c r="F5" s="61"/>
      <c r="G5" s="61"/>
      <c r="H5" s="61"/>
      <c r="I5" s="62"/>
    </row>
    <row r="6" spans="2:37" ht="13" x14ac:dyDescent="0.3">
      <c r="D6" s="10"/>
    </row>
    <row r="7" spans="2:37" ht="13" x14ac:dyDescent="0.3">
      <c r="B7" s="43" t="s">
        <v>37</v>
      </c>
      <c r="C7" s="34" t="e">
        <f ca="1">_xll.RiskPert(650000,800000,1090000)/1000</f>
        <v>#NAME?</v>
      </c>
      <c r="D7" s="10"/>
      <c r="E7" s="63" t="s">
        <v>6</v>
      </c>
      <c r="F7" s="65"/>
      <c r="H7" s="25"/>
      <c r="I7" s="63" t="s">
        <v>29</v>
      </c>
      <c r="J7" s="64"/>
      <c r="K7" s="65"/>
    </row>
    <row r="8" spans="2:37" ht="14" x14ac:dyDescent="0.3">
      <c r="B8" s="43" t="s">
        <v>5</v>
      </c>
      <c r="C8" s="38" t="e">
        <f ca="1">(1-IfSuperlaunch)*_xll.RiskPert(35%,40%,50%)+IfSuperlaunch*_xll.RiskPert(62%,65%,69%)</f>
        <v>#NAME?</v>
      </c>
      <c r="D8" s="10"/>
      <c r="E8" s="44" t="s">
        <v>7</v>
      </c>
      <c r="F8" s="13" t="e">
        <f ca="1">_xll.RiskPert(0.007,0.009,0.01)</f>
        <v>#NAME?</v>
      </c>
      <c r="H8" s="30" t="s">
        <v>0</v>
      </c>
      <c r="I8" s="30" t="s">
        <v>1</v>
      </c>
      <c r="J8" s="30" t="s">
        <v>2</v>
      </c>
      <c r="K8" s="31" t="s">
        <v>3</v>
      </c>
      <c r="M8" s="2"/>
      <c r="N8" s="2"/>
      <c r="AE8"/>
      <c r="AF8"/>
      <c r="AG8"/>
      <c r="AH8"/>
      <c r="AI8"/>
      <c r="AJ8"/>
      <c r="AK8"/>
    </row>
    <row r="9" spans="2:37" ht="14" x14ac:dyDescent="0.3">
      <c r="B9" s="43" t="s">
        <v>35</v>
      </c>
      <c r="C9" s="37" t="e">
        <f ca="1">_xll.RiskPert(0.8,1.2,1.9)</f>
        <v>#NAME?</v>
      </c>
      <c r="D9" s="10"/>
      <c r="E9" s="45" t="s">
        <v>8</v>
      </c>
      <c r="F9" s="32" t="e">
        <f ca="1">_xll.RiskPert(0.001,0.004,0.006)</f>
        <v>#NAME?</v>
      </c>
      <c r="H9" s="26">
        <v>200</v>
      </c>
      <c r="I9" s="26">
        <v>7.51</v>
      </c>
      <c r="J9" s="26">
        <v>7.71</v>
      </c>
      <c r="K9" s="27">
        <v>8.1999999999999993</v>
      </c>
      <c r="M9" s="2"/>
      <c r="N9" s="2"/>
      <c r="AE9"/>
      <c r="AF9"/>
      <c r="AG9"/>
      <c r="AH9"/>
      <c r="AI9"/>
      <c r="AJ9"/>
      <c r="AK9"/>
    </row>
    <row r="10" spans="2:37" ht="14" x14ac:dyDescent="0.3">
      <c r="B10" s="43" t="s">
        <v>32</v>
      </c>
      <c r="C10" s="38" t="e">
        <f ca="1">_xll.RiskPert(25%,28%,35%)</f>
        <v>#NAME?</v>
      </c>
      <c r="D10" s="10"/>
      <c r="E10" s="45" t="s">
        <v>9</v>
      </c>
      <c r="F10" s="32" t="e">
        <f ca="1">_xll.RiskPert(-0.002,0.004,0.012)</f>
        <v>#NAME?</v>
      </c>
      <c r="H10" s="26">
        <v>500</v>
      </c>
      <c r="I10" s="26">
        <v>6.35</v>
      </c>
      <c r="J10" s="26">
        <v>6.57</v>
      </c>
      <c r="K10" s="27">
        <v>6.94</v>
      </c>
      <c r="M10" s="2"/>
      <c r="N10" s="2"/>
      <c r="AE10"/>
      <c r="AF10"/>
      <c r="AG10"/>
      <c r="AH10"/>
      <c r="AI10"/>
      <c r="AJ10"/>
      <c r="AK10"/>
    </row>
    <row r="11" spans="2:37" ht="14" x14ac:dyDescent="0.3">
      <c r="B11" s="43" t="s">
        <v>4</v>
      </c>
      <c r="C11" s="38" t="e">
        <f ca="1">_xll.RiskPert(45%,48%,55%)</f>
        <v>#NAME?</v>
      </c>
      <c r="E11" s="46" t="s">
        <v>10</v>
      </c>
      <c r="F11" s="49" t="e">
        <f ca="1">_xll.RiskDuniform(F8:F10)</f>
        <v>#NAME?</v>
      </c>
      <c r="H11" s="26">
        <v>800</v>
      </c>
      <c r="I11" s="26">
        <v>5.4</v>
      </c>
      <c r="J11" s="26">
        <v>5.59</v>
      </c>
      <c r="K11" s="27">
        <v>5.9</v>
      </c>
      <c r="M11" s="2"/>
      <c r="N11" s="2"/>
      <c r="AE11"/>
      <c r="AF11"/>
      <c r="AG11"/>
      <c r="AH11"/>
      <c r="AI11"/>
      <c r="AJ11"/>
      <c r="AK11"/>
    </row>
    <row r="12" spans="2:37" ht="14" x14ac:dyDescent="0.3">
      <c r="B12" s="43" t="s">
        <v>31</v>
      </c>
      <c r="C12" s="36">
        <v>6000000</v>
      </c>
      <c r="G12" s="11"/>
      <c r="H12" s="28">
        <v>1100</v>
      </c>
      <c r="I12" s="28">
        <v>4.59</v>
      </c>
      <c r="J12" s="28">
        <v>4.74</v>
      </c>
      <c r="K12" s="29">
        <v>5.0199999999999996</v>
      </c>
      <c r="M12" s="2"/>
      <c r="N12" s="2"/>
      <c r="AE12"/>
      <c r="AF12"/>
      <c r="AG12"/>
      <c r="AH12"/>
      <c r="AI12"/>
      <c r="AJ12"/>
      <c r="AK12"/>
    </row>
    <row r="13" spans="2:37" ht="14" x14ac:dyDescent="0.3">
      <c r="B13" s="43" t="s">
        <v>34</v>
      </c>
      <c r="C13" s="35" t="e">
        <f ca="1">C8*C7</f>
        <v>#NAME?</v>
      </c>
      <c r="D13" s="10"/>
      <c r="E13" s="42" t="s">
        <v>33</v>
      </c>
      <c r="F13" s="33">
        <v>14.01</v>
      </c>
      <c r="G13" s="11"/>
      <c r="I13" s="10"/>
      <c r="J13" s="10"/>
      <c r="K13" s="10"/>
      <c r="L13" s="10"/>
      <c r="M13" s="2"/>
      <c r="N13" s="2"/>
      <c r="AE13"/>
      <c r="AF13"/>
      <c r="AG13"/>
      <c r="AH13"/>
      <c r="AI13"/>
      <c r="AJ13"/>
      <c r="AK13"/>
    </row>
    <row r="14" spans="2:37" ht="14.5" thickBot="1" x14ac:dyDescent="0.35">
      <c r="B14" s="10"/>
      <c r="C14" s="10"/>
      <c r="D14" s="10"/>
      <c r="E14" s="42" t="s">
        <v>43</v>
      </c>
      <c r="F14" s="53">
        <v>8.5000000000000006E-2</v>
      </c>
      <c r="L14" s="10"/>
      <c r="AE14"/>
      <c r="AF14"/>
      <c r="AG14"/>
      <c r="AH14"/>
      <c r="AI14"/>
      <c r="AJ14"/>
      <c r="AK14"/>
    </row>
    <row r="15" spans="2:37" ht="14" x14ac:dyDescent="0.3">
      <c r="B15" s="40" t="s">
        <v>30</v>
      </c>
      <c r="C15" s="39" t="e">
        <f ca="1">_xll.RiskSimtable({0,1})</f>
        <v>#NAME?</v>
      </c>
      <c r="L15" s="10"/>
      <c r="AE15"/>
      <c r="AF15"/>
      <c r="AG15"/>
      <c r="AH15"/>
      <c r="AI15"/>
      <c r="AJ15"/>
      <c r="AK15"/>
    </row>
    <row r="16" spans="2:37" ht="14.5" thickBot="1" x14ac:dyDescent="0.35">
      <c r="B16" s="41" t="s">
        <v>36</v>
      </c>
      <c r="C16" s="50" t="e">
        <f ca="1">_xll.RiskOutput("NPV") + SUM(W19:W28)</f>
        <v>#NAME?</v>
      </c>
      <c r="D16" s="10"/>
      <c r="E16" s="12" t="s">
        <v>44</v>
      </c>
      <c r="I16" s="10"/>
      <c r="J16" s="10"/>
      <c r="K16" s="10"/>
      <c r="L16" s="10"/>
      <c r="M16" s="4"/>
      <c r="AE16"/>
      <c r="AF16"/>
      <c r="AG16"/>
      <c r="AH16"/>
      <c r="AI16"/>
      <c r="AJ16"/>
      <c r="AK16"/>
    </row>
    <row r="17" spans="2:40" ht="14" x14ac:dyDescent="0.3">
      <c r="B17" s="10"/>
      <c r="C17" s="10"/>
      <c r="D17" s="12"/>
      <c r="E17" s="12"/>
      <c r="I17" s="10"/>
      <c r="J17" s="10"/>
      <c r="K17" s="12"/>
      <c r="L17" s="10"/>
      <c r="U17" s="3"/>
      <c r="AE17"/>
      <c r="AF17"/>
      <c r="AG17"/>
      <c r="AH17"/>
      <c r="AI17"/>
      <c r="AJ17"/>
      <c r="AK17"/>
    </row>
    <row r="18" spans="2:40" s="5" customFormat="1" ht="34.5" x14ac:dyDescent="0.3">
      <c r="B18" s="14" t="s">
        <v>11</v>
      </c>
      <c r="C18" s="14" t="s">
        <v>12</v>
      </c>
      <c r="D18" s="14" t="s">
        <v>13</v>
      </c>
      <c r="E18" s="14" t="s">
        <v>14</v>
      </c>
      <c r="F18" s="14" t="s">
        <v>38</v>
      </c>
      <c r="G18" s="14" t="s">
        <v>15</v>
      </c>
      <c r="H18" s="14" t="s">
        <v>39</v>
      </c>
      <c r="I18" s="14" t="s">
        <v>40</v>
      </c>
      <c r="J18" s="14" t="s">
        <v>16</v>
      </c>
      <c r="K18" s="14" t="s">
        <v>17</v>
      </c>
      <c r="L18" s="14" t="s">
        <v>41</v>
      </c>
      <c r="M18" s="14" t="s">
        <v>42</v>
      </c>
      <c r="N18" s="14" t="s">
        <v>18</v>
      </c>
      <c r="O18" s="14" t="s">
        <v>19</v>
      </c>
      <c r="P18" s="14" t="s">
        <v>20</v>
      </c>
      <c r="Q18" s="14" t="s">
        <v>21</v>
      </c>
      <c r="R18" s="14" t="s">
        <v>22</v>
      </c>
      <c r="S18" s="14" t="s">
        <v>23</v>
      </c>
      <c r="T18" s="14" t="s">
        <v>24</v>
      </c>
      <c r="U18" s="14" t="s">
        <v>25</v>
      </c>
      <c r="V18" s="14" t="s">
        <v>26</v>
      </c>
      <c r="W18" s="14" t="s">
        <v>27</v>
      </c>
      <c r="AE18"/>
      <c r="AF18"/>
      <c r="AG18"/>
      <c r="AH18"/>
      <c r="AI18"/>
      <c r="AJ18"/>
      <c r="AK18"/>
      <c r="AN18" s="5" t="e">
        <f ca="1">_xll.RiskDepC("A",-0.7)+_xll.RiskPert(AG16,AH16,AI16)</f>
        <v>#NAME?</v>
      </c>
    </row>
    <row r="19" spans="2:40" x14ac:dyDescent="0.25">
      <c r="B19" s="47">
        <f ca="1">YEAR(TODAY())+1</f>
        <v>2018</v>
      </c>
      <c r="C19" s="55">
        <v>0.62</v>
      </c>
      <c r="D19" s="21">
        <v>3.3000000000000002E-2</v>
      </c>
      <c r="E19" s="21" t="e">
        <f ca="1">_xll.RiskNormal(D19-0.5%,0.03%)</f>
        <v>#NAME?</v>
      </c>
      <c r="F19" s="19" t="e">
        <f ca="1">C13</f>
        <v>#NAME?</v>
      </c>
      <c r="G19" s="15" t="e">
        <f ca="1">1-EXP(-(B19-YEAR(TODAY())-1)/$C$9)</f>
        <v>#NAME?</v>
      </c>
      <c r="H19" s="15" t="e">
        <f t="shared" ref="H19:H28" ca="1" si="0">($C$7-F19)*G19</f>
        <v>#NAME?</v>
      </c>
      <c r="I19" s="19" t="e">
        <f ca="1">H19+F19</f>
        <v>#NAME?</v>
      </c>
      <c r="J19" s="19">
        <v>19.22</v>
      </c>
      <c r="K19" s="17" t="e">
        <f ca="1">C10</f>
        <v>#NAME?</v>
      </c>
      <c r="L19" s="19" t="e">
        <f t="shared" ref="L19:L28" ca="1" si="1">I19*K19</f>
        <v>#NAME?</v>
      </c>
      <c r="M19" s="51" t="e">
        <f ca="1">(J19-($F$13))*1000*(I19-L19)</f>
        <v>#NAME?</v>
      </c>
      <c r="N19" s="19" t="e">
        <f t="shared" ref="N19:N28" ca="1" si="2">TREND($I$9:$I$12,$H$9:$H$12,L19)</f>
        <v>#VALUE!</v>
      </c>
      <c r="O19" s="19" t="e">
        <f t="shared" ref="O19:O28" ca="1" si="3">TREND($J$9:$J$12,$H$9:$H$12,L19)</f>
        <v>#VALUE!</v>
      </c>
      <c r="P19" s="19" t="e">
        <f t="shared" ref="P19:P28" ca="1" si="4">TREND($K$9:$K$12,$H$9:$H$12,L19)</f>
        <v>#VALUE!</v>
      </c>
      <c r="Q19" s="19" t="e">
        <f ca="1">_xll.RiskPert(N19,O19,P19)</f>
        <v>#NAME?</v>
      </c>
      <c r="R19" s="51" t="e">
        <f ca="1">L19*1000*(J19-(Q19/C19))</f>
        <v>#NAME?</v>
      </c>
      <c r="S19" s="51" t="e">
        <f t="shared" ref="S19:S28" ca="1" si="5">M19+R19</f>
        <v>#NAME?</v>
      </c>
      <c r="T19" s="54" t="e">
        <f ca="1">_xll.RiskPert(-43450000,-43300000,-43200000)-IfSuperlaunch*CostSuperlaunch</f>
        <v>#NAME?</v>
      </c>
      <c r="U19" s="51">
        <v>-2150000</v>
      </c>
      <c r="V19" s="51" t="e">
        <f ca="1">(+S19+T19+U19)*C19</f>
        <v>#NAME?</v>
      </c>
      <c r="W19" s="51" t="e">
        <f t="shared" ref="W19:W28" ca="1" si="6">+V19/(1+ra)^(B19-YEAR(TODAY()))</f>
        <v>#NAME?</v>
      </c>
    </row>
    <row r="20" spans="2:40" x14ac:dyDescent="0.25">
      <c r="B20" s="47">
        <f ca="1">B19+1</f>
        <v>2019</v>
      </c>
      <c r="C20" s="55" t="e">
        <f ca="1">_xll.RiskNormal(C19*(D19/E19),0.03*C19*(D19/E19))</f>
        <v>#NAME?</v>
      </c>
      <c r="D20" s="21" t="e">
        <f t="shared" ref="D20:D28" ca="1" si="7">D19+$F$11</f>
        <v>#NAME?</v>
      </c>
      <c r="E20" s="21" t="e">
        <f ca="1">_xll.RiskNormal(D20-0.5%,0.03%)</f>
        <v>#NAME?</v>
      </c>
      <c r="F20" s="19" t="e">
        <f ca="1">I19</f>
        <v>#NAME?</v>
      </c>
      <c r="G20" s="19" t="e">
        <f t="shared" ref="G20:G28" ca="1" si="8">1-EXP(-(B20-YEAR(TODAY())-1)/$C$9)</f>
        <v>#NAME?</v>
      </c>
      <c r="H20" s="23" t="e">
        <f t="shared" ca="1" si="0"/>
        <v>#NAME?</v>
      </c>
      <c r="I20" s="19" t="e">
        <f t="shared" ref="I20:I28" ca="1" si="9">H20+F20</f>
        <v>#NAME?</v>
      </c>
      <c r="J20" s="19" t="e">
        <f ca="1">+J19*(E20+1)</f>
        <v>#NAME?</v>
      </c>
      <c r="K20" s="17" t="e">
        <f ca="1">C10+(C11-C10)*0.25</f>
        <v>#NAME?</v>
      </c>
      <c r="L20" s="19" t="e">
        <f t="shared" ca="1" si="1"/>
        <v>#NAME?</v>
      </c>
      <c r="M20" s="51" t="e">
        <f ca="1">(J20-($F$13*(1+E20)))*1000*(I20-L20)</f>
        <v>#NAME?</v>
      </c>
      <c r="N20" s="19" t="e">
        <f t="shared" ca="1" si="2"/>
        <v>#VALUE!</v>
      </c>
      <c r="O20" s="19" t="e">
        <f t="shared" ca="1" si="3"/>
        <v>#VALUE!</v>
      </c>
      <c r="P20" s="19" t="e">
        <f t="shared" ca="1" si="4"/>
        <v>#VALUE!</v>
      </c>
      <c r="Q20" s="19" t="e">
        <f ca="1">_xll.RiskPert(N20,O20,P20)*(1+E20)</f>
        <v>#NAME?</v>
      </c>
      <c r="R20" s="51" t="e">
        <f t="shared" ref="R20:R28" ca="1" si="10">L20*1000*(J20-(Q20/C20))</f>
        <v>#NAME?</v>
      </c>
      <c r="S20" s="51" t="e">
        <f t="shared" ca="1" si="5"/>
        <v>#NAME?</v>
      </c>
      <c r="T20" s="15">
        <v>0</v>
      </c>
      <c r="U20" s="51" t="e">
        <f ca="1">U19*(1+E20)</f>
        <v>#NAME?</v>
      </c>
      <c r="V20" s="51" t="e">
        <f t="shared" ref="V20:V28" ca="1" si="11">(+S20+T20+U20)*C20</f>
        <v>#NAME?</v>
      </c>
      <c r="W20" s="51" t="e">
        <f t="shared" ca="1" si="6"/>
        <v>#NAME?</v>
      </c>
    </row>
    <row r="21" spans="2:40" x14ac:dyDescent="0.25">
      <c r="B21" s="47">
        <f t="shared" ref="B21:B28" ca="1" si="12">B20+1</f>
        <v>2020</v>
      </c>
      <c r="C21" s="55" t="e">
        <f ca="1">_xll.RiskNormal(C20*(D20/E20),0.03*C20*(D20/E20))</f>
        <v>#NAME?</v>
      </c>
      <c r="D21" s="21" t="e">
        <f t="shared" ca="1" si="7"/>
        <v>#NAME?</v>
      </c>
      <c r="E21" s="21" t="e">
        <f ca="1">_xll.RiskNormal(D21-0.5%,0.03%)</f>
        <v>#NAME?</v>
      </c>
      <c r="F21" s="19" t="e">
        <f t="shared" ref="F21:F28" ca="1" si="13">I20</f>
        <v>#NAME?</v>
      </c>
      <c r="G21" s="19" t="e">
        <f t="shared" ca="1" si="8"/>
        <v>#NAME?</v>
      </c>
      <c r="H21" s="23" t="e">
        <f t="shared" ca="1" si="0"/>
        <v>#NAME?</v>
      </c>
      <c r="I21" s="19" t="e">
        <f t="shared" ca="1" si="9"/>
        <v>#NAME?</v>
      </c>
      <c r="J21" s="19" t="e">
        <f t="shared" ref="J21:J28" ca="1" si="14">+J20*(E21+1)</f>
        <v>#NAME?</v>
      </c>
      <c r="K21" s="17" t="e">
        <f ca="1">C10+(C11-C10)*0.5</f>
        <v>#NAME?</v>
      </c>
      <c r="L21" s="19" t="e">
        <f t="shared" ca="1" si="1"/>
        <v>#NAME?</v>
      </c>
      <c r="M21" s="51" t="e">
        <f ca="1">(J21-($F$13*(1+E21)*(1+E20)))*1000*(I21-L21)</f>
        <v>#NAME?</v>
      </c>
      <c r="N21" s="19" t="e">
        <f t="shared" ca="1" si="2"/>
        <v>#VALUE!</v>
      </c>
      <c r="O21" s="19" t="e">
        <f t="shared" ca="1" si="3"/>
        <v>#VALUE!</v>
      </c>
      <c r="P21" s="19" t="e">
        <f t="shared" ca="1" si="4"/>
        <v>#VALUE!</v>
      </c>
      <c r="Q21" s="19" t="e">
        <f ca="1">_xll.RiskPert(N21,O21,P21)*(1+E21)*(1+E20)</f>
        <v>#NAME?</v>
      </c>
      <c r="R21" s="51" t="e">
        <f t="shared" ca="1" si="10"/>
        <v>#NAME?</v>
      </c>
      <c r="S21" s="51" t="e">
        <f t="shared" ca="1" si="5"/>
        <v>#NAME?</v>
      </c>
      <c r="T21" s="15">
        <v>0</v>
      </c>
      <c r="U21" s="51" t="e">
        <f ca="1">U20*(1+E21)</f>
        <v>#NAME?</v>
      </c>
      <c r="V21" s="51" t="e">
        <f t="shared" ca="1" si="11"/>
        <v>#NAME?</v>
      </c>
      <c r="W21" s="51" t="e">
        <f t="shared" ca="1" si="6"/>
        <v>#NAME?</v>
      </c>
    </row>
    <row r="22" spans="2:40" x14ac:dyDescent="0.25">
      <c r="B22" s="47">
        <f t="shared" ca="1" si="12"/>
        <v>2021</v>
      </c>
      <c r="C22" s="55" t="e">
        <f ca="1">_xll.RiskNormal(C21*(D21/E21),0.03*C21*(D21/E21))</f>
        <v>#NAME?</v>
      </c>
      <c r="D22" s="21" t="e">
        <f t="shared" ca="1" si="7"/>
        <v>#NAME?</v>
      </c>
      <c r="E22" s="21" t="e">
        <f ca="1">_xll.RiskNormal(D22-0.5%,0.03%)</f>
        <v>#NAME?</v>
      </c>
      <c r="F22" s="19" t="e">
        <f t="shared" ca="1" si="13"/>
        <v>#NAME?</v>
      </c>
      <c r="G22" s="19" t="e">
        <f t="shared" ca="1" si="8"/>
        <v>#NAME?</v>
      </c>
      <c r="H22" s="23" t="e">
        <f t="shared" ca="1" si="0"/>
        <v>#NAME?</v>
      </c>
      <c r="I22" s="19" t="e">
        <f t="shared" ca="1" si="9"/>
        <v>#NAME?</v>
      </c>
      <c r="J22" s="19" t="e">
        <f t="shared" ca="1" si="14"/>
        <v>#NAME?</v>
      </c>
      <c r="K22" s="17" t="e">
        <f ca="1">C10+(C11-C10)*0.75</f>
        <v>#NAME?</v>
      </c>
      <c r="L22" s="19" t="e">
        <f t="shared" ca="1" si="1"/>
        <v>#NAME?</v>
      </c>
      <c r="M22" s="51" t="e">
        <f ca="1">(J22-($F$13*(1+E22)*(1+E21)*(1+E20)))*1000*(I22-L22)</f>
        <v>#NAME?</v>
      </c>
      <c r="N22" s="19" t="e">
        <f t="shared" ca="1" si="2"/>
        <v>#VALUE!</v>
      </c>
      <c r="O22" s="19" t="e">
        <f t="shared" ca="1" si="3"/>
        <v>#VALUE!</v>
      </c>
      <c r="P22" s="19" t="e">
        <f t="shared" ca="1" si="4"/>
        <v>#VALUE!</v>
      </c>
      <c r="Q22" s="19" t="e">
        <f ca="1">_xll.RiskPert(N22,O22,P22)*(1+E22)*(1+E21)*(1+E20)</f>
        <v>#NAME?</v>
      </c>
      <c r="R22" s="51" t="e">
        <f t="shared" ca="1" si="10"/>
        <v>#NAME?</v>
      </c>
      <c r="S22" s="51" t="e">
        <f t="shared" ca="1" si="5"/>
        <v>#NAME?</v>
      </c>
      <c r="T22" s="15">
        <v>0</v>
      </c>
      <c r="U22" s="51" t="e">
        <f t="shared" ref="U22:U28" ca="1" si="15">U21*(1+E22)</f>
        <v>#NAME?</v>
      </c>
      <c r="V22" s="51" t="e">
        <f t="shared" ca="1" si="11"/>
        <v>#NAME?</v>
      </c>
      <c r="W22" s="51" t="e">
        <f t="shared" ca="1" si="6"/>
        <v>#NAME?</v>
      </c>
    </row>
    <row r="23" spans="2:40" x14ac:dyDescent="0.25">
      <c r="B23" s="47">
        <f t="shared" ca="1" si="12"/>
        <v>2022</v>
      </c>
      <c r="C23" s="55" t="e">
        <f ca="1">_xll.RiskNormal(C22*(D22/E22),0.03*C22*(D22/E22))</f>
        <v>#NAME?</v>
      </c>
      <c r="D23" s="21" t="e">
        <f t="shared" ca="1" si="7"/>
        <v>#NAME?</v>
      </c>
      <c r="E23" s="21" t="e">
        <f ca="1">_xll.RiskNormal(D23-0.5%,0.03%)</f>
        <v>#NAME?</v>
      </c>
      <c r="F23" s="19" t="e">
        <f t="shared" ca="1" si="13"/>
        <v>#NAME?</v>
      </c>
      <c r="G23" s="19" t="e">
        <f t="shared" ca="1" si="8"/>
        <v>#NAME?</v>
      </c>
      <c r="H23" s="23" t="e">
        <f t="shared" ca="1" si="0"/>
        <v>#NAME?</v>
      </c>
      <c r="I23" s="19" t="e">
        <f t="shared" ca="1" si="9"/>
        <v>#NAME?</v>
      </c>
      <c r="J23" s="19" t="e">
        <f t="shared" ca="1" si="14"/>
        <v>#NAME?</v>
      </c>
      <c r="K23" s="17" t="e">
        <f ca="1">C11</f>
        <v>#NAME?</v>
      </c>
      <c r="L23" s="19" t="e">
        <f t="shared" ca="1" si="1"/>
        <v>#NAME?</v>
      </c>
      <c r="M23" s="51" t="e">
        <f ca="1">(J23-($F$13*(1+E23)*(1+E22)*(1+E21)*(1+E20)))*1000*(I23-L23)</f>
        <v>#NAME?</v>
      </c>
      <c r="N23" s="19" t="e">
        <f t="shared" ca="1" si="2"/>
        <v>#VALUE!</v>
      </c>
      <c r="O23" s="19" t="e">
        <f t="shared" ca="1" si="3"/>
        <v>#VALUE!</v>
      </c>
      <c r="P23" s="19" t="e">
        <f t="shared" ca="1" si="4"/>
        <v>#VALUE!</v>
      </c>
      <c r="Q23" s="19" t="e">
        <f ca="1">_xll.RiskPert(N23,O23,P23)*(1+E23)*(1+E22)*(1+E21)*(1+E20)</f>
        <v>#NAME?</v>
      </c>
      <c r="R23" s="51" t="e">
        <f t="shared" ca="1" si="10"/>
        <v>#NAME?</v>
      </c>
      <c r="S23" s="51" t="e">
        <f t="shared" ca="1" si="5"/>
        <v>#NAME?</v>
      </c>
      <c r="T23" s="15">
        <v>0</v>
      </c>
      <c r="U23" s="51" t="e">
        <f t="shared" ca="1" si="15"/>
        <v>#NAME?</v>
      </c>
      <c r="V23" s="51" t="e">
        <f t="shared" ca="1" si="11"/>
        <v>#NAME?</v>
      </c>
      <c r="W23" s="51" t="e">
        <f t="shared" ca="1" si="6"/>
        <v>#NAME?</v>
      </c>
    </row>
    <row r="24" spans="2:40" x14ac:dyDescent="0.25">
      <c r="B24" s="47">
        <f t="shared" ca="1" si="12"/>
        <v>2023</v>
      </c>
      <c r="C24" s="55" t="e">
        <f ca="1">_xll.RiskNormal(C23*(D23/E23),0.03*C23*(D23/E23))</f>
        <v>#NAME?</v>
      </c>
      <c r="D24" s="21" t="e">
        <f t="shared" ca="1" si="7"/>
        <v>#NAME?</v>
      </c>
      <c r="E24" s="21" t="e">
        <f ca="1">_xll.RiskNormal(D24-0.5%,0.03%)</f>
        <v>#NAME?</v>
      </c>
      <c r="F24" s="19" t="e">
        <f t="shared" ca="1" si="13"/>
        <v>#NAME?</v>
      </c>
      <c r="G24" s="19" t="e">
        <f t="shared" ca="1" si="8"/>
        <v>#NAME?</v>
      </c>
      <c r="H24" s="23" t="e">
        <f t="shared" ca="1" si="0"/>
        <v>#NAME?</v>
      </c>
      <c r="I24" s="19" t="e">
        <f t="shared" ca="1" si="9"/>
        <v>#NAME?</v>
      </c>
      <c r="J24" s="19" t="e">
        <f t="shared" ca="1" si="14"/>
        <v>#NAME?</v>
      </c>
      <c r="K24" s="17" t="e">
        <f ca="1">C11</f>
        <v>#NAME?</v>
      </c>
      <c r="L24" s="19" t="e">
        <f t="shared" ca="1" si="1"/>
        <v>#NAME?</v>
      </c>
      <c r="M24" s="51" t="e">
        <f ca="1">(J24-($F$13*(1+E24)*(1+E23)*(1+E22)*(1+E21)*(1+E20)))*1000*(I24-L24)</f>
        <v>#NAME?</v>
      </c>
      <c r="N24" s="19" t="e">
        <f t="shared" ca="1" si="2"/>
        <v>#VALUE!</v>
      </c>
      <c r="O24" s="19" t="e">
        <f t="shared" ca="1" si="3"/>
        <v>#VALUE!</v>
      </c>
      <c r="P24" s="19" t="e">
        <f t="shared" ca="1" si="4"/>
        <v>#VALUE!</v>
      </c>
      <c r="Q24" s="19" t="e">
        <f ca="1">_xll.RiskPert(N24,O24,P24)*(1+E24)*(1+E23)*(1+E22)*(1+E21)*(1+E20)</f>
        <v>#NAME?</v>
      </c>
      <c r="R24" s="51" t="e">
        <f t="shared" ca="1" si="10"/>
        <v>#NAME?</v>
      </c>
      <c r="S24" s="51" t="e">
        <f t="shared" ca="1" si="5"/>
        <v>#NAME?</v>
      </c>
      <c r="T24" s="15">
        <v>0</v>
      </c>
      <c r="U24" s="51" t="e">
        <f t="shared" ca="1" si="15"/>
        <v>#NAME?</v>
      </c>
      <c r="V24" s="51" t="e">
        <f t="shared" ca="1" si="11"/>
        <v>#NAME?</v>
      </c>
      <c r="W24" s="51" t="e">
        <f t="shared" ca="1" si="6"/>
        <v>#NAME?</v>
      </c>
    </row>
    <row r="25" spans="2:40" x14ac:dyDescent="0.25">
      <c r="B25" s="47">
        <f t="shared" ca="1" si="12"/>
        <v>2024</v>
      </c>
      <c r="C25" s="55" t="e">
        <f ca="1">_xll.RiskNormal(C24*(D24/E24),0.03*C24*(D24/E24))</f>
        <v>#NAME?</v>
      </c>
      <c r="D25" s="21" t="e">
        <f t="shared" ca="1" si="7"/>
        <v>#NAME?</v>
      </c>
      <c r="E25" s="21" t="e">
        <f ca="1">_xll.RiskNormal(D25-0.5%,0.03%)</f>
        <v>#NAME?</v>
      </c>
      <c r="F25" s="19" t="e">
        <f t="shared" ca="1" si="13"/>
        <v>#NAME?</v>
      </c>
      <c r="G25" s="19" t="e">
        <f t="shared" ca="1" si="8"/>
        <v>#NAME?</v>
      </c>
      <c r="H25" s="23" t="e">
        <f t="shared" ca="1" si="0"/>
        <v>#NAME?</v>
      </c>
      <c r="I25" s="19" t="e">
        <f t="shared" ca="1" si="9"/>
        <v>#NAME?</v>
      </c>
      <c r="J25" s="19" t="e">
        <f t="shared" ca="1" si="14"/>
        <v>#NAME?</v>
      </c>
      <c r="K25" s="17" t="e">
        <f ca="1">C11</f>
        <v>#NAME?</v>
      </c>
      <c r="L25" s="19" t="e">
        <f t="shared" ca="1" si="1"/>
        <v>#NAME?</v>
      </c>
      <c r="M25" s="51" t="e">
        <f ca="1">(J25-($F$13*(1+E25)*(1+E24)*(1+E23)*(1+E22)*(1+E21)+(1+E20)))*1000*(I25-L25)</f>
        <v>#NAME?</v>
      </c>
      <c r="N25" s="19" t="e">
        <f t="shared" ca="1" si="2"/>
        <v>#VALUE!</v>
      </c>
      <c r="O25" s="19" t="e">
        <f t="shared" ca="1" si="3"/>
        <v>#VALUE!</v>
      </c>
      <c r="P25" s="19" t="e">
        <f t="shared" ca="1" si="4"/>
        <v>#VALUE!</v>
      </c>
      <c r="Q25" s="19" t="e">
        <f ca="1">_xll.RiskPert(N25,O25,P25)*(1+E25)*(1+E24)*(1+E23)*(1+E22)*(1+E21)*(1+E20)</f>
        <v>#NAME?</v>
      </c>
      <c r="R25" s="51" t="e">
        <f t="shared" ca="1" si="10"/>
        <v>#NAME?</v>
      </c>
      <c r="S25" s="51" t="e">
        <f t="shared" ca="1" si="5"/>
        <v>#NAME?</v>
      </c>
      <c r="T25" s="15">
        <v>0</v>
      </c>
      <c r="U25" s="51" t="e">
        <f t="shared" ca="1" si="15"/>
        <v>#NAME?</v>
      </c>
      <c r="V25" s="51" t="e">
        <f t="shared" ca="1" si="11"/>
        <v>#NAME?</v>
      </c>
      <c r="W25" s="51" t="e">
        <f t="shared" ca="1" si="6"/>
        <v>#NAME?</v>
      </c>
    </row>
    <row r="26" spans="2:40" x14ac:dyDescent="0.25">
      <c r="B26" s="47">
        <f t="shared" ca="1" si="12"/>
        <v>2025</v>
      </c>
      <c r="C26" s="55" t="e">
        <f ca="1">_xll.RiskNormal(C25*(D25/E25),0.03*C25*(D25/E25))</f>
        <v>#NAME?</v>
      </c>
      <c r="D26" s="21" t="e">
        <f t="shared" ca="1" si="7"/>
        <v>#NAME?</v>
      </c>
      <c r="E26" s="21" t="e">
        <f ca="1">_xll.RiskNormal(D26-0.5%,0.03%)</f>
        <v>#NAME?</v>
      </c>
      <c r="F26" s="19" t="e">
        <f t="shared" ca="1" si="13"/>
        <v>#NAME?</v>
      </c>
      <c r="G26" s="19" t="e">
        <f t="shared" ca="1" si="8"/>
        <v>#NAME?</v>
      </c>
      <c r="H26" s="23" t="e">
        <f t="shared" ca="1" si="0"/>
        <v>#NAME?</v>
      </c>
      <c r="I26" s="19" t="e">
        <f t="shared" ca="1" si="9"/>
        <v>#NAME?</v>
      </c>
      <c r="J26" s="19" t="e">
        <f t="shared" ca="1" si="14"/>
        <v>#NAME?</v>
      </c>
      <c r="K26" s="17" t="e">
        <f ca="1">C11</f>
        <v>#NAME?</v>
      </c>
      <c r="L26" s="19" t="e">
        <f t="shared" ca="1" si="1"/>
        <v>#NAME?</v>
      </c>
      <c r="M26" s="51" t="e">
        <f ca="1">(J26-($F$13*(1+E26)*(1+E25)*(1+E24)*(1+E23)*(1+E22)+(1+E21)*(1+E20)))*1000*(I26-L26)</f>
        <v>#NAME?</v>
      </c>
      <c r="N26" s="19" t="e">
        <f t="shared" ca="1" si="2"/>
        <v>#VALUE!</v>
      </c>
      <c r="O26" s="19" t="e">
        <f t="shared" ca="1" si="3"/>
        <v>#VALUE!</v>
      </c>
      <c r="P26" s="19" t="e">
        <f t="shared" ca="1" si="4"/>
        <v>#VALUE!</v>
      </c>
      <c r="Q26" s="19" t="e">
        <f ca="1">_xll.RiskPert(N26,O26,P26)*(1+E26)*(1+E25)*(1+E24)*(1+E23)*(1+E22)*(1+E21)*(1+E20)</f>
        <v>#NAME?</v>
      </c>
      <c r="R26" s="51" t="e">
        <f t="shared" ca="1" si="10"/>
        <v>#NAME?</v>
      </c>
      <c r="S26" s="51" t="e">
        <f t="shared" ca="1" si="5"/>
        <v>#NAME?</v>
      </c>
      <c r="T26" s="15">
        <v>0</v>
      </c>
      <c r="U26" s="51" t="e">
        <f t="shared" ca="1" si="15"/>
        <v>#NAME?</v>
      </c>
      <c r="V26" s="51" t="e">
        <f t="shared" ca="1" si="11"/>
        <v>#NAME?</v>
      </c>
      <c r="W26" s="51" t="e">
        <f t="shared" ca="1" si="6"/>
        <v>#NAME?</v>
      </c>
    </row>
    <row r="27" spans="2:40" x14ac:dyDescent="0.25">
      <c r="B27" s="47">
        <f t="shared" ca="1" si="12"/>
        <v>2026</v>
      </c>
      <c r="C27" s="55" t="e">
        <f ca="1">_xll.RiskNormal(C26*(D26/E26),0.03*C26*(D26/E26))</f>
        <v>#NAME?</v>
      </c>
      <c r="D27" s="21" t="e">
        <f t="shared" ca="1" si="7"/>
        <v>#NAME?</v>
      </c>
      <c r="E27" s="21" t="e">
        <f ca="1">_xll.RiskNormal(D27-0.5%,0.03%)</f>
        <v>#NAME?</v>
      </c>
      <c r="F27" s="19" t="e">
        <f t="shared" ca="1" si="13"/>
        <v>#NAME?</v>
      </c>
      <c r="G27" s="19" t="e">
        <f t="shared" ca="1" si="8"/>
        <v>#NAME?</v>
      </c>
      <c r="H27" s="23" t="e">
        <f t="shared" ca="1" si="0"/>
        <v>#NAME?</v>
      </c>
      <c r="I27" s="19" t="e">
        <f t="shared" ca="1" si="9"/>
        <v>#NAME?</v>
      </c>
      <c r="J27" s="19" t="e">
        <f t="shared" ca="1" si="14"/>
        <v>#NAME?</v>
      </c>
      <c r="K27" s="17" t="e">
        <f ca="1">C11</f>
        <v>#NAME?</v>
      </c>
      <c r="L27" s="19" t="e">
        <f t="shared" ca="1" si="1"/>
        <v>#NAME?</v>
      </c>
      <c r="M27" s="51" t="e">
        <f ca="1">(J27-($F$13*(1+E27)*(1+E26)*(1+E25)*(1+E24)*(1+E23)+(1+E22)*(1+E21)*(1+E20)))*1000*(I27-L27)</f>
        <v>#NAME?</v>
      </c>
      <c r="N27" s="19" t="e">
        <f t="shared" ca="1" si="2"/>
        <v>#VALUE!</v>
      </c>
      <c r="O27" s="19" t="e">
        <f t="shared" ca="1" si="3"/>
        <v>#VALUE!</v>
      </c>
      <c r="P27" s="19" t="e">
        <f t="shared" ca="1" si="4"/>
        <v>#VALUE!</v>
      </c>
      <c r="Q27" s="19" t="e">
        <f ca="1">_xll.RiskPert(N27,O27,P27)*(1+E27)*(1+E26)*(1+E25)*(1+E24)*(1+E23)*(1+E22)*(1+E21)*(1+E20)</f>
        <v>#NAME?</v>
      </c>
      <c r="R27" s="51" t="e">
        <f t="shared" ca="1" si="10"/>
        <v>#NAME?</v>
      </c>
      <c r="S27" s="51" t="e">
        <f t="shared" ca="1" si="5"/>
        <v>#NAME?</v>
      </c>
      <c r="T27" s="15">
        <v>0</v>
      </c>
      <c r="U27" s="51" t="e">
        <f t="shared" ca="1" si="15"/>
        <v>#NAME?</v>
      </c>
      <c r="V27" s="51" t="e">
        <f t="shared" ca="1" si="11"/>
        <v>#NAME?</v>
      </c>
      <c r="W27" s="51" t="e">
        <f t="shared" ca="1" si="6"/>
        <v>#NAME?</v>
      </c>
    </row>
    <row r="28" spans="2:40" x14ac:dyDescent="0.25">
      <c r="B28" s="48">
        <f t="shared" ca="1" si="12"/>
        <v>2027</v>
      </c>
      <c r="C28" s="56" t="e">
        <f ca="1">_xll.RiskNormal(C27*(D27/E27),0.03*C27*(D27/E27))</f>
        <v>#NAME?</v>
      </c>
      <c r="D28" s="22" t="e">
        <f t="shared" ca="1" si="7"/>
        <v>#NAME?</v>
      </c>
      <c r="E28" s="22" t="e">
        <f ca="1">_xll.RiskNormal(D28-0.5%,0.03%)</f>
        <v>#NAME?</v>
      </c>
      <c r="F28" s="20" t="e">
        <f t="shared" ca="1" si="13"/>
        <v>#NAME?</v>
      </c>
      <c r="G28" s="20" t="e">
        <f t="shared" ca="1" si="8"/>
        <v>#NAME?</v>
      </c>
      <c r="H28" s="24" t="e">
        <f t="shared" ca="1" si="0"/>
        <v>#NAME?</v>
      </c>
      <c r="I28" s="20" t="e">
        <f t="shared" ca="1" si="9"/>
        <v>#NAME?</v>
      </c>
      <c r="J28" s="20" t="e">
        <f t="shared" ca="1" si="14"/>
        <v>#NAME?</v>
      </c>
      <c r="K28" s="18" t="e">
        <f ca="1">C11</f>
        <v>#NAME?</v>
      </c>
      <c r="L28" s="20" t="e">
        <f t="shared" ca="1" si="1"/>
        <v>#NAME?</v>
      </c>
      <c r="M28" s="52" t="e">
        <f ca="1">(J28-($F$13*(1+E28)*(1+E27)*(1+E26)*(1+E25)*(1+E24)+(1+E23)*(1+E22)*(1+E21)*(1+E20)))*1000*(I28-L28)</f>
        <v>#NAME?</v>
      </c>
      <c r="N28" s="20" t="e">
        <f t="shared" ca="1" si="2"/>
        <v>#VALUE!</v>
      </c>
      <c r="O28" s="20" t="e">
        <f t="shared" ca="1" si="3"/>
        <v>#VALUE!</v>
      </c>
      <c r="P28" s="20" t="e">
        <f t="shared" ca="1" si="4"/>
        <v>#VALUE!</v>
      </c>
      <c r="Q28" s="20" t="e">
        <f ca="1">_xll.RiskPert(N28,O28,P28)*(1+E28)*(1+E27)*(1+E26)*(1+E25)*(1+E24)*(1+E23)*(1+E22)*(1+E21)*(1+E20)</f>
        <v>#NAME?</v>
      </c>
      <c r="R28" s="52" t="e">
        <f t="shared" ca="1" si="10"/>
        <v>#NAME?</v>
      </c>
      <c r="S28" s="52" t="e">
        <f t="shared" ca="1" si="5"/>
        <v>#NAME?</v>
      </c>
      <c r="T28" s="16">
        <v>0</v>
      </c>
      <c r="U28" s="52" t="e">
        <f t="shared" ca="1" si="15"/>
        <v>#NAME?</v>
      </c>
      <c r="V28" s="52" t="e">
        <f t="shared" ca="1" si="11"/>
        <v>#NAME?</v>
      </c>
      <c r="W28" s="52" t="e">
        <f t="shared" ca="1" si="6"/>
        <v>#NAME?</v>
      </c>
    </row>
    <row r="33" spans="2:31" ht="14" x14ac:dyDescent="0.3">
      <c r="B33" s="9"/>
      <c r="X33"/>
      <c r="Y33"/>
      <c r="Z33"/>
      <c r="AA33"/>
      <c r="AB33"/>
      <c r="AC33"/>
      <c r="AD33"/>
      <c r="AE33"/>
    </row>
  </sheetData>
  <mergeCells count="3">
    <mergeCell ref="B4:I5"/>
    <mergeCell ref="I7:K7"/>
    <mergeCell ref="E7:F7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 growth model</vt:lpstr>
      <vt:lpstr>CostSuperlaunch</vt:lpstr>
      <vt:lpstr>IfSuperlaunch</vt:lpstr>
      <vt:lpstr>ra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1999-08-04T08:14:20Z</dcterms:created>
  <dcterms:modified xsi:type="dcterms:W3CDTF">2017-09-22T16:20:20Z</dcterms:modified>
  <cp:category/>
</cp:coreProperties>
</file>