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20" windowWidth="15480" windowHeight="10560"/>
  </bookViews>
  <sheets>
    <sheet name="Problem description" sheetId="2" r:id="rId1"/>
    <sheet name="Static model" sheetId="3" r:id="rId2"/>
    <sheet name="Solution" sheetId="1"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ombined">Solution!$C$39</definedName>
    <definedName name="conservatives">Solution!$C$40</definedName>
    <definedName name="Election">Solution!$C$41</definedName>
    <definedName name="growth">Solution!$C$43</definedName>
    <definedName name="n">'Problem description'!#REF!</definedName>
    <definedName name="newtax">Solution!$C$42</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StatFunctionsUpdateFreq">1</definedName>
    <definedName name="RiskTemplateSheetName">"myTemplate"</definedName>
    <definedName name="RiskUpdateDisplay" hidden="1">FALSE</definedName>
    <definedName name="RiskUpdateStatFunctions">FALSE</definedName>
    <definedName name="RiskUseDifferentSeedForEachSim" hidden="1">FALSE</definedName>
    <definedName name="RiskUseFixedSeed" hidden="1">TRUE</definedName>
    <definedName name="RiskUseMultipleCPUs" hidden="1">TRUE</definedName>
    <definedName name="threshold1">Solution!$C$46</definedName>
    <definedName name="threshold2">Solution!$C$47</definedName>
  </definedNames>
  <calcPr calcId="171027" calcMode="manual"/>
</workbook>
</file>

<file path=xl/calcChain.xml><?xml version="1.0" encoding="utf-8"?>
<calcChain xmlns="http://schemas.openxmlformats.org/spreadsheetml/2006/main">
  <c r="C41" i="1" l="1"/>
  <c r="B28" i="2"/>
  <c r="B16" i="2"/>
  <c r="P32" i="1"/>
  <c r="P31" i="1"/>
  <c r="P30" i="1"/>
  <c r="P29" i="1"/>
  <c r="P28" i="1"/>
  <c r="P27" i="1"/>
  <c r="P26" i="1"/>
  <c r="P25" i="1"/>
  <c r="P24" i="1"/>
  <c r="P23" i="1"/>
  <c r="P22" i="1"/>
  <c r="P21" i="1"/>
  <c r="P20" i="1"/>
  <c r="P19" i="1"/>
  <c r="P18" i="1"/>
  <c r="P17" i="1"/>
  <c r="P16" i="1"/>
  <c r="P15" i="1"/>
  <c r="P14" i="1"/>
  <c r="P13" i="1"/>
  <c r="P12" i="1"/>
  <c r="P11" i="1"/>
  <c r="B23" i="2"/>
  <c r="C9" i="3"/>
  <c r="C11" i="3"/>
  <c r="C13" i="3"/>
  <c r="C10" i="3"/>
  <c r="C33" i="3"/>
  <c r="C12" i="3"/>
  <c r="D9" i="3"/>
  <c r="D10" i="3"/>
  <c r="D11" i="3"/>
  <c r="D13" i="3"/>
  <c r="D33" i="3"/>
  <c r="D12" i="3"/>
  <c r="E27" i="3"/>
  <c r="E9" i="3"/>
  <c r="E33" i="3"/>
  <c r="E12" i="3"/>
  <c r="F25" i="3"/>
  <c r="F26" i="3"/>
  <c r="F20" i="3"/>
  <c r="F33" i="3"/>
  <c r="F12" i="3"/>
  <c r="G20" i="3"/>
  <c r="G33" i="3"/>
  <c r="G12" i="3"/>
  <c r="H33" i="3"/>
  <c r="H12" i="3"/>
  <c r="I33" i="3"/>
  <c r="I12" i="3"/>
  <c r="J33" i="3"/>
  <c r="J12" i="3"/>
  <c r="K33" i="3"/>
  <c r="K12" i="3"/>
  <c r="L33" i="3"/>
  <c r="L12" i="3"/>
  <c r="C6" i="3"/>
  <c r="D6" i="3"/>
  <c r="E6" i="3" s="1"/>
  <c r="F6" i="3" s="1"/>
  <c r="G6" i="3" s="1"/>
  <c r="H6" i="3" s="1"/>
  <c r="I6" i="3" s="1"/>
  <c r="J6" i="3" s="1"/>
  <c r="K6" i="3" s="1"/>
  <c r="L6" i="3" s="1"/>
  <c r="C6" i="1"/>
  <c r="D6" i="1"/>
  <c r="E6" i="1" s="1"/>
  <c r="F6" i="1" s="1"/>
  <c r="G6" i="1" s="1"/>
  <c r="H6" i="1" s="1"/>
  <c r="I6" i="1" s="1"/>
  <c r="J6" i="1" s="1"/>
  <c r="K6" i="1" s="1"/>
  <c r="L6" i="1" s="1"/>
  <c r="H33" i="1"/>
  <c r="H12" i="1"/>
  <c r="F33" i="1"/>
  <c r="F12" i="1"/>
  <c r="C9" i="1"/>
  <c r="C10" i="1"/>
  <c r="C11" i="1"/>
  <c r="D9" i="1"/>
  <c r="D11" i="1"/>
  <c r="D10" i="1"/>
  <c r="G33" i="1"/>
  <c r="G12" i="1"/>
  <c r="I33" i="1"/>
  <c r="I12" i="1"/>
  <c r="J33" i="1"/>
  <c r="J12" i="1"/>
  <c r="K33" i="1"/>
  <c r="K12" i="1"/>
  <c r="L33" i="1"/>
  <c r="L12" i="1"/>
  <c r="C14" i="3"/>
  <c r="C15" i="3"/>
  <c r="H20" i="3"/>
  <c r="F27" i="3"/>
  <c r="F9" i="3"/>
  <c r="G26" i="3"/>
  <c r="G27" i="3"/>
  <c r="G25" i="3"/>
  <c r="H25" i="3"/>
  <c r="I20" i="3"/>
  <c r="H26" i="3"/>
  <c r="I26" i="3"/>
  <c r="I27" i="3"/>
  <c r="F10" i="3"/>
  <c r="F11" i="3"/>
  <c r="F13" i="3"/>
  <c r="D14" i="3"/>
  <c r="J20" i="3"/>
  <c r="D15" i="3"/>
  <c r="D16" i="3"/>
  <c r="J26" i="3"/>
  <c r="J27" i="3"/>
  <c r="K20" i="3"/>
  <c r="I10" i="3"/>
  <c r="K26" i="3"/>
  <c r="J10" i="3"/>
  <c r="G10" i="3"/>
  <c r="G9" i="3"/>
  <c r="L20" i="3"/>
  <c r="C16" i="3"/>
  <c r="H27" i="3"/>
  <c r="H10" i="3"/>
  <c r="I25" i="3"/>
  <c r="H9" i="3"/>
  <c r="H11" i="3"/>
  <c r="H13" i="3"/>
  <c r="E10" i="3"/>
  <c r="E11" i="3"/>
  <c r="E13" i="3"/>
  <c r="E14" i="3"/>
  <c r="J25" i="3"/>
  <c r="I9" i="3"/>
  <c r="I11" i="3"/>
  <c r="I13" i="3"/>
  <c r="G11" i="3"/>
  <c r="G13" i="3"/>
  <c r="K27" i="3"/>
  <c r="K10" i="3"/>
  <c r="L26" i="3"/>
  <c r="L27" i="3"/>
  <c r="L10" i="3"/>
  <c r="J9" i="3"/>
  <c r="J11" i="3"/>
  <c r="J13" i="3"/>
  <c r="K25" i="3"/>
  <c r="E15" i="3"/>
  <c r="E16" i="3"/>
  <c r="F14" i="3"/>
  <c r="L25" i="3"/>
  <c r="L9" i="3"/>
  <c r="L11" i="3"/>
  <c r="L13" i="3"/>
  <c r="K9" i="3"/>
  <c r="K11" i="3"/>
  <c r="K13" i="3"/>
  <c r="F15" i="3"/>
  <c r="F16" i="3"/>
  <c r="G14" i="3"/>
  <c r="G15" i="3"/>
  <c r="G16" i="3"/>
  <c r="H14" i="3"/>
  <c r="I14" i="3"/>
  <c r="H15" i="3"/>
  <c r="H16" i="3"/>
  <c r="J14" i="3"/>
  <c r="I15" i="3"/>
  <c r="I16" i="3"/>
  <c r="J15" i="3"/>
  <c r="J16" i="3"/>
  <c r="K14" i="3"/>
  <c r="K15" i="3"/>
  <c r="K16" i="3"/>
  <c r="L14" i="3"/>
  <c r="L15" i="3"/>
  <c r="L16" i="3"/>
  <c r="C4" i="3"/>
  <c r="C43" i="1"/>
  <c r="E26" i="1"/>
  <c r="C38" i="1"/>
  <c r="C37" i="1"/>
  <c r="F21" i="1"/>
  <c r="E20" i="1"/>
  <c r="C40" i="1"/>
  <c r="C42" i="1"/>
  <c r="C39" i="1"/>
  <c r="E25" i="1"/>
  <c r="F25" i="1" l="1"/>
  <c r="F19" i="1"/>
  <c r="F26" i="1"/>
  <c r="E27" i="1"/>
  <c r="E9" i="1" s="1"/>
  <c r="G22" i="1"/>
  <c r="K22" i="1"/>
  <c r="F22" i="1"/>
  <c r="J22" i="1"/>
  <c r="L22" i="1"/>
  <c r="I22" i="1"/>
  <c r="E22" i="1"/>
  <c r="D22" i="1"/>
  <c r="H22" i="1"/>
  <c r="F20" i="1"/>
  <c r="C30" i="1"/>
  <c r="C33" i="1" s="1"/>
  <c r="C12" i="1" s="1"/>
  <c r="C13" i="1" s="1"/>
  <c r="D30" i="1"/>
  <c r="D33" i="1" s="1"/>
  <c r="D12" i="1" s="1"/>
  <c r="D13" i="1" s="1"/>
  <c r="E30" i="1"/>
  <c r="E33" i="1" s="1"/>
  <c r="E12" i="1" s="1"/>
  <c r="G21" i="1"/>
  <c r="E11" i="1" l="1"/>
  <c r="E13" i="1" s="1"/>
  <c r="E10" i="1"/>
  <c r="G20" i="1"/>
  <c r="G26" i="1"/>
  <c r="F27" i="1"/>
  <c r="F9" i="1" s="1"/>
  <c r="G19" i="1"/>
  <c r="C14" i="1"/>
  <c r="G25" i="1"/>
  <c r="H21" i="1"/>
  <c r="F10" i="1" l="1"/>
  <c r="F11" i="1" s="1"/>
  <c r="F13" i="1" s="1"/>
  <c r="H26" i="1"/>
  <c r="H19" i="1"/>
  <c r="G27" i="1"/>
  <c r="G9" i="1" s="1"/>
  <c r="H25" i="1"/>
  <c r="H20" i="1"/>
  <c r="C15" i="1"/>
  <c r="C16" i="1" s="1"/>
  <c r="I21" i="1"/>
  <c r="C4" i="1"/>
  <c r="G10" i="1" l="1"/>
  <c r="H27" i="1"/>
  <c r="I26" i="1"/>
  <c r="I19" i="1"/>
  <c r="D14" i="1"/>
  <c r="H9" i="1"/>
  <c r="I25" i="1"/>
  <c r="G11" i="1"/>
  <c r="G13" i="1" s="1"/>
  <c r="I20" i="1"/>
  <c r="H10" i="1"/>
  <c r="J21" i="1"/>
  <c r="I27" i="1" l="1"/>
  <c r="I9" i="1" s="1"/>
  <c r="J19" i="1"/>
  <c r="J26" i="1"/>
  <c r="H11" i="1"/>
  <c r="H13" i="1" s="1"/>
  <c r="J25" i="1"/>
  <c r="J20" i="1"/>
  <c r="I10" i="1"/>
  <c r="D15" i="1"/>
  <c r="D16" i="1" s="1"/>
  <c r="K21" i="1"/>
  <c r="K20" i="1" l="1"/>
  <c r="I11" i="1"/>
  <c r="I13" i="1" s="1"/>
  <c r="E14" i="1"/>
  <c r="K25" i="1"/>
  <c r="K26" i="1"/>
  <c r="K19" i="1"/>
  <c r="J27" i="1"/>
  <c r="J10" i="1" s="1"/>
  <c r="L21" i="1"/>
  <c r="J9" i="1" l="1"/>
  <c r="J11" i="1" s="1"/>
  <c r="J13" i="1" s="1"/>
  <c r="L20" i="1"/>
  <c r="L25" i="1"/>
  <c r="L26" i="1"/>
  <c r="L27" i="1" s="1"/>
  <c r="L19" i="1"/>
  <c r="K27" i="1"/>
  <c r="K9" i="1" s="1"/>
  <c r="E15" i="1"/>
  <c r="E16" i="1" s="1"/>
  <c r="K10" i="1" l="1"/>
  <c r="K11" i="1"/>
  <c r="K13" i="1" s="1"/>
  <c r="L10" i="1"/>
  <c r="F14" i="1"/>
  <c r="L9" i="1"/>
  <c r="L11" i="1" l="1"/>
  <c r="L13" i="1" s="1"/>
  <c r="F15" i="1"/>
  <c r="F16" i="1" s="1"/>
  <c r="G14" i="1" l="1"/>
  <c r="G15" i="1" l="1"/>
  <c r="G16" i="1" s="1"/>
  <c r="H14" i="1" l="1"/>
  <c r="H15" i="1" l="1"/>
  <c r="H16" i="1" s="1"/>
  <c r="I14" i="1" l="1"/>
  <c r="I15" i="1" l="1"/>
  <c r="I16" i="1" s="1"/>
  <c r="J14" i="1" l="1"/>
  <c r="J15" i="1" l="1"/>
  <c r="J16" i="1" s="1"/>
  <c r="K14" i="1" l="1"/>
  <c r="K15" i="1" l="1"/>
  <c r="K16" i="1" s="1"/>
  <c r="L14" i="1" l="1"/>
  <c r="L15" i="1" s="1"/>
  <c r="L16" i="1" s="1"/>
</calcChain>
</file>

<file path=xl/sharedStrings.xml><?xml version="1.0" encoding="utf-8"?>
<sst xmlns="http://schemas.openxmlformats.org/spreadsheetml/2006/main" count="83" uniqueCount="57">
  <si>
    <t>NPV (10%)</t>
  </si>
  <si>
    <t>Year</t>
  </si>
  <si>
    <t>Cash Flow</t>
  </si>
  <si>
    <t>Total Revenue</t>
  </si>
  <si>
    <t>Cost of Goods Sold</t>
  </si>
  <si>
    <t>Gross Margin</t>
  </si>
  <si>
    <t>Operating Expenses</t>
  </si>
  <si>
    <t>Earnings Before Taxes</t>
  </si>
  <si>
    <t>Tax Basis</t>
  </si>
  <si>
    <t>Income Tax</t>
  </si>
  <si>
    <t>Net Income</t>
  </si>
  <si>
    <t>Market Conditions</t>
  </si>
  <si>
    <t>Number of Competitors</t>
  </si>
  <si>
    <t>Unit Cost</t>
  </si>
  <si>
    <t>Inflation Rate</t>
  </si>
  <si>
    <t>Tax Rate</t>
  </si>
  <si>
    <t>Sales Activity</t>
  </si>
  <si>
    <t>Sales Price</t>
  </si>
  <si>
    <t>Sales Volume</t>
  </si>
  <si>
    <t>Production Expense</t>
  </si>
  <si>
    <t>Product Development</t>
  </si>
  <si>
    <t>Capital Expenses</t>
  </si>
  <si>
    <t>Overhead</t>
  </si>
  <si>
    <t>Total Expenses</t>
  </si>
  <si>
    <t>Market volume</t>
  </si>
  <si>
    <t>Gibbons</t>
  </si>
  <si>
    <t>Gumbel</t>
  </si>
  <si>
    <t>Combined estimate</t>
  </si>
  <si>
    <t>Market growth</t>
  </si>
  <si>
    <t>Exercise</t>
  </si>
  <si>
    <t>You are evaluating a new company making fuel cells for hospital power plants.  Currently there are no competitors.</t>
  </si>
  <si>
    <t>Part 1</t>
  </si>
  <si>
    <t>Past yearly inflation change</t>
  </si>
  <si>
    <t>Part 2</t>
  </si>
  <si>
    <t>Part 3</t>
  </si>
  <si>
    <t>Part 4</t>
  </si>
  <si>
    <t>Question</t>
  </si>
  <si>
    <t>Present the NPV distribution at 10% discount rate.</t>
  </si>
  <si>
    <t>Cumulative probability</t>
  </si>
  <si>
    <t>Rank</t>
  </si>
  <si>
    <t>Minimum</t>
  </si>
  <si>
    <t>Maximum</t>
  </si>
  <si>
    <t>(a, b, c) notation means a distribution with min = a, most likely = b, and max = c.</t>
  </si>
  <si>
    <t>Election date</t>
  </si>
  <si>
    <t>New tax rate</t>
  </si>
  <si>
    <t>Competitor entry thresholds</t>
  </si>
  <si>
    <t>1 competitor</t>
  </si>
  <si>
    <t>Market size</t>
  </si>
  <si>
    <t>2 competitors</t>
  </si>
  <si>
    <t>Conservatives get in? (1=yes)</t>
  </si>
  <si>
    <t>Development cost spread</t>
  </si>
  <si>
    <t>Base value: no uncertainty added</t>
  </si>
  <si>
    <t>NPV of a capital investment</t>
  </si>
  <si>
    <t>You expect one competitor to emerge as soon as the market volume reaches 3,500 units in the previous year. A second would appear at 8,500 units. Your competitors' share of the market would grow linearly to an equal share in the market after three years.</t>
  </si>
  <si>
    <t>NPV of a capital investment (no uncertainly)</t>
  </si>
  <si>
    <t>NPV of a capital investment (uncertainly included)</t>
  </si>
  <si>
    <r>
      <t xml:space="preserve">Problem: </t>
    </r>
    <r>
      <rPr>
        <sz val="10"/>
        <rFont val="Arial"/>
        <family val="2"/>
      </rPr>
      <t>The next tab "Static model" shows an NPV calculation of a project, which does not include uncertainty. Calculate the distribution of NPV including the uncertainties listed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</si>
</sst>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00%"/>
    <numFmt numFmtId="168" formatCode="0.000%"/>
    <numFmt numFmtId="169" formatCode="#,##0;\(#,##0\)"/>
    <numFmt numFmtId="170" formatCode="m/d/yy\ h:mm:ss"/>
    <numFmt numFmtId="171" formatCode="&quot;$&quot;#,##0"/>
  </numFmts>
  <fonts count="30" x14ac:knownFonts="1">
    <font>
      <sz val="10"/>
      <name val="Arial"/>
    </font>
    <font>
      <sz val="10"/>
      <name val="Arial"/>
      <family val="2"/>
    </font>
    <font>
      <sz val="8"/>
      <name val="Arial"/>
      <family val="2"/>
    </font>
    <font>
      <sz val="10"/>
      <color indexed="10"/>
      <name val="Arial"/>
      <family val="2"/>
    </font>
    <font>
      <sz val="10"/>
      <color indexed="17"/>
      <name val="Arial"/>
      <family val="2"/>
    </font>
    <font>
      <sz val="10"/>
      <name val="Arial"/>
      <family val="2"/>
    </font>
    <font>
      <b/>
      <sz val="10"/>
      <name val="Arial"/>
      <family val="2"/>
    </font>
    <font>
      <b/>
      <sz val="8"/>
      <name val="Arial"/>
      <family val="2"/>
    </font>
    <font>
      <sz val="11"/>
      <name val="Arial"/>
      <family val="2"/>
    </font>
    <font>
      <sz val="11"/>
      <name val="Times New Roman"/>
      <family val="1"/>
    </font>
    <font>
      <b/>
      <sz val="11"/>
      <name val="Times New Roman"/>
      <family val="1"/>
    </font>
    <font>
      <b/>
      <sz val="11"/>
      <color indexed="10"/>
      <name val="Times New Roman"/>
      <family val="1"/>
    </font>
    <font>
      <sz val="11"/>
      <color indexed="10"/>
      <name val="Times New Roman"/>
      <family val="1"/>
    </font>
    <font>
      <sz val="10"/>
      <color indexed="8"/>
      <name val="Arial"/>
      <family val="2"/>
    </font>
    <font>
      <sz val="14"/>
      <name val="Arial"/>
      <family val="2"/>
    </font>
    <font>
      <i/>
      <sz val="10"/>
      <name val="Arial"/>
      <family val="2"/>
    </font>
    <font>
      <b/>
      <sz val="9"/>
      <name val="Arial"/>
      <family val="2"/>
    </font>
    <font>
      <sz val="18"/>
      <name val="Arial"/>
      <family val="2"/>
    </font>
    <font>
      <sz val="8"/>
      <color indexed="12"/>
      <name val="Arial"/>
      <family val="2"/>
    </font>
    <font>
      <sz val="10"/>
      <color indexed="12"/>
      <name val="Arial"/>
      <family val="2"/>
    </font>
    <font>
      <sz val="8"/>
      <name val="Arial"/>
      <family val="2"/>
    </font>
    <font>
      <sz val="8"/>
      <color indexed="12"/>
      <name val="Arial"/>
      <family val="2"/>
    </font>
    <font>
      <i/>
      <sz val="11"/>
      <name val="Times New Roman"/>
      <family val="1"/>
    </font>
    <font>
      <sz val="8"/>
      <color indexed="8"/>
      <name val="Arial"/>
      <family val="2"/>
    </font>
    <font>
      <sz val="11"/>
      <color indexed="12"/>
      <name val="Times New Roman"/>
      <family val="1"/>
    </font>
    <font>
      <b/>
      <sz val="10"/>
      <color indexed="10"/>
      <name val="Arial"/>
      <family val="2"/>
    </font>
    <font>
      <sz val="10"/>
      <name val="Times New Roman"/>
      <family val="1"/>
    </font>
    <font>
      <sz val="8"/>
      <color indexed="10"/>
      <name val="Arial"/>
      <family val="2"/>
    </font>
    <font>
      <sz val="16"/>
      <name val="Arial"/>
      <family val="2"/>
    </font>
    <font>
      <sz val="12"/>
      <name val="Times New Roman"/>
      <family val="1"/>
    </font>
  </fonts>
  <fills count="7">
    <fill>
      <patternFill patternType="none"/>
    </fill>
    <fill>
      <patternFill patternType="gray125"/>
    </fill>
    <fill>
      <patternFill patternType="solid">
        <fgColor indexed="9"/>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42"/>
        <bgColor indexed="64"/>
      </patternFill>
    </fill>
  </fills>
  <borders count="77">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style="thin">
        <color indexed="64"/>
      </left>
      <right/>
      <top/>
      <bottom style="dashed">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s>
  <cellStyleXfs count="36">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xf numFmtId="167"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13"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Protection="0">
      <alignment horizontal="left"/>
    </xf>
    <xf numFmtId="0" fontId="1" fillId="2" borderId="0" applyNumberFormat="0" applyFont="0" applyBorder="0" applyAlignment="0" applyProtection="0"/>
    <xf numFmtId="0" fontId="17" fillId="0" borderId="0" applyNumberFormat="0" applyFill="0" applyBorder="0" applyAlignment="0" applyProtection="0"/>
    <xf numFmtId="0" fontId="13"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70"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165">
    <xf numFmtId="0" fontId="0" fillId="0" borderId="0" xfId="0"/>
    <xf numFmtId="0" fontId="0" fillId="0" borderId="0" xfId="0" applyFill="1" applyBorder="1"/>
    <xf numFmtId="0" fontId="0" fillId="0" borderId="0" xfId="0" applyBorder="1"/>
    <xf numFmtId="0" fontId="3" fillId="0" borderId="0" xfId="0" applyFont="1" applyFill="1" applyBorder="1" applyAlignment="1">
      <alignment horizontal="center"/>
    </xf>
    <xf numFmtId="0" fontId="4" fillId="0" borderId="0" xfId="0" applyFont="1" applyFill="1" applyBorder="1" applyAlignment="1">
      <alignment horizontal="center"/>
    </xf>
    <xf numFmtId="0" fontId="5" fillId="0" borderId="0" xfId="0" applyFont="1" applyFill="1" applyBorder="1"/>
    <xf numFmtId="0" fontId="0" fillId="0" borderId="0" xfId="0" applyBorder="1" applyAlignment="1"/>
    <xf numFmtId="44" fontId="2" fillId="0" borderId="19" xfId="0" applyNumberFormat="1" applyFont="1" applyFill="1" applyBorder="1" applyAlignment="1"/>
    <xf numFmtId="44" fontId="2" fillId="0" borderId="20" xfId="0" applyNumberFormat="1" applyFont="1" applyFill="1" applyBorder="1" applyAlignment="1"/>
    <xf numFmtId="0" fontId="2" fillId="0" borderId="19" xfId="0" applyFont="1" applyFill="1" applyBorder="1" applyAlignment="1">
      <alignment horizontal="center"/>
    </xf>
    <xf numFmtId="0" fontId="2" fillId="0" borderId="19" xfId="0" applyFont="1" applyBorder="1" applyAlignment="1">
      <alignment horizontal="center"/>
    </xf>
    <xf numFmtId="9" fontId="2" fillId="0" borderId="19" xfId="0" applyNumberFormat="1" applyFont="1" applyFill="1" applyBorder="1" applyAlignment="1">
      <alignment horizontal="center"/>
    </xf>
    <xf numFmtId="9" fontId="2" fillId="0" borderId="19" xfId="0" applyNumberFormat="1" applyFont="1" applyBorder="1" applyAlignment="1">
      <alignment horizontal="center"/>
    </xf>
    <xf numFmtId="9" fontId="2" fillId="0" borderId="20" xfId="0" applyNumberFormat="1" applyFont="1" applyBorder="1" applyAlignment="1">
      <alignment horizontal="center"/>
    </xf>
    <xf numFmtId="7" fontId="2" fillId="0" borderId="19" xfId="0" applyNumberFormat="1" applyFont="1" applyFill="1" applyBorder="1" applyAlignment="1">
      <alignment horizontal="center"/>
    </xf>
    <xf numFmtId="7" fontId="2" fillId="0" borderId="19" xfId="0" applyNumberFormat="1" applyFont="1" applyBorder="1" applyAlignment="1">
      <alignment horizontal="center"/>
    </xf>
    <xf numFmtId="0" fontId="7" fillId="0" borderId="19" xfId="0" applyFont="1" applyBorder="1" applyAlignment="1">
      <alignment horizontal="center"/>
    </xf>
    <xf numFmtId="0" fontId="2" fillId="0" borderId="20" xfId="0" applyFont="1" applyFill="1" applyBorder="1" applyAlignment="1">
      <alignment horizontal="center"/>
    </xf>
    <xf numFmtId="0" fontId="2" fillId="0" borderId="20" xfId="0" applyFont="1" applyBorder="1" applyAlignment="1">
      <alignment horizontal="center"/>
    </xf>
    <xf numFmtId="44" fontId="2" fillId="0" borderId="19" xfId="0" applyNumberFormat="1" applyFont="1" applyBorder="1" applyAlignment="1"/>
    <xf numFmtId="164" fontId="2" fillId="0" borderId="19" xfId="1" applyNumberFormat="1" applyFont="1" applyBorder="1" applyAlignment="1">
      <alignment horizontal="center"/>
    </xf>
    <xf numFmtId="164" fontId="2" fillId="0" borderId="20" xfId="1" applyNumberFormat="1" applyFont="1" applyBorder="1" applyAlignment="1">
      <alignment horizontal="center"/>
    </xf>
    <xf numFmtId="168" fontId="5" fillId="0" borderId="0" xfId="0" applyNumberFormat="1" applyFont="1" applyFill="1" applyBorder="1"/>
    <xf numFmtId="9" fontId="0" fillId="0" borderId="0" xfId="0" applyNumberFormat="1" applyBorder="1"/>
    <xf numFmtId="169" fontId="10" fillId="0" borderId="0" xfId="3" applyNumberFormat="1" applyFont="1" applyAlignment="1">
      <alignment vertical="top" wrapText="1"/>
    </xf>
    <xf numFmtId="169" fontId="9" fillId="0" borderId="0" xfId="3" applyNumberFormat="1" applyFont="1"/>
    <xf numFmtId="169" fontId="9" fillId="0" borderId="0" xfId="3" applyNumberFormat="1" applyFont="1" applyAlignment="1">
      <alignment vertical="top" wrapText="1"/>
    </xf>
    <xf numFmtId="169" fontId="12" fillId="0" borderId="0" xfId="3" applyNumberFormat="1" applyFont="1" applyAlignment="1">
      <alignment vertical="top" wrapText="1"/>
    </xf>
    <xf numFmtId="10" fontId="9" fillId="0" borderId="21" xfId="4" applyNumberFormat="1" applyFont="1" applyBorder="1" applyAlignment="1">
      <alignment horizontal="center"/>
    </xf>
    <xf numFmtId="10" fontId="9" fillId="0" borderId="22" xfId="4" applyNumberFormat="1" applyFont="1" applyBorder="1" applyAlignment="1">
      <alignment horizontal="center"/>
    </xf>
    <xf numFmtId="165" fontId="18" fillId="0" borderId="19" xfId="0" applyNumberFormat="1" applyFont="1" applyBorder="1" applyAlignment="1">
      <alignment horizontal="center"/>
    </xf>
    <xf numFmtId="168" fontId="19" fillId="0" borderId="0" xfId="0" applyNumberFormat="1" applyFont="1" applyFill="1" applyBorder="1"/>
    <xf numFmtId="164" fontId="18" fillId="0" borderId="19" xfId="1" applyNumberFormat="1" applyFont="1" applyBorder="1" applyAlignment="1">
      <alignment horizontal="center"/>
    </xf>
    <xf numFmtId="0" fontId="21" fillId="0" borderId="0" xfId="0" applyFont="1" applyFill="1" applyBorder="1" applyAlignment="1">
      <alignment horizontal="center"/>
    </xf>
    <xf numFmtId="9" fontId="18" fillId="0" borderId="20" xfId="0" applyNumberFormat="1" applyFont="1" applyFill="1" applyBorder="1" applyAlignment="1">
      <alignment horizontal="center"/>
    </xf>
    <xf numFmtId="165" fontId="23" fillId="0" borderId="19" xfId="0" applyNumberFormat="1" applyFont="1" applyBorder="1" applyAlignment="1">
      <alignment horizontal="center"/>
    </xf>
    <xf numFmtId="10" fontId="24" fillId="0" borderId="23" xfId="4" applyNumberFormat="1" applyFont="1" applyBorder="1" applyAlignment="1">
      <alignment horizontal="center"/>
    </xf>
    <xf numFmtId="10" fontId="24" fillId="0" borderId="24" xfId="4" applyNumberFormat="1" applyFont="1" applyBorder="1" applyAlignment="1">
      <alignment horizontal="center"/>
    </xf>
    <xf numFmtId="8" fontId="25" fillId="0" borderId="0" xfId="0" applyNumberFormat="1" applyFont="1" applyBorder="1"/>
    <xf numFmtId="166" fontId="2" fillId="0" borderId="19" xfId="0" applyNumberFormat="1" applyFont="1" applyFill="1" applyBorder="1" applyAlignment="1"/>
    <xf numFmtId="166" fontId="2" fillId="0" borderId="20" xfId="0" applyNumberFormat="1" applyFont="1" applyFill="1" applyBorder="1" applyAlignment="1"/>
    <xf numFmtId="166" fontId="7" fillId="0" borderId="19" xfId="0" applyNumberFormat="1" applyFont="1" applyFill="1" applyBorder="1" applyAlignment="1"/>
    <xf numFmtId="171" fontId="2" fillId="0" borderId="19" xfId="0" applyNumberFormat="1" applyFont="1" applyFill="1" applyBorder="1" applyAlignment="1">
      <alignment horizontal="center"/>
    </xf>
    <xf numFmtId="171" fontId="2" fillId="0" borderId="19" xfId="0" applyNumberFormat="1" applyFont="1" applyBorder="1" applyAlignment="1">
      <alignment horizontal="center"/>
    </xf>
    <xf numFmtId="171" fontId="18" fillId="0" borderId="19" xfId="0" applyNumberFormat="1" applyFont="1" applyBorder="1" applyAlignment="1">
      <alignment horizontal="center"/>
    </xf>
    <xf numFmtId="5" fontId="18" fillId="0" borderId="19" xfId="0" applyNumberFormat="1" applyFont="1" applyBorder="1" applyAlignment="1">
      <alignment horizontal="center"/>
    </xf>
    <xf numFmtId="5" fontId="2" fillId="0" borderId="19" xfId="0" applyNumberFormat="1" applyFont="1" applyBorder="1" applyAlignment="1">
      <alignment horizontal="center"/>
    </xf>
    <xf numFmtId="166" fontId="2" fillId="0" borderId="19" xfId="0" applyNumberFormat="1" applyFont="1" applyBorder="1" applyAlignment="1"/>
    <xf numFmtId="166" fontId="18" fillId="0" borderId="19" xfId="0" applyNumberFormat="1" applyFont="1" applyFill="1" applyBorder="1" applyAlignment="1"/>
    <xf numFmtId="166" fontId="18" fillId="0" borderId="19" xfId="0" applyNumberFormat="1" applyFont="1" applyBorder="1" applyAlignment="1"/>
    <xf numFmtId="166" fontId="18" fillId="0" borderId="20" xfId="0" applyNumberFormat="1" applyFont="1" applyBorder="1" applyAlignment="1"/>
    <xf numFmtId="169" fontId="9" fillId="0" borderId="25" xfId="3" applyNumberFormat="1" applyFont="1" applyBorder="1" applyAlignment="1">
      <alignment horizontal="center"/>
    </xf>
    <xf numFmtId="165" fontId="9" fillId="0" borderId="26" xfId="4" applyNumberFormat="1" applyFont="1" applyBorder="1" applyAlignment="1">
      <alignment horizontal="center"/>
    </xf>
    <xf numFmtId="169" fontId="9" fillId="0" borderId="27" xfId="3" applyNumberFormat="1" applyFont="1" applyBorder="1" applyAlignment="1">
      <alignment horizontal="center"/>
    </xf>
    <xf numFmtId="169" fontId="9" fillId="0" borderId="28" xfId="3" applyNumberFormat="1" applyFont="1" applyBorder="1" applyAlignment="1">
      <alignment horizontal="center"/>
    </xf>
    <xf numFmtId="10" fontId="24" fillId="0" borderId="29" xfId="4" applyNumberFormat="1" applyFont="1" applyBorder="1" applyAlignment="1">
      <alignment horizontal="center"/>
    </xf>
    <xf numFmtId="165" fontId="9" fillId="0" borderId="30" xfId="4" applyNumberFormat="1" applyFont="1" applyBorder="1" applyAlignment="1">
      <alignment horizontal="center"/>
    </xf>
    <xf numFmtId="0" fontId="6" fillId="3" borderId="31" xfId="0" applyFont="1" applyFill="1" applyBorder="1" applyAlignment="1">
      <alignment horizontal="center"/>
    </xf>
    <xf numFmtId="0" fontId="6" fillId="3" borderId="32" xfId="0" applyFont="1" applyFill="1" applyBorder="1" applyAlignment="1">
      <alignment horizontal="center"/>
    </xf>
    <xf numFmtId="0" fontId="0" fillId="0" borderId="33" xfId="0" applyFont="1" applyFill="1" applyBorder="1" applyAlignment="1"/>
    <xf numFmtId="166" fontId="2" fillId="0" borderId="34" xfId="0" applyNumberFormat="1" applyFont="1" applyFill="1" applyBorder="1" applyAlignment="1"/>
    <xf numFmtId="0" fontId="0" fillId="0" borderId="33" xfId="0" applyFill="1" applyBorder="1" applyAlignment="1"/>
    <xf numFmtId="0" fontId="0" fillId="0" borderId="35" xfId="0" applyFill="1" applyBorder="1" applyAlignment="1"/>
    <xf numFmtId="166" fontId="2" fillId="0" borderId="36" xfId="0" applyNumberFormat="1" applyFont="1" applyFill="1" applyBorder="1" applyAlignment="1"/>
    <xf numFmtId="166" fontId="7" fillId="0" borderId="34" xfId="0" applyNumberFormat="1" applyFont="1" applyFill="1" applyBorder="1" applyAlignment="1"/>
    <xf numFmtId="0" fontId="5" fillId="0" borderId="33" xfId="0" applyFont="1" applyFill="1" applyBorder="1"/>
    <xf numFmtId="0" fontId="7" fillId="0" borderId="34" xfId="0" applyFont="1" applyBorder="1" applyAlignment="1">
      <alignment horizontal="center"/>
    </xf>
    <xf numFmtId="171" fontId="2" fillId="0" borderId="34" xfId="0" applyNumberFormat="1" applyFont="1" applyBorder="1" applyAlignment="1">
      <alignment horizontal="center"/>
    </xf>
    <xf numFmtId="165" fontId="23" fillId="0" borderId="34" xfId="0" applyNumberFormat="1" applyFont="1" applyBorder="1" applyAlignment="1">
      <alignment horizontal="center"/>
    </xf>
    <xf numFmtId="0" fontId="5" fillId="0" borderId="35" xfId="0" applyFont="1" applyFill="1" applyBorder="1"/>
    <xf numFmtId="9" fontId="2" fillId="0" borderId="36" xfId="0" applyNumberFormat="1" applyFont="1" applyBorder="1" applyAlignment="1">
      <alignment horizontal="center"/>
    </xf>
    <xf numFmtId="0" fontId="5" fillId="0" borderId="33" xfId="0" applyFont="1" applyBorder="1"/>
    <xf numFmtId="5" fontId="2" fillId="0" borderId="34" xfId="0" applyNumberFormat="1" applyFont="1" applyBorder="1" applyAlignment="1">
      <alignment horizontal="center"/>
    </xf>
    <xf numFmtId="164" fontId="2" fillId="0" borderId="34" xfId="1" applyNumberFormat="1" applyFont="1" applyFill="1" applyBorder="1" applyAlignment="1">
      <alignment horizontal="center"/>
    </xf>
    <xf numFmtId="0" fontId="5" fillId="0" borderId="35" xfId="0" applyFont="1" applyBorder="1"/>
    <xf numFmtId="164" fontId="2" fillId="0" borderId="36" xfId="1" applyNumberFormat="1" applyFont="1" applyFill="1" applyBorder="1" applyAlignment="1">
      <alignment horizontal="center"/>
    </xf>
    <xf numFmtId="0" fontId="5" fillId="0" borderId="33" xfId="0" applyFont="1" applyBorder="1" applyAlignment="1"/>
    <xf numFmtId="166" fontId="2" fillId="0" borderId="34" xfId="0" applyNumberFormat="1" applyFont="1" applyBorder="1" applyAlignment="1"/>
    <xf numFmtId="0" fontId="5" fillId="0" borderId="35" xfId="0" applyFont="1" applyFill="1" applyBorder="1" applyAlignment="1"/>
    <xf numFmtId="166" fontId="18" fillId="0" borderId="36" xfId="0" applyNumberFormat="1" applyFont="1" applyBorder="1" applyAlignment="1"/>
    <xf numFmtId="169" fontId="26" fillId="3" borderId="37" xfId="3" applyNumberFormat="1" applyFont="1" applyFill="1" applyBorder="1"/>
    <xf numFmtId="169" fontId="26" fillId="3" borderId="38" xfId="3" applyNumberFormat="1" applyFont="1" applyFill="1" applyBorder="1"/>
    <xf numFmtId="0" fontId="0" fillId="0" borderId="39" xfId="0" applyFill="1" applyBorder="1" applyAlignment="1"/>
    <xf numFmtId="166" fontId="2" fillId="0" borderId="40" xfId="0" applyNumberFormat="1" applyFont="1" applyFill="1" applyBorder="1" applyAlignment="1"/>
    <xf numFmtId="166" fontId="2" fillId="0" borderId="41" xfId="0" applyNumberFormat="1" applyFont="1" applyFill="1" applyBorder="1" applyAlignment="1"/>
    <xf numFmtId="0" fontId="20" fillId="0" borderId="42" xfId="0" applyFont="1" applyFill="1" applyBorder="1" applyAlignment="1"/>
    <xf numFmtId="0" fontId="20" fillId="0" borderId="43" xfId="0" applyFont="1" applyFill="1" applyBorder="1" applyAlignment="1"/>
    <xf numFmtId="0" fontId="21" fillId="0" borderId="44" xfId="0" applyFont="1" applyFill="1" applyBorder="1" applyAlignment="1">
      <alignment horizontal="center"/>
    </xf>
    <xf numFmtId="0" fontId="20" fillId="0" borderId="45" xfId="0" applyFont="1" applyFill="1" applyBorder="1" applyAlignment="1"/>
    <xf numFmtId="0" fontId="21" fillId="0" borderId="46" xfId="0" applyFont="1" applyFill="1" applyBorder="1" applyAlignment="1">
      <alignment horizontal="center"/>
    </xf>
    <xf numFmtId="0" fontId="20" fillId="4" borderId="42" xfId="0" applyFont="1" applyFill="1" applyBorder="1" applyAlignment="1"/>
    <xf numFmtId="0" fontId="20" fillId="4" borderId="47" xfId="0" applyFont="1" applyFill="1" applyBorder="1" applyAlignment="1">
      <alignment horizontal="center"/>
    </xf>
    <xf numFmtId="166" fontId="21" fillId="0" borderId="47" xfId="2" applyNumberFormat="1" applyFont="1" applyFill="1" applyBorder="1" applyAlignment="1">
      <alignment horizontal="center"/>
    </xf>
    <xf numFmtId="166" fontId="21" fillId="0" borderId="44" xfId="2" applyNumberFormat="1" applyFont="1" applyFill="1" applyBorder="1" applyAlignment="1">
      <alignment horizontal="center"/>
    </xf>
    <xf numFmtId="166" fontId="20" fillId="0" borderId="44" xfId="2" applyNumberFormat="1" applyFont="1" applyFill="1" applyBorder="1" applyAlignment="1">
      <alignment horizontal="center"/>
    </xf>
    <xf numFmtId="165" fontId="21" fillId="0" borderId="44" xfId="4" applyNumberFormat="1" applyFont="1" applyFill="1" applyBorder="1" applyAlignment="1">
      <alignment horizontal="center"/>
    </xf>
    <xf numFmtId="9" fontId="21" fillId="0" borderId="46" xfId="4" applyFont="1" applyFill="1" applyBorder="1" applyAlignment="1">
      <alignment horizontal="center"/>
    </xf>
    <xf numFmtId="0" fontId="20" fillId="0" borderId="48" xfId="0" applyFont="1" applyFill="1" applyBorder="1" applyAlignment="1"/>
    <xf numFmtId="0" fontId="21" fillId="0" borderId="49" xfId="0" applyFont="1" applyFill="1" applyBorder="1" applyAlignment="1">
      <alignment horizontal="center"/>
    </xf>
    <xf numFmtId="0" fontId="21" fillId="0" borderId="50" xfId="0" applyFont="1" applyFill="1" applyBorder="1" applyAlignment="1">
      <alignment horizontal="center"/>
    </xf>
    <xf numFmtId="6" fontId="25" fillId="0" borderId="0" xfId="0" applyNumberFormat="1" applyFont="1" applyBorder="1"/>
    <xf numFmtId="0" fontId="6" fillId="3" borderId="51"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166" fontId="27" fillId="0" borderId="19" xfId="0" applyNumberFormat="1" applyFont="1" applyFill="1" applyBorder="1" applyAlignment="1"/>
    <xf numFmtId="166" fontId="27" fillId="0" borderId="34" xfId="0" applyNumberFormat="1" applyFont="1" applyFill="1" applyBorder="1" applyAlignment="1"/>
    <xf numFmtId="9" fontId="2" fillId="0" borderId="19" xfId="4" applyFont="1" applyBorder="1" applyAlignment="1">
      <alignment horizontal="center"/>
    </xf>
    <xf numFmtId="9" fontId="2" fillId="0" borderId="34" xfId="0" applyNumberFormat="1" applyFont="1" applyBorder="1" applyAlignment="1">
      <alignment horizontal="center"/>
    </xf>
    <xf numFmtId="0" fontId="2" fillId="0" borderId="34" xfId="0" applyFont="1" applyFill="1" applyBorder="1" applyAlignment="1">
      <alignment horizontal="center"/>
    </xf>
    <xf numFmtId="44" fontId="2" fillId="0" borderId="34" xfId="0" applyNumberFormat="1" applyFont="1" applyBorder="1" applyAlignment="1"/>
    <xf numFmtId="166" fontId="2" fillId="0" borderId="20" xfId="0" applyNumberFormat="1" applyFont="1" applyBorder="1" applyAlignment="1"/>
    <xf numFmtId="166" fontId="2" fillId="0" borderId="36" xfId="0" applyNumberFormat="1" applyFont="1" applyBorder="1" applyAlignment="1"/>
    <xf numFmtId="0" fontId="0" fillId="0" borderId="0" xfId="0" applyBorder="1" applyAlignment="1">
      <alignment horizontal="center"/>
    </xf>
    <xf numFmtId="0" fontId="0" fillId="0" borderId="0" xfId="0" applyProtection="1">
      <protection locked="0"/>
    </xf>
    <xf numFmtId="0" fontId="28" fillId="0" borderId="0" xfId="0" applyFont="1" applyProtection="1">
      <protection locked="0"/>
    </xf>
    <xf numFmtId="0" fontId="29" fillId="0" borderId="0" xfId="0" applyFont="1"/>
    <xf numFmtId="169" fontId="9" fillId="0" borderId="0" xfId="3" applyNumberFormat="1" applyFont="1" applyBorder="1" applyAlignment="1">
      <alignment vertical="top" wrapText="1"/>
    </xf>
    <xf numFmtId="0" fontId="6" fillId="3" borderId="54" xfId="0" applyFont="1" applyFill="1" applyBorder="1" applyAlignment="1">
      <alignment horizontal="center"/>
    </xf>
    <xf numFmtId="0" fontId="6" fillId="0" borderId="0" xfId="0" applyFont="1" applyFill="1" applyBorder="1"/>
    <xf numFmtId="0" fontId="6" fillId="0" borderId="0" xfId="0" applyFont="1" applyBorder="1"/>
    <xf numFmtId="169" fontId="12" fillId="0" borderId="0" xfId="3" applyNumberFormat="1" applyFont="1" applyAlignment="1">
      <alignment horizontal="left" vertical="top" wrapText="1"/>
    </xf>
    <xf numFmtId="169" fontId="9" fillId="3" borderId="37" xfId="3" applyNumberFormat="1" applyFont="1" applyFill="1" applyBorder="1" applyAlignment="1">
      <alignment horizontal="center" vertical="center" wrapText="1"/>
    </xf>
    <xf numFmtId="169" fontId="9" fillId="3" borderId="24" xfId="3" applyNumberFormat="1" applyFont="1" applyFill="1" applyBorder="1" applyAlignment="1">
      <alignment horizontal="center" vertical="center" wrapText="1"/>
    </xf>
    <xf numFmtId="169" fontId="10" fillId="5" borderId="55" xfId="3" applyNumberFormat="1" applyFont="1" applyFill="1" applyBorder="1" applyAlignment="1">
      <alignment horizontal="center" vertical="top" wrapText="1"/>
    </xf>
    <xf numFmtId="169" fontId="10" fillId="5" borderId="56" xfId="3" applyNumberFormat="1" applyFont="1" applyFill="1" applyBorder="1" applyAlignment="1">
      <alignment horizontal="center" vertical="top" wrapText="1"/>
    </xf>
    <xf numFmtId="169" fontId="10" fillId="5" borderId="22" xfId="3" applyNumberFormat="1" applyFont="1" applyFill="1" applyBorder="1" applyAlignment="1">
      <alignment horizontal="center" vertical="top" wrapText="1"/>
    </xf>
    <xf numFmtId="169" fontId="9" fillId="0" borderId="57" xfId="3" applyNumberFormat="1" applyFont="1" applyBorder="1" applyAlignment="1">
      <alignment horizontal="left" vertical="top" wrapText="1"/>
    </xf>
    <xf numFmtId="169" fontId="9" fillId="0" borderId="58" xfId="3" applyNumberFormat="1" applyFont="1" applyBorder="1" applyAlignment="1">
      <alignment horizontal="left" vertical="top" wrapText="1"/>
    </xf>
    <xf numFmtId="169" fontId="9" fillId="0" borderId="21" xfId="3" applyNumberFormat="1" applyFont="1" applyBorder="1" applyAlignment="1">
      <alignment horizontal="left" vertical="top" wrapText="1"/>
    </xf>
    <xf numFmtId="169" fontId="22" fillId="0" borderId="59" xfId="3" applyNumberFormat="1" applyFont="1" applyBorder="1" applyAlignment="1">
      <alignment horizontal="left" vertical="top" wrapText="1"/>
    </xf>
    <xf numFmtId="169" fontId="22" fillId="0" borderId="60" xfId="3" applyNumberFormat="1" applyFont="1" applyBorder="1" applyAlignment="1">
      <alignment horizontal="left" vertical="top" wrapText="1"/>
    </xf>
    <xf numFmtId="169" fontId="22" fillId="0" borderId="61" xfId="3" applyNumberFormat="1" applyFont="1" applyBorder="1" applyAlignment="1">
      <alignment horizontal="left" vertical="top" wrapText="1"/>
    </xf>
    <xf numFmtId="169" fontId="10" fillId="6" borderId="55" xfId="3" applyNumberFormat="1" applyFont="1" applyFill="1" applyBorder="1" applyAlignment="1">
      <alignment horizontal="center" vertical="top" wrapText="1"/>
    </xf>
    <xf numFmtId="169" fontId="10" fillId="6" borderId="56" xfId="3" applyNumberFormat="1" applyFont="1" applyFill="1" applyBorder="1" applyAlignment="1">
      <alignment horizontal="center" vertical="top" wrapText="1"/>
    </xf>
    <xf numFmtId="169" fontId="10" fillId="6" borderId="22" xfId="3" applyNumberFormat="1" applyFont="1" applyFill="1" applyBorder="1" applyAlignment="1">
      <alignment horizontal="center" vertical="top" wrapText="1"/>
    </xf>
    <xf numFmtId="0" fontId="6" fillId="6" borderId="51" xfId="0" applyFont="1" applyFill="1" applyBorder="1" applyAlignment="1" applyProtection="1">
      <alignment horizontal="left" wrapText="1"/>
      <protection locked="0"/>
    </xf>
    <xf numFmtId="0" fontId="0" fillId="6" borderId="62" xfId="0" applyFill="1" applyBorder="1" applyAlignment="1" applyProtection="1">
      <alignment horizontal="left" wrapText="1"/>
      <protection locked="0"/>
    </xf>
    <xf numFmtId="0" fontId="0" fillId="6" borderId="63" xfId="0" applyFill="1" applyBorder="1" applyAlignment="1" applyProtection="1">
      <alignment horizontal="left" wrapText="1"/>
      <protection locked="0"/>
    </xf>
    <xf numFmtId="0" fontId="0" fillId="6" borderId="39" xfId="0" applyFill="1" applyBorder="1" applyAlignment="1" applyProtection="1">
      <alignment horizontal="left" wrapText="1"/>
      <protection locked="0"/>
    </xf>
    <xf numFmtId="0" fontId="0" fillId="6" borderId="64" xfId="0" applyFill="1" applyBorder="1" applyAlignment="1" applyProtection="1">
      <alignment horizontal="left" wrapText="1"/>
      <protection locked="0"/>
    </xf>
    <xf numFmtId="0" fontId="0" fillId="6" borderId="30" xfId="0" applyFill="1" applyBorder="1" applyAlignment="1" applyProtection="1">
      <alignment horizontal="left" wrapText="1"/>
      <protection locked="0"/>
    </xf>
    <xf numFmtId="169" fontId="9" fillId="0" borderId="19" xfId="3" applyNumberFormat="1" applyFont="1" applyBorder="1" applyAlignment="1">
      <alignment horizontal="left" vertical="top" wrapText="1"/>
    </xf>
    <xf numFmtId="169" fontId="9" fillId="0" borderId="0" xfId="3" applyNumberFormat="1" applyFont="1" applyBorder="1" applyAlignment="1">
      <alignment horizontal="left" vertical="top" wrapText="1"/>
    </xf>
    <xf numFmtId="169" fontId="9" fillId="0" borderId="65" xfId="3" applyNumberFormat="1" applyFont="1" applyBorder="1" applyAlignment="1">
      <alignment horizontal="left" vertical="top" wrapText="1"/>
    </xf>
    <xf numFmtId="169" fontId="9" fillId="0" borderId="59" xfId="3" applyNumberFormat="1" applyFont="1" applyBorder="1" applyAlignment="1">
      <alignment horizontal="left" vertical="top" wrapText="1"/>
    </xf>
    <xf numFmtId="169" fontId="9" fillId="0" borderId="60" xfId="3" applyNumberFormat="1" applyFont="1" applyBorder="1" applyAlignment="1">
      <alignment horizontal="left" vertical="top" wrapText="1"/>
    </xf>
    <xf numFmtId="169" fontId="9" fillId="0" borderId="61" xfId="3" applyNumberFormat="1" applyFont="1" applyBorder="1" applyAlignment="1">
      <alignment horizontal="left" vertical="top" wrapText="1"/>
    </xf>
    <xf numFmtId="169" fontId="11" fillId="5" borderId="55" xfId="3" applyNumberFormat="1" applyFont="1" applyFill="1" applyBorder="1" applyAlignment="1">
      <alignment horizontal="center" vertical="top" wrapText="1"/>
    </xf>
    <xf numFmtId="169" fontId="11" fillId="5" borderId="56" xfId="3" applyNumberFormat="1" applyFont="1" applyFill="1" applyBorder="1" applyAlignment="1">
      <alignment horizontal="center" vertical="top" wrapText="1"/>
    </xf>
    <xf numFmtId="169" fontId="11" fillId="5" borderId="22" xfId="3" applyNumberFormat="1" applyFont="1" applyFill="1" applyBorder="1" applyAlignment="1">
      <alignment horizontal="center" vertical="top" wrapText="1"/>
    </xf>
    <xf numFmtId="0" fontId="6" fillId="4" borderId="66" xfId="0" applyFont="1" applyFill="1" applyBorder="1" applyAlignment="1">
      <alignment horizontal="center" vertical="distributed"/>
    </xf>
    <xf numFmtId="0" fontId="6" fillId="4" borderId="58" xfId="0" applyFont="1" applyFill="1" applyBorder="1" applyAlignment="1">
      <alignment horizontal="center" vertical="distributed"/>
    </xf>
    <xf numFmtId="0" fontId="6" fillId="4" borderId="67" xfId="0" applyFont="1" applyFill="1" applyBorder="1" applyAlignment="1">
      <alignment horizontal="center" vertical="distributed"/>
    </xf>
    <xf numFmtId="0" fontId="6" fillId="4" borderId="68" xfId="0" applyFont="1" applyFill="1" applyBorder="1" applyAlignment="1">
      <alignment horizontal="center" vertical="distributed"/>
    </xf>
    <xf numFmtId="0" fontId="6" fillId="4" borderId="60" xfId="0" applyFont="1" applyFill="1" applyBorder="1" applyAlignment="1">
      <alignment horizontal="center" vertical="distributed"/>
    </xf>
    <xf numFmtId="0" fontId="6" fillId="4" borderId="69" xfId="0" applyFont="1" applyFill="1" applyBorder="1" applyAlignment="1">
      <alignment horizontal="center" vertical="distributed"/>
    </xf>
    <xf numFmtId="49" fontId="26" fillId="3" borderId="53" xfId="3" applyNumberFormat="1" applyFont="1" applyFill="1" applyBorder="1" applyAlignment="1">
      <alignment horizontal="center" vertical="center" wrapText="1"/>
    </xf>
    <xf numFmtId="49" fontId="26" fillId="3" borderId="70" xfId="3" applyNumberFormat="1" applyFont="1" applyFill="1" applyBorder="1" applyAlignment="1">
      <alignment horizontal="center" vertical="center" wrapText="1"/>
    </xf>
    <xf numFmtId="0" fontId="6" fillId="4" borderId="71" xfId="0" applyFont="1" applyFill="1" applyBorder="1" applyAlignment="1">
      <alignment horizontal="center" vertical="distributed"/>
    </xf>
    <xf numFmtId="0" fontId="6" fillId="4" borderId="72" xfId="0" applyFont="1" applyFill="1" applyBorder="1" applyAlignment="1">
      <alignment horizontal="center" vertical="distributed"/>
    </xf>
    <xf numFmtId="0" fontId="6" fillId="4" borderId="73" xfId="0" applyFont="1" applyFill="1" applyBorder="1" applyAlignment="1">
      <alignment horizontal="center" vertical="distributed"/>
    </xf>
    <xf numFmtId="169" fontId="26" fillId="3" borderId="74" xfId="3" applyNumberFormat="1" applyFont="1" applyFill="1" applyBorder="1" applyAlignment="1">
      <alignment horizontal="center" vertical="center" wrapText="1"/>
    </xf>
    <xf numFmtId="169" fontId="26" fillId="3" borderId="75" xfId="3" applyNumberFormat="1" applyFont="1" applyFill="1" applyBorder="1" applyAlignment="1">
      <alignment horizontal="center" vertical="center" wrapText="1"/>
    </xf>
    <xf numFmtId="49" fontId="26" fillId="3" borderId="76" xfId="3" applyNumberFormat="1" applyFont="1" applyFill="1" applyBorder="1" applyAlignment="1">
      <alignment horizontal="center" vertical="center" wrapText="1"/>
    </xf>
    <xf numFmtId="49" fontId="26" fillId="3" borderId="24" xfId="3" applyNumberFormat="1" applyFont="1" applyFill="1" applyBorder="1" applyAlignment="1">
      <alignment horizontal="center" vertical="center" wrapText="1"/>
    </xf>
  </cellXfs>
  <cellStyles count="36">
    <cellStyle name="Comma" xfId="1" builtinId="3"/>
    <cellStyle name="Currency" xfId="2" builtinId="4"/>
    <cellStyle name="Normal" xfId="0" builtinId="0"/>
    <cellStyle name="Normal_@Risk example" xfId="3"/>
    <cellStyle name="Percent" xfId="4" builtinId="5"/>
    <cellStyle name="RISKbigPercent" xfId="5"/>
    <cellStyle name="RISKblandrEdge" xfId="6"/>
    <cellStyle name="RISKblCorner" xfId="7"/>
    <cellStyle name="RISKbottomEdge" xfId="8"/>
    <cellStyle name="RISKbrCorner" xfId="9"/>
    <cellStyle name="RISKdarkBoxed" xfId="10"/>
    <cellStyle name="RISKdarkShade" xfId="11"/>
    <cellStyle name="RISKdbottomEdge" xfId="12"/>
    <cellStyle name="RISKdrightEdge" xfId="13"/>
    <cellStyle name="RISKdurationTime" xfId="14"/>
    <cellStyle name="RISKinNumber" xfId="15"/>
    <cellStyle name="RISKlandrEdge" xfId="16"/>
    <cellStyle name="RISKleftEdge" xfId="17"/>
    <cellStyle name="RISKlightBoxed" xfId="18"/>
    <cellStyle name="RISKltandbEdge" xfId="19"/>
    <cellStyle name="RISKnormBoxed" xfId="20"/>
    <cellStyle name="RISKnormCenter" xfId="21"/>
    <cellStyle name="RISKnormHeading" xfId="22"/>
    <cellStyle name="RISKnormItal" xfId="23"/>
    <cellStyle name="RISKnormLabel" xfId="24"/>
    <cellStyle name="RISKnormShade" xfId="25"/>
    <cellStyle name="RISKnormTitle" xfId="26"/>
    <cellStyle name="RISKoutNumber" xfId="27"/>
    <cellStyle name="RISKrightEdge" xfId="28"/>
    <cellStyle name="RISKrtandbEdge" xfId="29"/>
    <cellStyle name="RISKssTime" xfId="30"/>
    <cellStyle name="RISKtandbEdge" xfId="31"/>
    <cellStyle name="RISKtlandrEdge" xfId="32"/>
    <cellStyle name="RISKtlCorner" xfId="33"/>
    <cellStyle name="RISKtopEdge" xfId="34"/>
    <cellStyle name="RISKtrCorner" xfId="3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2</xdr:col>
      <xdr:colOff>1244600</xdr:colOff>
      <xdr:row>30</xdr:row>
      <xdr:rowOff>114300</xdr:rowOff>
    </xdr:from>
    <xdr:to>
      <xdr:col>4</xdr:col>
      <xdr:colOff>876300</xdr:colOff>
      <xdr:row>30</xdr:row>
      <xdr:rowOff>114300</xdr:rowOff>
    </xdr:to>
    <xdr:sp macro="" textlink="">
      <xdr:nvSpPr>
        <xdr:cNvPr id="2069" name="Line 1">
          <a:extLst>
            <a:ext uri="{FF2B5EF4-FFF2-40B4-BE49-F238E27FC236}">
              <a16:creationId xmlns:a16="http://schemas.microsoft.com/office/drawing/2014/main" id="{4A01E275-3AE4-41A8-AADF-CF6AE65DC79B}"/>
            </a:ext>
          </a:extLst>
        </xdr:cNvPr>
        <xdr:cNvSpPr>
          <a:spLocks noChangeShapeType="1"/>
        </xdr:cNvSpPr>
      </xdr:nvSpPr>
      <xdr:spPr bwMode="auto">
        <a:xfrm flipV="1">
          <a:off x="4178300" y="6629400"/>
          <a:ext cx="4178300" cy="0"/>
        </a:xfrm>
        <a:prstGeom prst="line">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0</xdr:rowOff>
    </xdr:from>
    <xdr:to>
      <xdr:col>1</xdr:col>
      <xdr:colOff>2622550</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3E9EEE05-5DA6-426A-BAEE-D2F742E5A0B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622550"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546100</xdr:colOff>
      <xdr:row>1</xdr:row>
      <xdr:rowOff>209550</xdr:rowOff>
    </xdr:to>
    <xdr:pic>
      <xdr:nvPicPr>
        <xdr:cNvPr id="4106" name="Picture 2" descr="logo-final-epix.jpg">
          <a:hlinkClick xmlns:r="http://schemas.openxmlformats.org/officeDocument/2006/relationships" r:id="rId1"/>
          <a:extLst>
            <a:ext uri="{FF2B5EF4-FFF2-40B4-BE49-F238E27FC236}">
              <a16:creationId xmlns:a16="http://schemas.microsoft.com/office/drawing/2014/main" id="{9252E37C-E579-44D4-ACF9-90286A9D06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400" y="0"/>
          <a:ext cx="257175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260350</xdr:colOff>
      <xdr:row>1</xdr:row>
      <xdr:rowOff>177800</xdr:rowOff>
    </xdr:to>
    <xdr:pic>
      <xdr:nvPicPr>
        <xdr:cNvPr id="1118" name="Picture 2" descr="logo-final-epix.jpg">
          <a:hlinkClick xmlns:r="http://schemas.openxmlformats.org/officeDocument/2006/relationships" r:id="rId1"/>
          <a:extLst>
            <a:ext uri="{FF2B5EF4-FFF2-40B4-BE49-F238E27FC236}">
              <a16:creationId xmlns:a16="http://schemas.microsoft.com/office/drawing/2014/main" id="{71273E37-E926-4F59-9F10-DECF742727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400" y="0"/>
          <a:ext cx="2622550" cy="136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41"/>
  <sheetViews>
    <sheetView showGridLines="0" tabSelected="1" workbookViewId="0"/>
  </sheetViews>
  <sheetFormatPr defaultColWidth="12.7265625" defaultRowHeight="14" x14ac:dyDescent="0.3"/>
  <cols>
    <col min="1" max="1" width="2.7265625" style="25" customWidth="1"/>
    <col min="2" max="2" width="39.26953125" style="26" customWidth="1"/>
    <col min="3" max="4" width="32.54296875" style="25" customWidth="1"/>
    <col min="5" max="5" width="12.7265625" style="25" customWidth="1"/>
    <col min="6" max="6" width="16.1796875" style="25" customWidth="1"/>
    <col min="7" max="16384" width="12.7265625" style="25"/>
  </cols>
  <sheetData>
    <row r="1" spans="2:6" s="113" customFormat="1" ht="93" customHeight="1" x14ac:dyDescent="0.25"/>
    <row r="2" spans="2:6" s="113" customFormat="1" ht="17.25" customHeight="1" x14ac:dyDescent="0.4">
      <c r="C2" s="114" t="s">
        <v>52</v>
      </c>
    </row>
    <row r="3" spans="2:6" s="113" customFormat="1" ht="17.25" customHeight="1" x14ac:dyDescent="0.35">
      <c r="E3" s="115"/>
    </row>
    <row r="4" spans="2:6" s="113" customFormat="1" ht="14.25" customHeight="1" thickBot="1" x14ac:dyDescent="0.4">
      <c r="E4" s="115"/>
    </row>
    <row r="5" spans="2:6" s="113" customFormat="1" ht="15" customHeight="1" x14ac:dyDescent="0.35">
      <c r="B5" s="135" t="s">
        <v>56</v>
      </c>
      <c r="C5" s="136"/>
      <c r="D5" s="137"/>
      <c r="E5" s="115"/>
    </row>
    <row r="6" spans="2:6" s="113" customFormat="1" ht="14.25" customHeight="1" thickBot="1" x14ac:dyDescent="0.4">
      <c r="B6" s="138"/>
      <c r="C6" s="139"/>
      <c r="D6" s="140"/>
      <c r="E6" s="115"/>
    </row>
    <row r="7" spans="2:6" s="113" customFormat="1" ht="14.25" customHeight="1" x14ac:dyDescent="0.35">
      <c r="E7" s="115"/>
    </row>
    <row r="9" spans="2:6" x14ac:dyDescent="0.3">
      <c r="B9" s="123" t="s">
        <v>29</v>
      </c>
      <c r="C9" s="124"/>
      <c r="D9" s="125"/>
    </row>
    <row r="10" spans="2:6" x14ac:dyDescent="0.3">
      <c r="B10" s="25"/>
    </row>
    <row r="11" spans="2:6" x14ac:dyDescent="0.3">
      <c r="B11" s="126" t="s">
        <v>30</v>
      </c>
      <c r="C11" s="127"/>
      <c r="D11" s="128"/>
    </row>
    <row r="12" spans="2:6" ht="15" customHeight="1" x14ac:dyDescent="0.3">
      <c r="B12" s="129" t="s">
        <v>42</v>
      </c>
      <c r="C12" s="130"/>
      <c r="D12" s="131"/>
    </row>
    <row r="13" spans="2:6" ht="15" customHeight="1" x14ac:dyDescent="0.3">
      <c r="B13" s="25"/>
    </row>
    <row r="14" spans="2:6" ht="15" customHeight="1" x14ac:dyDescent="0.3">
      <c r="B14" s="132" t="s">
        <v>31</v>
      </c>
      <c r="C14" s="133"/>
      <c r="D14" s="134"/>
      <c r="F14" s="121" t="s">
        <v>32</v>
      </c>
    </row>
    <row r="15" spans="2:6" x14ac:dyDescent="0.3">
      <c r="B15" s="24"/>
      <c r="F15" s="122"/>
    </row>
    <row r="16" spans="2:6" ht="15" customHeight="1" x14ac:dyDescent="0.3">
      <c r="B16" s="126" t="str">
        <f ca="1">CONCATENATE("Product development cost have been estimated by F Gibbons to be  (70000, 80000, 120000) spread over ",YEAR(TODAY())+1," to ",YEAR(TODAY())+3," in the ratio 5:2:1. ","However P Gumbel considers the product development is (70000, 100000, 140000) in the same ratio and over the same period. ","Include these uncertainties in the model. Capital expenses and overheads are well defined and are not subject to change.")</f>
        <v>Product development cost have been estimated by F Gibbons to be  (70000, 80000, 120000) spread over 2018 to 2020 in the ratio 5:2:1. However P Gumbel considers the product development is (70000, 100000, 140000) in the same ratio and over the same period. Include these uncertainties in the model. Capital expenses and overheads are well defined and are not subject to change.</v>
      </c>
      <c r="C16" s="127"/>
      <c r="D16" s="128"/>
      <c r="F16" s="36">
        <v>1.5E-3</v>
      </c>
    </row>
    <row r="17" spans="2:6" ht="15" customHeight="1" x14ac:dyDescent="0.3">
      <c r="B17" s="141"/>
      <c r="C17" s="142"/>
      <c r="D17" s="143"/>
      <c r="F17" s="36">
        <v>1.9E-3</v>
      </c>
    </row>
    <row r="18" spans="2:6" x14ac:dyDescent="0.3">
      <c r="B18" s="141"/>
      <c r="C18" s="142"/>
      <c r="D18" s="143"/>
      <c r="F18" s="36">
        <v>-1.2999999999999999E-3</v>
      </c>
    </row>
    <row r="19" spans="2:6" x14ac:dyDescent="0.3">
      <c r="B19" s="144"/>
      <c r="C19" s="145"/>
      <c r="D19" s="146"/>
      <c r="F19" s="36">
        <v>-8.9999999999999998E-4</v>
      </c>
    </row>
    <row r="20" spans="2:6" x14ac:dyDescent="0.3">
      <c r="B20" s="116"/>
      <c r="C20" s="116"/>
      <c r="D20" s="116"/>
      <c r="F20" s="36">
        <v>4.3E-3</v>
      </c>
    </row>
    <row r="21" spans="2:6" x14ac:dyDescent="0.3">
      <c r="B21" s="132" t="s">
        <v>33</v>
      </c>
      <c r="C21" s="133"/>
      <c r="D21" s="134"/>
      <c r="F21" s="36">
        <v>3.0999999999999999E-3</v>
      </c>
    </row>
    <row r="22" spans="2:6" x14ac:dyDescent="0.3">
      <c r="B22" s="24"/>
      <c r="F22" s="36">
        <v>6.3E-3</v>
      </c>
    </row>
    <row r="23" spans="2:6" ht="15" customHeight="1" x14ac:dyDescent="0.3">
      <c r="B23" s="126" t="str">
        <f ca="1">CONCATENATE("Tax rate is fixed at 46% unless the Conservatives get in at the next election in ",YEAR(TODAY())+4," (20% chance) when the rate would drop to (32%, 35%, 46%). ", "Include this extra uncertainty in the model.")</f>
        <v>Tax rate is fixed at 46% unless the Conservatives get in at the next election in 2021 (20% chance) when the rate would drop to (32%, 35%, 46%). Include this extra uncertainty in the model.</v>
      </c>
      <c r="C23" s="127"/>
      <c r="D23" s="128"/>
      <c r="F23" s="36">
        <v>-2.7000000000000001E-3</v>
      </c>
    </row>
    <row r="24" spans="2:6" x14ac:dyDescent="0.3">
      <c r="B24" s="144"/>
      <c r="C24" s="145"/>
      <c r="D24" s="146"/>
      <c r="F24" s="36">
        <v>-5.4000000000000003E-3</v>
      </c>
    </row>
    <row r="25" spans="2:6" x14ac:dyDescent="0.3">
      <c r="B25" s="24"/>
      <c r="F25" s="36">
        <v>-5.5999999999999999E-3</v>
      </c>
    </row>
    <row r="26" spans="2:6" x14ac:dyDescent="0.3">
      <c r="B26" s="132" t="s">
        <v>34</v>
      </c>
      <c r="C26" s="133"/>
      <c r="D26" s="134"/>
      <c r="F26" s="36">
        <v>-1.6000000000000001E-3</v>
      </c>
    </row>
    <row r="27" spans="2:6" x14ac:dyDescent="0.3">
      <c r="B27" s="24"/>
      <c r="F27" s="36">
        <v>2.5000000000000001E-3</v>
      </c>
    </row>
    <row r="28" spans="2:6" ht="15" customHeight="1" x14ac:dyDescent="0.3">
      <c r="B28" s="126" t="str">
        <f ca="1">CONCATENATE("Market volume is expected to grow each year by (10%, 20%, 40%) beginning in ",YEAR(TODAY())+3," at (2500, 3000, 5000) up to a maximum of 20,000 units. ","Cost per unit in ",YEAR(TODAY())+3," is estimated at (22.75, 23.25, 24.5). ","Sales price per unit is estimated at (45, 58, 65) in ",YEAR(TODAY())+3,". Both the cost and sales price per unit are subject to inflation from ",YEAR(TODAY())+3," at a rate starting at  (3%, 4%, 6%) and varying yearly in a similar fashion to historic rates.")</f>
        <v>Market volume is expected to grow each year by (10%, 20%, 40%) beginning in 2020 at (2500, 3000, 5000) up to a maximum of 20,000 units. Cost per unit in 2020 is estimated at (22.75, 23.25, 24.5). Sales price per unit is estimated at (45, 58, 65) in 2020. Both the cost and sales price per unit are subject to inflation from 2020 at a rate starting at  (3%, 4%, 6%) and varying yearly in a similar fashion to historic rates.</v>
      </c>
      <c r="C28" s="127"/>
      <c r="D28" s="128"/>
      <c r="F28" s="36">
        <v>-4.1000000000000003E-3</v>
      </c>
    </row>
    <row r="29" spans="2:6" x14ac:dyDescent="0.3">
      <c r="B29" s="141"/>
      <c r="C29" s="142"/>
      <c r="D29" s="143"/>
      <c r="F29" s="36">
        <v>-2.5999999999999999E-3</v>
      </c>
    </row>
    <row r="30" spans="2:6" x14ac:dyDescent="0.3">
      <c r="B30" s="141"/>
      <c r="C30" s="142"/>
      <c r="D30" s="143"/>
      <c r="F30" s="36">
        <v>2.9999999999999997E-4</v>
      </c>
    </row>
    <row r="31" spans="2:6" ht="15" customHeight="1" x14ac:dyDescent="0.3">
      <c r="B31" s="144"/>
      <c r="C31" s="145"/>
      <c r="D31" s="146"/>
      <c r="F31" s="36">
        <v>2.8999999999999998E-3</v>
      </c>
    </row>
    <row r="32" spans="2:6" x14ac:dyDescent="0.3">
      <c r="F32" s="36">
        <v>-4.4000000000000003E-3</v>
      </c>
    </row>
    <row r="33" spans="2:6" x14ac:dyDescent="0.3">
      <c r="B33" s="132" t="s">
        <v>35</v>
      </c>
      <c r="C33" s="133"/>
      <c r="D33" s="134"/>
      <c r="F33" s="36">
        <v>7.1999999999999998E-3</v>
      </c>
    </row>
    <row r="34" spans="2:6" ht="15" customHeight="1" x14ac:dyDescent="0.3">
      <c r="F34" s="36">
        <v>-5.9999999999999995E-4</v>
      </c>
    </row>
    <row r="35" spans="2:6" ht="15" customHeight="1" x14ac:dyDescent="0.3">
      <c r="B35" s="126" t="s">
        <v>53</v>
      </c>
      <c r="C35" s="127"/>
      <c r="D35" s="128"/>
      <c r="F35" s="36">
        <v>-2E-3</v>
      </c>
    </row>
    <row r="36" spans="2:6" x14ac:dyDescent="0.3">
      <c r="B36" s="141"/>
      <c r="C36" s="142"/>
      <c r="D36" s="143"/>
      <c r="F36" s="36">
        <v>-3.2000000000000002E-3</v>
      </c>
    </row>
    <row r="37" spans="2:6" x14ac:dyDescent="0.3">
      <c r="B37" s="144"/>
      <c r="C37" s="145"/>
      <c r="D37" s="146"/>
      <c r="F37" s="37">
        <v>-3.3E-3</v>
      </c>
    </row>
    <row r="38" spans="2:6" x14ac:dyDescent="0.3">
      <c r="B38" s="25"/>
    </row>
    <row r="39" spans="2:6" x14ac:dyDescent="0.3">
      <c r="B39" s="147" t="s">
        <v>36</v>
      </c>
      <c r="C39" s="148"/>
      <c r="D39" s="149"/>
    </row>
    <row r="40" spans="2:6" x14ac:dyDescent="0.3">
      <c r="B40" s="27"/>
    </row>
    <row r="41" spans="2:6" x14ac:dyDescent="0.3">
      <c r="B41" s="120" t="s">
        <v>37</v>
      </c>
      <c r="C41" s="120"/>
      <c r="D41" s="120"/>
    </row>
  </sheetData>
  <mergeCells count="15">
    <mergeCell ref="B5:D6"/>
    <mergeCell ref="B35:D37"/>
    <mergeCell ref="B39:D39"/>
    <mergeCell ref="B26:D26"/>
    <mergeCell ref="B33:D33"/>
    <mergeCell ref="B23:D24"/>
    <mergeCell ref="B28:D31"/>
    <mergeCell ref="B21:D21"/>
    <mergeCell ref="B16:D19"/>
    <mergeCell ref="B41:D41"/>
    <mergeCell ref="F14:F15"/>
    <mergeCell ref="B9:D9"/>
    <mergeCell ref="B11:D11"/>
    <mergeCell ref="B12:D12"/>
    <mergeCell ref="B14:D14"/>
  </mergeCells>
  <phoneticPr fontId="0" type="noConversion"/>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44"/>
  <sheetViews>
    <sheetView showGridLines="0" workbookViewId="0"/>
  </sheetViews>
  <sheetFormatPr defaultColWidth="9.1796875" defaultRowHeight="12.5" x14ac:dyDescent="0.25"/>
  <cols>
    <col min="1" max="1" width="2.1796875" style="1" customWidth="1"/>
    <col min="2" max="2" width="20.26953125" bestFit="1" customWidth="1"/>
    <col min="3" max="4" width="8.7265625" customWidth="1"/>
    <col min="5" max="5" width="9" customWidth="1"/>
    <col min="6" max="8" width="8.7265625" customWidth="1"/>
    <col min="9" max="11" width="8.54296875" bestFit="1" customWidth="1"/>
    <col min="12" max="12" width="9.54296875" bestFit="1" customWidth="1"/>
    <col min="13" max="16384" width="9.1796875" style="1"/>
  </cols>
  <sheetData>
    <row r="1" spans="2:15" s="113" customFormat="1" ht="91.5" customHeight="1" x14ac:dyDescent="0.25"/>
    <row r="2" spans="2:15" s="113" customFormat="1" ht="17.25" customHeight="1" x14ac:dyDescent="0.4">
      <c r="C2" s="114"/>
      <c r="E2" s="114" t="s">
        <v>54</v>
      </c>
    </row>
    <row r="3" spans="2:15" s="113" customFormat="1" ht="17.25" customHeight="1" x14ac:dyDescent="0.35">
      <c r="E3" s="115"/>
    </row>
    <row r="4" spans="2:15" ht="13" x14ac:dyDescent="0.3">
      <c r="B4" s="118" t="s">
        <v>0</v>
      </c>
      <c r="C4" s="100">
        <f>NPV(0.1,C16:L16)</f>
        <v>-37134.151256459903</v>
      </c>
      <c r="D4" s="2"/>
      <c r="E4" s="119" t="s">
        <v>51</v>
      </c>
      <c r="F4" s="2"/>
      <c r="I4" s="100">
        <v>-37134.151256459903</v>
      </c>
      <c r="J4" s="2"/>
      <c r="K4" s="2"/>
      <c r="L4" s="2"/>
    </row>
    <row r="5" spans="2:15" ht="13" thickBot="1" x14ac:dyDescent="0.3">
      <c r="B5" s="2"/>
      <c r="C5" s="2"/>
      <c r="D5" s="2"/>
      <c r="E5" s="2"/>
      <c r="F5" s="2"/>
      <c r="G5" s="2"/>
      <c r="H5" s="2"/>
      <c r="I5" s="2"/>
      <c r="J5" s="2"/>
      <c r="K5" s="2"/>
      <c r="L5" s="2"/>
    </row>
    <row r="6" spans="2:15" ht="13" x14ac:dyDescent="0.3">
      <c r="B6" s="101" t="s">
        <v>1</v>
      </c>
      <c r="C6" s="102">
        <f ca="1">YEAR(TODAY())+1</f>
        <v>2018</v>
      </c>
      <c r="D6" s="102">
        <f t="shared" ref="D6:L6" ca="1" si="0">C6+1</f>
        <v>2019</v>
      </c>
      <c r="E6" s="102">
        <f t="shared" ca="1" si="0"/>
        <v>2020</v>
      </c>
      <c r="F6" s="102">
        <f t="shared" ca="1" si="0"/>
        <v>2021</v>
      </c>
      <c r="G6" s="102">
        <f t="shared" ca="1" si="0"/>
        <v>2022</v>
      </c>
      <c r="H6" s="102">
        <f t="shared" ca="1" si="0"/>
        <v>2023</v>
      </c>
      <c r="I6" s="102">
        <f t="shared" ca="1" si="0"/>
        <v>2024</v>
      </c>
      <c r="J6" s="102">
        <f t="shared" ca="1" si="0"/>
        <v>2025</v>
      </c>
      <c r="K6" s="102">
        <f t="shared" ca="1" si="0"/>
        <v>2026</v>
      </c>
      <c r="L6" s="103">
        <f t="shared" ca="1" si="0"/>
        <v>2027</v>
      </c>
      <c r="M6" s="3"/>
      <c r="N6" s="3"/>
      <c r="O6" s="3"/>
    </row>
    <row r="7" spans="2:15" x14ac:dyDescent="0.25">
      <c r="B7" s="150" t="s">
        <v>2</v>
      </c>
      <c r="C7" s="151"/>
      <c r="D7" s="151"/>
      <c r="E7" s="151"/>
      <c r="F7" s="151"/>
      <c r="G7" s="151"/>
      <c r="H7" s="151"/>
      <c r="I7" s="151"/>
      <c r="J7" s="151"/>
      <c r="K7" s="151"/>
      <c r="L7" s="152"/>
    </row>
    <row r="8" spans="2:15" x14ac:dyDescent="0.25">
      <c r="B8" s="153"/>
      <c r="C8" s="154"/>
      <c r="D8" s="154"/>
      <c r="E8" s="154"/>
      <c r="F8" s="154"/>
      <c r="G8" s="154"/>
      <c r="H8" s="154"/>
      <c r="I8" s="154"/>
      <c r="J8" s="154"/>
      <c r="K8" s="154"/>
      <c r="L8" s="155"/>
    </row>
    <row r="9" spans="2:15" x14ac:dyDescent="0.25">
      <c r="B9" s="59" t="s">
        <v>3</v>
      </c>
      <c r="C9" s="7">
        <f t="shared" ref="C9:L9" si="1">C25*C27</f>
        <v>0</v>
      </c>
      <c r="D9" s="7">
        <f t="shared" si="1"/>
        <v>0</v>
      </c>
      <c r="E9" s="39">
        <f t="shared" si="1"/>
        <v>174000</v>
      </c>
      <c r="F9" s="39">
        <f t="shared" si="1"/>
        <v>217152</v>
      </c>
      <c r="G9" s="39">
        <f t="shared" si="1"/>
        <v>135502.848</v>
      </c>
      <c r="H9" s="39">
        <f t="shared" si="1"/>
        <v>169107.55430400002</v>
      </c>
      <c r="I9" s="39">
        <f t="shared" si="1"/>
        <v>140697.48518092799</v>
      </c>
      <c r="J9" s="39">
        <f t="shared" si="1"/>
        <v>175590.46150579819</v>
      </c>
      <c r="K9" s="39">
        <f t="shared" si="1"/>
        <v>219136.89595923614</v>
      </c>
      <c r="L9" s="60">
        <f t="shared" si="1"/>
        <v>273482.84615712665</v>
      </c>
    </row>
    <row r="10" spans="2:15" x14ac:dyDescent="0.25">
      <c r="B10" s="59" t="s">
        <v>4</v>
      </c>
      <c r="C10" s="7">
        <f t="shared" ref="C10:L10" si="2">C20*C27</f>
        <v>0</v>
      </c>
      <c r="D10" s="7">
        <f t="shared" si="2"/>
        <v>0</v>
      </c>
      <c r="E10" s="39">
        <f t="shared" si="2"/>
        <v>69750</v>
      </c>
      <c r="F10" s="39">
        <f t="shared" si="2"/>
        <v>87048</v>
      </c>
      <c r="G10" s="39">
        <f t="shared" si="2"/>
        <v>54317.952000000005</v>
      </c>
      <c r="H10" s="39">
        <f t="shared" si="2"/>
        <v>67788.804096000007</v>
      </c>
      <c r="I10" s="39">
        <f t="shared" si="2"/>
        <v>56400.285007872008</v>
      </c>
      <c r="J10" s="39">
        <f t="shared" si="2"/>
        <v>70387.555689824279</v>
      </c>
      <c r="K10" s="39">
        <f t="shared" si="2"/>
        <v>87843.669500900694</v>
      </c>
      <c r="L10" s="60">
        <f t="shared" si="2"/>
        <v>109628.89953712406</v>
      </c>
    </row>
    <row r="11" spans="2:15" x14ac:dyDescent="0.25">
      <c r="B11" s="59" t="s">
        <v>5</v>
      </c>
      <c r="C11" s="7">
        <f t="shared" ref="C11:L11" si="3">C9-C10</f>
        <v>0</v>
      </c>
      <c r="D11" s="7">
        <f t="shared" si="3"/>
        <v>0</v>
      </c>
      <c r="E11" s="39">
        <f t="shared" si="3"/>
        <v>104250</v>
      </c>
      <c r="F11" s="39">
        <f t="shared" si="3"/>
        <v>130104</v>
      </c>
      <c r="G11" s="39">
        <f t="shared" si="3"/>
        <v>81184.895999999993</v>
      </c>
      <c r="H11" s="39">
        <f t="shared" si="3"/>
        <v>101318.75020800001</v>
      </c>
      <c r="I11" s="39">
        <f t="shared" si="3"/>
        <v>84297.200173055986</v>
      </c>
      <c r="J11" s="39">
        <f t="shared" si="3"/>
        <v>105202.90581597391</v>
      </c>
      <c r="K11" s="39">
        <f t="shared" si="3"/>
        <v>131293.22645833544</v>
      </c>
      <c r="L11" s="60">
        <f t="shared" si="3"/>
        <v>163853.94662000259</v>
      </c>
    </row>
    <row r="12" spans="2:15" x14ac:dyDescent="0.25">
      <c r="B12" s="59" t="s">
        <v>6</v>
      </c>
      <c r="C12" s="39">
        <f t="shared" ref="C12:L12" si="4">C33</f>
        <v>175000</v>
      </c>
      <c r="D12" s="39">
        <f t="shared" si="4"/>
        <v>175000</v>
      </c>
      <c r="E12" s="39">
        <f t="shared" si="4"/>
        <v>85000</v>
      </c>
      <c r="F12" s="39">
        <f t="shared" si="4"/>
        <v>55000</v>
      </c>
      <c r="G12" s="39">
        <f t="shared" si="4"/>
        <v>20000</v>
      </c>
      <c r="H12" s="39">
        <f t="shared" si="4"/>
        <v>20000</v>
      </c>
      <c r="I12" s="39">
        <f t="shared" si="4"/>
        <v>20000</v>
      </c>
      <c r="J12" s="39">
        <f t="shared" si="4"/>
        <v>25000</v>
      </c>
      <c r="K12" s="39">
        <f t="shared" si="4"/>
        <v>25000</v>
      </c>
      <c r="L12" s="60">
        <f t="shared" si="4"/>
        <v>25000</v>
      </c>
    </row>
    <row r="13" spans="2:15" x14ac:dyDescent="0.25">
      <c r="B13" s="61" t="s">
        <v>7</v>
      </c>
      <c r="C13" s="39">
        <f t="shared" ref="C13:L13" si="5">C11-C12</f>
        <v>-175000</v>
      </c>
      <c r="D13" s="39">
        <f t="shared" si="5"/>
        <v>-175000</v>
      </c>
      <c r="E13" s="39">
        <f t="shared" si="5"/>
        <v>19250</v>
      </c>
      <c r="F13" s="39">
        <f t="shared" si="5"/>
        <v>75104</v>
      </c>
      <c r="G13" s="39">
        <f t="shared" si="5"/>
        <v>61184.895999999993</v>
      </c>
      <c r="H13" s="39">
        <f t="shared" si="5"/>
        <v>81318.750208000012</v>
      </c>
      <c r="I13" s="39">
        <f t="shared" si="5"/>
        <v>64297.200173055986</v>
      </c>
      <c r="J13" s="39">
        <f t="shared" si="5"/>
        <v>80202.905815973907</v>
      </c>
      <c r="K13" s="39">
        <f t="shared" si="5"/>
        <v>106293.22645833544</v>
      </c>
      <c r="L13" s="60">
        <f t="shared" si="5"/>
        <v>138853.94662000259</v>
      </c>
    </row>
    <row r="14" spans="2:15" x14ac:dyDescent="0.25">
      <c r="B14" s="61" t="s">
        <v>8</v>
      </c>
      <c r="C14" s="39">
        <f>C13</f>
        <v>-175000</v>
      </c>
      <c r="D14" s="39">
        <f t="shared" ref="D14:L14" si="6">C14+D13-MAX((C15/C22),0)</f>
        <v>-350000</v>
      </c>
      <c r="E14" s="39">
        <f t="shared" si="6"/>
        <v>-330750</v>
      </c>
      <c r="F14" s="39">
        <f t="shared" si="6"/>
        <v>-255646</v>
      </c>
      <c r="G14" s="39">
        <f t="shared" si="6"/>
        <v>-194461.10399999999</v>
      </c>
      <c r="H14" s="39">
        <f t="shared" si="6"/>
        <v>-113142.35379199998</v>
      </c>
      <c r="I14" s="39">
        <f t="shared" si="6"/>
        <v>-48845.153618943994</v>
      </c>
      <c r="J14" s="39">
        <f t="shared" si="6"/>
        <v>31357.752197029913</v>
      </c>
      <c r="K14" s="39">
        <f t="shared" si="6"/>
        <v>106293.22645833544</v>
      </c>
      <c r="L14" s="60">
        <f t="shared" si="6"/>
        <v>138853.94662000259</v>
      </c>
    </row>
    <row r="15" spans="2:15" x14ac:dyDescent="0.25">
      <c r="B15" s="62" t="s">
        <v>9</v>
      </c>
      <c r="C15" s="8">
        <f t="shared" ref="C15:L15" si="7">MAX(C22*C14,0)</f>
        <v>0</v>
      </c>
      <c r="D15" s="8">
        <f t="shared" si="7"/>
        <v>0</v>
      </c>
      <c r="E15" s="8">
        <f t="shared" si="7"/>
        <v>0</v>
      </c>
      <c r="F15" s="8">
        <f t="shared" si="7"/>
        <v>0</v>
      </c>
      <c r="G15" s="8">
        <f t="shared" si="7"/>
        <v>0</v>
      </c>
      <c r="H15" s="8">
        <f t="shared" si="7"/>
        <v>0</v>
      </c>
      <c r="I15" s="8">
        <f t="shared" si="7"/>
        <v>0</v>
      </c>
      <c r="J15" s="40">
        <f t="shared" si="7"/>
        <v>14424.56601063376</v>
      </c>
      <c r="K15" s="40">
        <f t="shared" si="7"/>
        <v>48894.884170834302</v>
      </c>
      <c r="L15" s="63">
        <f t="shared" si="7"/>
        <v>63872.815445201195</v>
      </c>
    </row>
    <row r="16" spans="2:15" x14ac:dyDescent="0.25">
      <c r="B16" s="61" t="s">
        <v>10</v>
      </c>
      <c r="C16" s="104">
        <f t="shared" ref="C16:L16" si="8">C13-C15</f>
        <v>-175000</v>
      </c>
      <c r="D16" s="104">
        <f t="shared" si="8"/>
        <v>-175000</v>
      </c>
      <c r="E16" s="104">
        <f t="shared" si="8"/>
        <v>19250</v>
      </c>
      <c r="F16" s="104">
        <f t="shared" si="8"/>
        <v>75104</v>
      </c>
      <c r="G16" s="104">
        <f t="shared" si="8"/>
        <v>61184.895999999993</v>
      </c>
      <c r="H16" s="104">
        <f t="shared" si="8"/>
        <v>81318.750208000012</v>
      </c>
      <c r="I16" s="104">
        <f t="shared" si="8"/>
        <v>64297.200173055986</v>
      </c>
      <c r="J16" s="104">
        <f t="shared" si="8"/>
        <v>65778.339805340147</v>
      </c>
      <c r="K16" s="104">
        <f t="shared" si="8"/>
        <v>57398.342287501138</v>
      </c>
      <c r="L16" s="105">
        <f t="shared" si="8"/>
        <v>74981.131174801398</v>
      </c>
    </row>
    <row r="17" spans="2:12" x14ac:dyDescent="0.25">
      <c r="B17" s="150" t="s">
        <v>11</v>
      </c>
      <c r="C17" s="151"/>
      <c r="D17" s="151"/>
      <c r="E17" s="151"/>
      <c r="F17" s="151"/>
      <c r="G17" s="151"/>
      <c r="H17" s="151"/>
      <c r="I17" s="151"/>
      <c r="J17" s="151"/>
      <c r="K17" s="151"/>
      <c r="L17" s="152"/>
    </row>
    <row r="18" spans="2:12" x14ac:dyDescent="0.25">
      <c r="B18" s="153"/>
      <c r="C18" s="154"/>
      <c r="D18" s="154"/>
      <c r="E18" s="154"/>
      <c r="F18" s="154"/>
      <c r="G18" s="154"/>
      <c r="H18" s="154"/>
      <c r="I18" s="154"/>
      <c r="J18" s="154"/>
      <c r="K18" s="154"/>
      <c r="L18" s="155"/>
    </row>
    <row r="19" spans="2:12" s="5" customFormat="1" x14ac:dyDescent="0.25">
      <c r="B19" s="65" t="s">
        <v>12</v>
      </c>
      <c r="C19" s="9"/>
      <c r="D19" s="10"/>
      <c r="E19" s="10">
        <v>0</v>
      </c>
      <c r="F19" s="16">
        <v>0</v>
      </c>
      <c r="G19" s="16">
        <v>1</v>
      </c>
      <c r="H19" s="16">
        <v>1</v>
      </c>
      <c r="I19" s="16">
        <v>2</v>
      </c>
      <c r="J19" s="16">
        <v>2</v>
      </c>
      <c r="K19" s="16">
        <v>2</v>
      </c>
      <c r="L19" s="66">
        <v>2</v>
      </c>
    </row>
    <row r="20" spans="2:12" s="5" customFormat="1" x14ac:dyDescent="0.25">
      <c r="B20" s="65" t="s">
        <v>13</v>
      </c>
      <c r="C20" s="9"/>
      <c r="D20" s="10"/>
      <c r="E20" s="43">
        <v>23.25</v>
      </c>
      <c r="F20" s="43">
        <f t="shared" ref="F20:L20" si="9">E20*(1+F21)</f>
        <v>24.18</v>
      </c>
      <c r="G20" s="43">
        <f t="shared" si="9"/>
        <v>25.147200000000002</v>
      </c>
      <c r="H20" s="43">
        <f t="shared" si="9"/>
        <v>26.153088000000004</v>
      </c>
      <c r="I20" s="43">
        <f t="shared" si="9"/>
        <v>27.199211520000006</v>
      </c>
      <c r="J20" s="43">
        <f t="shared" si="9"/>
        <v>28.287179980800008</v>
      </c>
      <c r="K20" s="43">
        <f t="shared" si="9"/>
        <v>29.41866718003201</v>
      </c>
      <c r="L20" s="67">
        <f t="shared" si="9"/>
        <v>30.59541386723329</v>
      </c>
    </row>
    <row r="21" spans="2:12" s="5" customFormat="1" x14ac:dyDescent="0.25">
      <c r="B21" s="65" t="s">
        <v>14</v>
      </c>
      <c r="C21" s="11"/>
      <c r="D21" s="12"/>
      <c r="E21" s="12"/>
      <c r="F21" s="12">
        <v>0.04</v>
      </c>
      <c r="G21" s="12">
        <v>0.04</v>
      </c>
      <c r="H21" s="12">
        <v>0.04</v>
      </c>
      <c r="I21" s="12">
        <v>0.04</v>
      </c>
      <c r="J21" s="12">
        <v>0.04</v>
      </c>
      <c r="K21" s="106">
        <v>0.04</v>
      </c>
      <c r="L21" s="107">
        <v>0.04</v>
      </c>
    </row>
    <row r="22" spans="2:12" s="5" customFormat="1" x14ac:dyDescent="0.25">
      <c r="B22" s="65" t="s">
        <v>15</v>
      </c>
      <c r="C22" s="11">
        <v>0.46</v>
      </c>
      <c r="D22" s="12">
        <v>0.46</v>
      </c>
      <c r="E22" s="12">
        <v>0.46</v>
      </c>
      <c r="F22" s="12">
        <v>0.46</v>
      </c>
      <c r="G22" s="12">
        <v>0.46</v>
      </c>
      <c r="H22" s="12">
        <v>0.46</v>
      </c>
      <c r="I22" s="12">
        <v>0.46</v>
      </c>
      <c r="J22" s="12">
        <v>0.46</v>
      </c>
      <c r="K22" s="106">
        <v>0.46</v>
      </c>
      <c r="L22" s="107">
        <v>0.46</v>
      </c>
    </row>
    <row r="23" spans="2:12" x14ac:dyDescent="0.25">
      <c r="B23" s="150" t="s">
        <v>16</v>
      </c>
      <c r="C23" s="151"/>
      <c r="D23" s="151"/>
      <c r="E23" s="151"/>
      <c r="F23" s="151"/>
      <c r="G23" s="151"/>
      <c r="H23" s="151"/>
      <c r="I23" s="151"/>
      <c r="J23" s="151"/>
      <c r="K23" s="151"/>
      <c r="L23" s="152"/>
    </row>
    <row r="24" spans="2:12" x14ac:dyDescent="0.25">
      <c r="B24" s="153"/>
      <c r="C24" s="154"/>
      <c r="D24" s="154"/>
      <c r="E24" s="154"/>
      <c r="F24" s="154"/>
      <c r="G24" s="154"/>
      <c r="H24" s="154"/>
      <c r="I24" s="154"/>
      <c r="J24" s="154"/>
      <c r="K24" s="154"/>
      <c r="L24" s="155"/>
    </row>
    <row r="25" spans="2:12" s="5" customFormat="1" x14ac:dyDescent="0.25">
      <c r="B25" s="71" t="s">
        <v>17</v>
      </c>
      <c r="C25" s="14"/>
      <c r="D25" s="15"/>
      <c r="E25" s="46">
        <v>58</v>
      </c>
      <c r="F25" s="46">
        <f t="shared" ref="F25:L25" si="10">E25*(1+F21)</f>
        <v>60.32</v>
      </c>
      <c r="G25" s="46">
        <f t="shared" si="10"/>
        <v>62.732800000000005</v>
      </c>
      <c r="H25" s="46">
        <f t="shared" si="10"/>
        <v>65.242112000000006</v>
      </c>
      <c r="I25" s="46">
        <f t="shared" si="10"/>
        <v>67.851796480000004</v>
      </c>
      <c r="J25" s="46">
        <f t="shared" si="10"/>
        <v>70.565868339200009</v>
      </c>
      <c r="K25" s="46">
        <f t="shared" si="10"/>
        <v>73.388503072768017</v>
      </c>
      <c r="L25" s="72">
        <f t="shared" si="10"/>
        <v>76.32404319567874</v>
      </c>
    </row>
    <row r="26" spans="2:12" s="5" customFormat="1" x14ac:dyDescent="0.25">
      <c r="B26" s="71" t="s">
        <v>24</v>
      </c>
      <c r="C26" s="14"/>
      <c r="D26" s="15"/>
      <c r="E26" s="10">
        <v>3000</v>
      </c>
      <c r="F26" s="10">
        <f t="shared" ref="F26:L26" si="11">E26*120%</f>
        <v>3600</v>
      </c>
      <c r="G26" s="10">
        <f t="shared" si="11"/>
        <v>4320</v>
      </c>
      <c r="H26" s="10">
        <f t="shared" si="11"/>
        <v>5184</v>
      </c>
      <c r="I26" s="10">
        <f t="shared" si="11"/>
        <v>6220.8</v>
      </c>
      <c r="J26" s="10">
        <f t="shared" si="11"/>
        <v>7464.96</v>
      </c>
      <c r="K26" s="46">
        <f t="shared" si="11"/>
        <v>8957.9519999999993</v>
      </c>
      <c r="L26" s="108">
        <f t="shared" si="11"/>
        <v>10749.542399999998</v>
      </c>
    </row>
    <row r="27" spans="2:12" s="5" customFormat="1" x14ac:dyDescent="0.25">
      <c r="B27" s="71" t="s">
        <v>18</v>
      </c>
      <c r="C27" s="9"/>
      <c r="D27" s="10"/>
      <c r="E27" s="10">
        <f t="shared" ref="E27:L27" si="12">E26/(E19+1)</f>
        <v>3000</v>
      </c>
      <c r="F27" s="10">
        <f t="shared" si="12"/>
        <v>3600</v>
      </c>
      <c r="G27" s="10">
        <f t="shared" si="12"/>
        <v>2160</v>
      </c>
      <c r="H27" s="10">
        <f t="shared" si="12"/>
        <v>2592</v>
      </c>
      <c r="I27" s="10">
        <f t="shared" si="12"/>
        <v>2073.6</v>
      </c>
      <c r="J27" s="10">
        <f t="shared" si="12"/>
        <v>2488.3200000000002</v>
      </c>
      <c r="K27" s="46">
        <f t="shared" si="12"/>
        <v>2985.9839999999999</v>
      </c>
      <c r="L27" s="108">
        <f t="shared" si="12"/>
        <v>3583.1807999999996</v>
      </c>
    </row>
    <row r="28" spans="2:12" x14ac:dyDescent="0.25">
      <c r="B28" s="150" t="s">
        <v>19</v>
      </c>
      <c r="C28" s="151"/>
      <c r="D28" s="151"/>
      <c r="E28" s="151"/>
      <c r="F28" s="151"/>
      <c r="G28" s="151"/>
      <c r="H28" s="151"/>
      <c r="I28" s="151"/>
      <c r="J28" s="151"/>
      <c r="K28" s="151"/>
      <c r="L28" s="152"/>
    </row>
    <row r="29" spans="2:12" x14ac:dyDescent="0.25">
      <c r="B29" s="153"/>
      <c r="C29" s="154"/>
      <c r="D29" s="154"/>
      <c r="E29" s="154"/>
      <c r="F29" s="154"/>
      <c r="G29" s="154"/>
      <c r="H29" s="154"/>
      <c r="I29" s="154"/>
      <c r="J29" s="154"/>
      <c r="K29" s="154"/>
      <c r="L29" s="155"/>
    </row>
    <row r="30" spans="2:12" s="5" customFormat="1" x14ac:dyDescent="0.25">
      <c r="B30" s="76" t="s">
        <v>20</v>
      </c>
      <c r="C30" s="39">
        <v>50000</v>
      </c>
      <c r="D30" s="47">
        <v>20000</v>
      </c>
      <c r="E30" s="47">
        <v>10000</v>
      </c>
      <c r="F30" s="19">
        <v>0</v>
      </c>
      <c r="G30" s="19">
        <v>0</v>
      </c>
      <c r="H30" s="19">
        <v>0</v>
      </c>
      <c r="I30" s="19">
        <v>0</v>
      </c>
      <c r="J30" s="19">
        <v>0</v>
      </c>
      <c r="K30" s="19">
        <v>0</v>
      </c>
      <c r="L30" s="109">
        <v>0</v>
      </c>
    </row>
    <row r="31" spans="2:12" s="5" customFormat="1" x14ac:dyDescent="0.25">
      <c r="B31" s="76" t="s">
        <v>21</v>
      </c>
      <c r="C31" s="39">
        <v>125000</v>
      </c>
      <c r="D31" s="47">
        <v>145000</v>
      </c>
      <c r="E31" s="47">
        <v>55000</v>
      </c>
      <c r="F31" s="39">
        <v>35000</v>
      </c>
      <c r="G31" s="7">
        <v>0</v>
      </c>
      <c r="H31" s="7">
        <v>0</v>
      </c>
      <c r="I31" s="7">
        <v>0</v>
      </c>
      <c r="J31" s="7">
        <v>0</v>
      </c>
      <c r="K31" s="7">
        <v>0</v>
      </c>
      <c r="L31" s="109">
        <v>0</v>
      </c>
    </row>
    <row r="32" spans="2:12" s="5" customFormat="1" x14ac:dyDescent="0.25">
      <c r="B32" s="78" t="s">
        <v>22</v>
      </c>
      <c r="C32" s="8">
        <v>0</v>
      </c>
      <c r="D32" s="110">
        <v>10000</v>
      </c>
      <c r="E32" s="110">
        <v>20000</v>
      </c>
      <c r="F32" s="110">
        <v>20000</v>
      </c>
      <c r="G32" s="110">
        <v>20000</v>
      </c>
      <c r="H32" s="110">
        <v>20000</v>
      </c>
      <c r="I32" s="110">
        <v>20000</v>
      </c>
      <c r="J32" s="110">
        <v>25000</v>
      </c>
      <c r="K32" s="110">
        <v>25000</v>
      </c>
      <c r="L32" s="111">
        <v>25000</v>
      </c>
    </row>
    <row r="33" spans="2:12" ht="13" thickBot="1" x14ac:dyDescent="0.3">
      <c r="B33" s="82" t="s">
        <v>23</v>
      </c>
      <c r="C33" s="83">
        <f t="shared" ref="C33:L33" si="13">SUM(C30:C32)</f>
        <v>175000</v>
      </c>
      <c r="D33" s="83">
        <f t="shared" si="13"/>
        <v>175000</v>
      </c>
      <c r="E33" s="83">
        <f t="shared" si="13"/>
        <v>85000</v>
      </c>
      <c r="F33" s="83">
        <f t="shared" si="13"/>
        <v>55000</v>
      </c>
      <c r="G33" s="83">
        <f t="shared" si="13"/>
        <v>20000</v>
      </c>
      <c r="H33" s="83">
        <f t="shared" si="13"/>
        <v>20000</v>
      </c>
      <c r="I33" s="83">
        <f t="shared" si="13"/>
        <v>20000</v>
      </c>
      <c r="J33" s="83">
        <f t="shared" si="13"/>
        <v>25000</v>
      </c>
      <c r="K33" s="83">
        <f t="shared" si="13"/>
        <v>25000</v>
      </c>
      <c r="L33" s="84">
        <f t="shared" si="13"/>
        <v>25000</v>
      </c>
    </row>
    <row r="34" spans="2:12" x14ac:dyDescent="0.25">
      <c r="B34" s="6"/>
      <c r="C34" s="4"/>
      <c r="D34" s="2"/>
      <c r="E34" s="2"/>
      <c r="F34" s="2"/>
      <c r="G34" s="2"/>
      <c r="H34" s="2"/>
      <c r="I34" s="2"/>
      <c r="J34" s="2"/>
      <c r="K34" s="2"/>
      <c r="L34" s="2"/>
    </row>
    <row r="35" spans="2:12" x14ac:dyDescent="0.25">
      <c r="B35" s="6"/>
      <c r="C35" s="4"/>
      <c r="D35" s="2"/>
      <c r="E35" s="2"/>
      <c r="F35" s="2"/>
      <c r="G35" s="2"/>
      <c r="H35" s="2"/>
      <c r="I35" s="2"/>
      <c r="J35" s="2"/>
      <c r="K35" s="2"/>
      <c r="L35" s="2"/>
    </row>
    <row r="36" spans="2:12" x14ac:dyDescent="0.25">
      <c r="B36" s="6"/>
      <c r="C36" s="4"/>
      <c r="D36" s="2"/>
      <c r="E36" s="2"/>
      <c r="F36" s="2"/>
      <c r="G36" s="2"/>
      <c r="H36" s="2"/>
      <c r="I36" s="2"/>
      <c r="J36" s="2"/>
      <c r="K36" s="2"/>
      <c r="L36" s="2"/>
    </row>
    <row r="37" spans="2:12" x14ac:dyDescent="0.25">
      <c r="B37" s="6"/>
      <c r="C37" s="4"/>
      <c r="D37" s="2"/>
      <c r="E37" s="2"/>
      <c r="F37" s="2"/>
      <c r="G37" s="2"/>
      <c r="H37" s="2"/>
      <c r="I37" s="2"/>
      <c r="J37" s="2"/>
      <c r="K37" s="2"/>
      <c r="L37" s="2"/>
    </row>
    <row r="38" spans="2:12" x14ac:dyDescent="0.25">
      <c r="B38" s="6"/>
      <c r="C38" s="4"/>
      <c r="D38" s="2"/>
      <c r="E38" s="2"/>
      <c r="F38" s="2"/>
      <c r="G38" s="2"/>
      <c r="H38" s="2"/>
      <c r="I38" s="2"/>
      <c r="J38" s="2"/>
      <c r="K38" s="2"/>
      <c r="L38" s="2"/>
    </row>
    <row r="39" spans="2:12" x14ac:dyDescent="0.25">
      <c r="B39" s="6"/>
      <c r="C39" s="4"/>
      <c r="D39" s="2"/>
      <c r="E39" s="2"/>
      <c r="F39" s="2"/>
      <c r="G39" s="2"/>
      <c r="H39" s="2"/>
      <c r="I39" s="2"/>
      <c r="J39" s="2"/>
      <c r="K39" s="2"/>
      <c r="L39" s="2"/>
    </row>
    <row r="40" spans="2:12" x14ac:dyDescent="0.25">
      <c r="B40" s="6"/>
      <c r="C40" s="4"/>
      <c r="D40" s="2"/>
      <c r="E40" s="2"/>
      <c r="F40" s="2"/>
      <c r="G40" s="2"/>
      <c r="H40" s="2"/>
      <c r="I40" s="2"/>
      <c r="J40" s="2"/>
      <c r="K40" s="2"/>
      <c r="L40" s="2"/>
    </row>
    <row r="41" spans="2:12" x14ac:dyDescent="0.25">
      <c r="B41" s="112"/>
      <c r="C41" s="4"/>
      <c r="D41" s="2"/>
      <c r="E41" s="2"/>
      <c r="F41" s="2"/>
      <c r="G41" s="2"/>
      <c r="H41" s="2"/>
      <c r="I41" s="2"/>
      <c r="J41" s="2"/>
      <c r="K41" s="2"/>
      <c r="L41" s="2"/>
    </row>
    <row r="42" spans="2:12" x14ac:dyDescent="0.25">
      <c r="B42" s="112"/>
      <c r="C42" s="4"/>
      <c r="D42" s="2"/>
      <c r="E42" s="2"/>
      <c r="F42" s="2"/>
      <c r="G42" s="2"/>
      <c r="H42" s="2"/>
      <c r="I42" s="2"/>
      <c r="J42" s="2"/>
      <c r="K42" s="2"/>
      <c r="L42" s="2"/>
    </row>
    <row r="43" spans="2:12" x14ac:dyDescent="0.25">
      <c r="B43" s="112"/>
      <c r="C43" s="4"/>
      <c r="D43" s="2"/>
      <c r="E43" s="2"/>
      <c r="F43" s="2"/>
      <c r="G43" s="2"/>
      <c r="H43" s="2"/>
      <c r="I43" s="2"/>
      <c r="J43" s="2"/>
      <c r="K43" s="2"/>
      <c r="L43" s="2"/>
    </row>
    <row r="44" spans="2:12" x14ac:dyDescent="0.25">
      <c r="B44" s="2"/>
      <c r="C44" s="2"/>
      <c r="D44" s="2"/>
      <c r="E44" s="2"/>
      <c r="F44" s="2"/>
      <c r="G44" s="2"/>
      <c r="H44" s="2"/>
      <c r="I44" s="2"/>
      <c r="J44" s="2"/>
      <c r="K44" s="2"/>
      <c r="L44" s="2"/>
    </row>
  </sheetData>
  <mergeCells count="4">
    <mergeCell ref="B7:L8"/>
    <mergeCell ref="B17:L18"/>
    <mergeCell ref="B23:L24"/>
    <mergeCell ref="B28:L29"/>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P47"/>
  <sheetViews>
    <sheetView showGridLines="0" workbookViewId="0"/>
  </sheetViews>
  <sheetFormatPr defaultColWidth="9.1796875" defaultRowHeight="12.5" x14ac:dyDescent="0.25"/>
  <cols>
    <col min="1" max="1" width="2.1796875" style="1" customWidth="1"/>
    <col min="2" max="2" width="22.26953125" customWidth="1"/>
    <col min="3" max="3" width="11.54296875" customWidth="1"/>
    <col min="4" max="4" width="9.7265625" bestFit="1" customWidth="1"/>
    <col min="5" max="5" width="8.7265625" customWidth="1"/>
    <col min="6" max="6" width="10" bestFit="1" customWidth="1"/>
    <col min="7" max="7" width="8.7265625" customWidth="1"/>
    <col min="8" max="9" width="8.81640625" customWidth="1"/>
    <col min="10" max="12" width="8.54296875" bestFit="1" customWidth="1"/>
    <col min="13" max="13" width="4.7265625" style="1" customWidth="1"/>
    <col min="14" max="15" width="9.1796875" style="1"/>
    <col min="16" max="16" width="10.453125" style="1" customWidth="1"/>
    <col min="17" max="16384" width="9.1796875" style="1"/>
  </cols>
  <sheetData>
    <row r="1" spans="2:16" s="113" customFormat="1" ht="93.75" customHeight="1" x14ac:dyDescent="0.25"/>
    <row r="2" spans="2:16" s="113" customFormat="1" ht="17.25" customHeight="1" x14ac:dyDescent="0.4">
      <c r="C2" s="114"/>
      <c r="E2" s="114" t="s">
        <v>55</v>
      </c>
    </row>
    <row r="3" spans="2:16" s="113" customFormat="1" ht="17.25" customHeight="1" x14ac:dyDescent="0.35">
      <c r="E3" s="115"/>
    </row>
    <row r="4" spans="2:16" ht="12.75" customHeight="1" x14ac:dyDescent="0.3">
      <c r="B4" s="118" t="s">
        <v>0</v>
      </c>
      <c r="C4" s="38" t="e">
        <f ca="1">_xll.RiskOutput("NPV at 10%") + NPV(0.1,C16:L16)</f>
        <v>#NAME?</v>
      </c>
      <c r="D4" s="2"/>
      <c r="E4" s="2"/>
      <c r="F4" s="2"/>
      <c r="G4" s="2"/>
      <c r="H4" s="2"/>
      <c r="I4" s="2"/>
      <c r="J4" s="2"/>
      <c r="K4" s="2"/>
      <c r="L4" s="2"/>
    </row>
    <row r="5" spans="2:16" ht="12.75" customHeight="1" thickBot="1" x14ac:dyDescent="0.3">
      <c r="B5" s="2"/>
      <c r="C5" s="2"/>
      <c r="D5" s="2"/>
      <c r="E5" s="2"/>
      <c r="F5" s="2"/>
      <c r="G5" s="2"/>
      <c r="H5" s="2"/>
      <c r="I5" s="2"/>
      <c r="J5" s="2"/>
      <c r="K5" s="2"/>
      <c r="L5" s="2"/>
    </row>
    <row r="6" spans="2:16" ht="12.75" customHeight="1" thickBot="1" x14ac:dyDescent="0.35">
      <c r="B6" s="117" t="s">
        <v>1</v>
      </c>
      <c r="C6" s="57">
        <f ca="1">YEAR(TODAY())+1</f>
        <v>2018</v>
      </c>
      <c r="D6" s="57">
        <f ca="1">C6+1</f>
        <v>2019</v>
      </c>
      <c r="E6" s="57">
        <f t="shared" ref="E6:L6" ca="1" si="0">D6+1</f>
        <v>2020</v>
      </c>
      <c r="F6" s="57">
        <f t="shared" ca="1" si="0"/>
        <v>2021</v>
      </c>
      <c r="G6" s="57">
        <f ca="1">F6+1</f>
        <v>2022</v>
      </c>
      <c r="H6" s="57">
        <f ca="1">G6+1</f>
        <v>2023</v>
      </c>
      <c r="I6" s="57">
        <f t="shared" ca="1" si="0"/>
        <v>2024</v>
      </c>
      <c r="J6" s="57">
        <f t="shared" ca="1" si="0"/>
        <v>2025</v>
      </c>
      <c r="K6" s="57">
        <f t="shared" ca="1" si="0"/>
        <v>2026</v>
      </c>
      <c r="L6" s="58">
        <f t="shared" ca="1" si="0"/>
        <v>2027</v>
      </c>
      <c r="M6" s="3"/>
      <c r="N6" s="80" t="s">
        <v>40</v>
      </c>
      <c r="O6" s="28">
        <v>-0.01</v>
      </c>
      <c r="P6" s="25"/>
    </row>
    <row r="7" spans="2:16" ht="12.75" customHeight="1" thickTop="1" x14ac:dyDescent="0.3">
      <c r="B7" s="158" t="s">
        <v>2</v>
      </c>
      <c r="C7" s="159"/>
      <c r="D7" s="159"/>
      <c r="E7" s="159"/>
      <c r="F7" s="159"/>
      <c r="G7" s="159"/>
      <c r="H7" s="159"/>
      <c r="I7" s="159"/>
      <c r="J7" s="159"/>
      <c r="K7" s="159"/>
      <c r="L7" s="160"/>
      <c r="N7" s="81" t="s">
        <v>41</v>
      </c>
      <c r="O7" s="29">
        <v>0.01</v>
      </c>
      <c r="P7" s="25"/>
    </row>
    <row r="8" spans="2:16" ht="12.75" customHeight="1" thickBot="1" x14ac:dyDescent="0.35">
      <c r="B8" s="153"/>
      <c r="C8" s="154"/>
      <c r="D8" s="154"/>
      <c r="E8" s="154"/>
      <c r="F8" s="154"/>
      <c r="G8" s="154"/>
      <c r="H8" s="154"/>
      <c r="I8" s="154"/>
      <c r="J8" s="154"/>
      <c r="K8" s="154"/>
      <c r="L8" s="155"/>
      <c r="N8" s="25"/>
      <c r="O8" s="25"/>
      <c r="P8" s="25"/>
    </row>
    <row r="9" spans="2:16" ht="12.75" customHeight="1" x14ac:dyDescent="0.25">
      <c r="B9" s="59" t="s">
        <v>3</v>
      </c>
      <c r="C9" s="39">
        <f>C25*C27</f>
        <v>0</v>
      </c>
      <c r="D9" s="39">
        <f t="shared" ref="D9:L9" si="1">D25*D27</f>
        <v>0</v>
      </c>
      <c r="E9" s="39" t="e">
        <f t="shared" ca="1" si="1"/>
        <v>#NAME?</v>
      </c>
      <c r="F9" s="39" t="e">
        <f t="shared" ca="1" si="1"/>
        <v>#NAME?</v>
      </c>
      <c r="G9" s="39" t="e">
        <f t="shared" ca="1" si="1"/>
        <v>#NAME?</v>
      </c>
      <c r="H9" s="39" t="e">
        <f t="shared" ca="1" si="1"/>
        <v>#NAME?</v>
      </c>
      <c r="I9" s="39" t="e">
        <f t="shared" ca="1" si="1"/>
        <v>#NAME?</v>
      </c>
      <c r="J9" s="39" t="e">
        <f t="shared" ca="1" si="1"/>
        <v>#NAME?</v>
      </c>
      <c r="K9" s="39" t="e">
        <f t="shared" ca="1" si="1"/>
        <v>#NAME?</v>
      </c>
      <c r="L9" s="60" t="e">
        <f t="shared" ca="1" si="1"/>
        <v>#NAME?</v>
      </c>
      <c r="N9" s="161" t="s">
        <v>39</v>
      </c>
      <c r="O9" s="163" t="s">
        <v>32</v>
      </c>
      <c r="P9" s="156" t="s">
        <v>38</v>
      </c>
    </row>
    <row r="10" spans="2:16" ht="12.75" customHeight="1" x14ac:dyDescent="0.25">
      <c r="B10" s="59" t="s">
        <v>4</v>
      </c>
      <c r="C10" s="39">
        <f>C20*C27</f>
        <v>0</v>
      </c>
      <c r="D10" s="39">
        <f t="shared" ref="D10:L10" si="2">D20*D27</f>
        <v>0</v>
      </c>
      <c r="E10" s="39" t="e">
        <f t="shared" ca="1" si="2"/>
        <v>#NAME?</v>
      </c>
      <c r="F10" s="39" t="e">
        <f t="shared" ca="1" si="2"/>
        <v>#NAME?</v>
      </c>
      <c r="G10" s="39" t="e">
        <f t="shared" ca="1" si="2"/>
        <v>#NAME?</v>
      </c>
      <c r="H10" s="39" t="e">
        <f t="shared" ca="1" si="2"/>
        <v>#NAME?</v>
      </c>
      <c r="I10" s="39" t="e">
        <f t="shared" ca="1" si="2"/>
        <v>#NAME?</v>
      </c>
      <c r="J10" s="39" t="e">
        <f t="shared" ca="1" si="2"/>
        <v>#NAME?</v>
      </c>
      <c r="K10" s="39" t="e">
        <f t="shared" ca="1" si="2"/>
        <v>#NAME?</v>
      </c>
      <c r="L10" s="60" t="e">
        <f t="shared" ca="1" si="2"/>
        <v>#NAME?</v>
      </c>
      <c r="N10" s="162"/>
      <c r="O10" s="164"/>
      <c r="P10" s="157"/>
    </row>
    <row r="11" spans="2:16" ht="12.75" customHeight="1" x14ac:dyDescent="0.3">
      <c r="B11" s="59" t="s">
        <v>5</v>
      </c>
      <c r="C11" s="39">
        <f>C9-C10</f>
        <v>0</v>
      </c>
      <c r="D11" s="39">
        <f t="shared" ref="D11:L11" si="3">D9-D10</f>
        <v>0</v>
      </c>
      <c r="E11" s="39" t="e">
        <f t="shared" ca="1" si="3"/>
        <v>#NAME?</v>
      </c>
      <c r="F11" s="39" t="e">
        <f t="shared" ca="1" si="3"/>
        <v>#NAME?</v>
      </c>
      <c r="G11" s="39" t="e">
        <f t="shared" ca="1" si="3"/>
        <v>#NAME?</v>
      </c>
      <c r="H11" s="39" t="e">
        <f t="shared" ca="1" si="3"/>
        <v>#NAME?</v>
      </c>
      <c r="I11" s="39" t="e">
        <f t="shared" ca="1" si="3"/>
        <v>#NAME?</v>
      </c>
      <c r="J11" s="39" t="e">
        <f t="shared" ca="1" si="3"/>
        <v>#NAME?</v>
      </c>
      <c r="K11" s="39" t="e">
        <f t="shared" ca="1" si="3"/>
        <v>#NAME?</v>
      </c>
      <c r="L11" s="60" t="e">
        <f t="shared" ca="1" si="3"/>
        <v>#NAME?</v>
      </c>
      <c r="N11" s="51">
        <v>1</v>
      </c>
      <c r="O11" s="36">
        <v>-5.5999999999999999E-3</v>
      </c>
      <c r="P11" s="52">
        <f>N11/($N$32+1)</f>
        <v>4.3478260869565216E-2</v>
      </c>
    </row>
    <row r="12" spans="2:16" ht="12.75" customHeight="1" x14ac:dyDescent="0.3">
      <c r="B12" s="59" t="s">
        <v>6</v>
      </c>
      <c r="C12" s="39" t="e">
        <f ca="1">C33</f>
        <v>#NAME?</v>
      </c>
      <c r="D12" s="39" t="e">
        <f t="shared" ref="D12:L12" ca="1" si="4">D33</f>
        <v>#NAME?</v>
      </c>
      <c r="E12" s="39" t="e">
        <f t="shared" ca="1" si="4"/>
        <v>#NAME?</v>
      </c>
      <c r="F12" s="39">
        <f t="shared" si="4"/>
        <v>55000</v>
      </c>
      <c r="G12" s="39">
        <f t="shared" si="4"/>
        <v>20000</v>
      </c>
      <c r="H12" s="39">
        <f t="shared" si="4"/>
        <v>20000</v>
      </c>
      <c r="I12" s="39">
        <f t="shared" si="4"/>
        <v>20000</v>
      </c>
      <c r="J12" s="39">
        <f t="shared" si="4"/>
        <v>25000</v>
      </c>
      <c r="K12" s="39">
        <f t="shared" si="4"/>
        <v>25000</v>
      </c>
      <c r="L12" s="60">
        <f t="shared" si="4"/>
        <v>25000</v>
      </c>
      <c r="N12" s="53">
        <v>2</v>
      </c>
      <c r="O12" s="36">
        <v>-5.4000000000000003E-3</v>
      </c>
      <c r="P12" s="52">
        <f t="shared" ref="P12:P32" si="5">N12/($N$32+1)</f>
        <v>8.6956521739130432E-2</v>
      </c>
    </row>
    <row r="13" spans="2:16" ht="12.75" customHeight="1" x14ac:dyDescent="0.3">
      <c r="B13" s="61" t="s">
        <v>7</v>
      </c>
      <c r="C13" s="39" t="e">
        <f ca="1">C11-C12</f>
        <v>#NAME?</v>
      </c>
      <c r="D13" s="39" t="e">
        <f t="shared" ref="D13:L13" ca="1" si="6">D11-D12</f>
        <v>#NAME?</v>
      </c>
      <c r="E13" s="39" t="e">
        <f t="shared" ca="1" si="6"/>
        <v>#NAME?</v>
      </c>
      <c r="F13" s="39" t="e">
        <f t="shared" ca="1" si="6"/>
        <v>#NAME?</v>
      </c>
      <c r="G13" s="39" t="e">
        <f t="shared" ca="1" si="6"/>
        <v>#NAME?</v>
      </c>
      <c r="H13" s="39" t="e">
        <f t="shared" ca="1" si="6"/>
        <v>#NAME?</v>
      </c>
      <c r="I13" s="39" t="e">
        <f t="shared" ca="1" si="6"/>
        <v>#NAME?</v>
      </c>
      <c r="J13" s="39" t="e">
        <f t="shared" ca="1" si="6"/>
        <v>#NAME?</v>
      </c>
      <c r="K13" s="39" t="e">
        <f t="shared" ca="1" si="6"/>
        <v>#NAME?</v>
      </c>
      <c r="L13" s="60" t="e">
        <f t="shared" ca="1" si="6"/>
        <v>#NAME?</v>
      </c>
      <c r="N13" s="53">
        <v>3</v>
      </c>
      <c r="O13" s="36">
        <v>-4.4000000000000003E-3</v>
      </c>
      <c r="P13" s="52">
        <f t="shared" si="5"/>
        <v>0.13043478260869565</v>
      </c>
    </row>
    <row r="14" spans="2:16" ht="12.75" customHeight="1" x14ac:dyDescent="0.3">
      <c r="B14" s="61" t="s">
        <v>8</v>
      </c>
      <c r="C14" s="39" t="e">
        <f ca="1">C13</f>
        <v>#NAME?</v>
      </c>
      <c r="D14" s="39" t="e">
        <f t="shared" ref="D14:L14" ca="1" si="7">C14+D13-MAX((C15/C22),0)</f>
        <v>#NAME?</v>
      </c>
      <c r="E14" s="39" t="e">
        <f t="shared" ca="1" si="7"/>
        <v>#NAME?</v>
      </c>
      <c r="F14" s="39" t="e">
        <f t="shared" ca="1" si="7"/>
        <v>#NAME?</v>
      </c>
      <c r="G14" s="39" t="e">
        <f ca="1">F14+G13-MAX((F15/F22),0)</f>
        <v>#NAME?</v>
      </c>
      <c r="H14" s="39" t="e">
        <f t="shared" ca="1" si="7"/>
        <v>#NAME?</v>
      </c>
      <c r="I14" s="39" t="e">
        <f t="shared" ca="1" si="7"/>
        <v>#NAME?</v>
      </c>
      <c r="J14" s="39" t="e">
        <f t="shared" ca="1" si="7"/>
        <v>#NAME?</v>
      </c>
      <c r="K14" s="39" t="e">
        <f t="shared" ca="1" si="7"/>
        <v>#NAME?</v>
      </c>
      <c r="L14" s="60" t="e">
        <f t="shared" ca="1" si="7"/>
        <v>#NAME?</v>
      </c>
      <c r="N14" s="53">
        <v>4</v>
      </c>
      <c r="O14" s="36">
        <v>-4.1000000000000003E-3</v>
      </c>
      <c r="P14" s="52">
        <f t="shared" si="5"/>
        <v>0.17391304347826086</v>
      </c>
    </row>
    <row r="15" spans="2:16" ht="12.75" customHeight="1" x14ac:dyDescent="0.3">
      <c r="B15" s="62" t="s">
        <v>9</v>
      </c>
      <c r="C15" s="40" t="e">
        <f ca="1">MAX(C22*C14,0)</f>
        <v>#NAME?</v>
      </c>
      <c r="D15" s="40" t="e">
        <f t="shared" ref="D15:L15" ca="1" si="8">MAX(D22*D14,0)</f>
        <v>#NAME?</v>
      </c>
      <c r="E15" s="40" t="e">
        <f t="shared" ca="1" si="8"/>
        <v>#NAME?</v>
      </c>
      <c r="F15" s="40" t="e">
        <f t="shared" ca="1" si="8"/>
        <v>#NAME?</v>
      </c>
      <c r="G15" s="40" t="e">
        <f t="shared" ca="1" si="8"/>
        <v>#NAME?</v>
      </c>
      <c r="H15" s="40" t="e">
        <f t="shared" ca="1" si="8"/>
        <v>#NAME?</v>
      </c>
      <c r="I15" s="40" t="e">
        <f t="shared" ca="1" si="8"/>
        <v>#NAME?</v>
      </c>
      <c r="J15" s="40" t="e">
        <f t="shared" ca="1" si="8"/>
        <v>#NAME?</v>
      </c>
      <c r="K15" s="40" t="e">
        <f t="shared" ca="1" si="8"/>
        <v>#NAME?</v>
      </c>
      <c r="L15" s="63" t="e">
        <f t="shared" ca="1" si="8"/>
        <v>#NAME?</v>
      </c>
      <c r="N15" s="53">
        <v>5</v>
      </c>
      <c r="O15" s="36">
        <v>-3.3E-3</v>
      </c>
      <c r="P15" s="52">
        <f t="shared" si="5"/>
        <v>0.21739130434782608</v>
      </c>
    </row>
    <row r="16" spans="2:16" ht="12.75" customHeight="1" x14ac:dyDescent="0.3">
      <c r="B16" s="61" t="s">
        <v>10</v>
      </c>
      <c r="C16" s="41" t="e">
        <f ca="1">C13-C15</f>
        <v>#NAME?</v>
      </c>
      <c r="D16" s="41" t="e">
        <f t="shared" ref="D16:L16" ca="1" si="9">D13-D15</f>
        <v>#NAME?</v>
      </c>
      <c r="E16" s="41" t="e">
        <f t="shared" ca="1" si="9"/>
        <v>#NAME?</v>
      </c>
      <c r="F16" s="41" t="e">
        <f t="shared" ca="1" si="9"/>
        <v>#NAME?</v>
      </c>
      <c r="G16" s="41" t="e">
        <f t="shared" ca="1" si="9"/>
        <v>#NAME?</v>
      </c>
      <c r="H16" s="41" t="e">
        <f t="shared" ca="1" si="9"/>
        <v>#NAME?</v>
      </c>
      <c r="I16" s="41" t="e">
        <f t="shared" ca="1" si="9"/>
        <v>#NAME?</v>
      </c>
      <c r="J16" s="41" t="e">
        <f t="shared" ca="1" si="9"/>
        <v>#NAME?</v>
      </c>
      <c r="K16" s="41" t="e">
        <f t="shared" ca="1" si="9"/>
        <v>#NAME?</v>
      </c>
      <c r="L16" s="64" t="e">
        <f t="shared" ca="1" si="9"/>
        <v>#NAME?</v>
      </c>
      <c r="N16" s="53">
        <v>6</v>
      </c>
      <c r="O16" s="36">
        <v>-3.2000000000000002E-3</v>
      </c>
      <c r="P16" s="52">
        <f t="shared" si="5"/>
        <v>0.2608695652173913</v>
      </c>
    </row>
    <row r="17" spans="2:16" ht="12.75" customHeight="1" x14ac:dyDescent="0.3">
      <c r="B17" s="150" t="s">
        <v>11</v>
      </c>
      <c r="C17" s="151"/>
      <c r="D17" s="151"/>
      <c r="E17" s="151"/>
      <c r="F17" s="151"/>
      <c r="G17" s="151"/>
      <c r="H17" s="151"/>
      <c r="I17" s="151"/>
      <c r="J17" s="151"/>
      <c r="K17" s="151"/>
      <c r="L17" s="152"/>
      <c r="N17" s="53">
        <v>7</v>
      </c>
      <c r="O17" s="36">
        <v>-2.7000000000000001E-3</v>
      </c>
      <c r="P17" s="52">
        <f t="shared" si="5"/>
        <v>0.30434782608695654</v>
      </c>
    </row>
    <row r="18" spans="2:16" ht="12.75" customHeight="1" x14ac:dyDescent="0.3">
      <c r="B18" s="153"/>
      <c r="C18" s="154"/>
      <c r="D18" s="154"/>
      <c r="E18" s="154"/>
      <c r="F18" s="154"/>
      <c r="G18" s="154"/>
      <c r="H18" s="154"/>
      <c r="I18" s="154"/>
      <c r="J18" s="154"/>
      <c r="K18" s="154"/>
      <c r="L18" s="155"/>
      <c r="N18" s="53">
        <v>8</v>
      </c>
      <c r="O18" s="36">
        <v>-2.5999999999999999E-3</v>
      </c>
      <c r="P18" s="52">
        <f t="shared" si="5"/>
        <v>0.34782608695652173</v>
      </c>
    </row>
    <row r="19" spans="2:16" s="5" customFormat="1" ht="12.75" customHeight="1" x14ac:dyDescent="0.3">
      <c r="B19" s="65" t="s">
        <v>12</v>
      </c>
      <c r="C19" s="9">
        <v>0</v>
      </c>
      <c r="D19" s="10">
        <v>0</v>
      </c>
      <c r="E19" s="10">
        <v>0</v>
      </c>
      <c r="F19" s="16" t="e">
        <f t="shared" ref="F19:L19" ca="1" si="10">IF(E26&gt;threshold2,2,IF(E26&gt;threshold1,1,0))</f>
        <v>#NAME?</v>
      </c>
      <c r="G19" s="16" t="e">
        <f ca="1">IF(F26&gt;threshold2,2,IF(F26&gt;threshold1,1,0))</f>
        <v>#NAME?</v>
      </c>
      <c r="H19" s="16" t="e">
        <f t="shared" ca="1" si="10"/>
        <v>#NAME?</v>
      </c>
      <c r="I19" s="16" t="e">
        <f t="shared" ca="1" si="10"/>
        <v>#NAME?</v>
      </c>
      <c r="J19" s="16" t="e">
        <f t="shared" ca="1" si="10"/>
        <v>#NAME?</v>
      </c>
      <c r="K19" s="16" t="e">
        <f t="shared" ca="1" si="10"/>
        <v>#NAME?</v>
      </c>
      <c r="L19" s="66" t="e">
        <f t="shared" ca="1" si="10"/>
        <v>#NAME?</v>
      </c>
      <c r="N19" s="53">
        <v>9</v>
      </c>
      <c r="O19" s="36">
        <v>-2E-3</v>
      </c>
      <c r="P19" s="52">
        <f t="shared" si="5"/>
        <v>0.39130434782608697</v>
      </c>
    </row>
    <row r="20" spans="2:16" s="5" customFormat="1" ht="12.75" customHeight="1" x14ac:dyDescent="0.3">
      <c r="B20" s="65" t="s">
        <v>13</v>
      </c>
      <c r="C20" s="42"/>
      <c r="D20" s="43"/>
      <c r="E20" s="44" t="e">
        <f ca="1">_xll.RiskPert(22.75,23.25,24.5)</f>
        <v>#NAME?</v>
      </c>
      <c r="F20" s="43" t="e">
        <f t="shared" ref="F20:L20" ca="1" si="11">E20*(1+F21)</f>
        <v>#NAME?</v>
      </c>
      <c r="G20" s="43" t="e">
        <f t="shared" ca="1" si="11"/>
        <v>#NAME?</v>
      </c>
      <c r="H20" s="43" t="e">
        <f t="shared" ca="1" si="11"/>
        <v>#NAME?</v>
      </c>
      <c r="I20" s="43" t="e">
        <f t="shared" ca="1" si="11"/>
        <v>#NAME?</v>
      </c>
      <c r="J20" s="43" t="e">
        <f t="shared" ca="1" si="11"/>
        <v>#NAME?</v>
      </c>
      <c r="K20" s="43" t="e">
        <f t="shared" ca="1" si="11"/>
        <v>#NAME?</v>
      </c>
      <c r="L20" s="67" t="e">
        <f t="shared" ca="1" si="11"/>
        <v>#NAME?</v>
      </c>
      <c r="N20" s="53">
        <v>10</v>
      </c>
      <c r="O20" s="36">
        <v>-1.6000000000000001E-3</v>
      </c>
      <c r="P20" s="52">
        <f t="shared" si="5"/>
        <v>0.43478260869565216</v>
      </c>
    </row>
    <row r="21" spans="2:16" s="5" customFormat="1" ht="12.75" customHeight="1" x14ac:dyDescent="0.3">
      <c r="B21" s="65" t="s">
        <v>14</v>
      </c>
      <c r="C21" s="11"/>
      <c r="D21" s="12"/>
      <c r="E21" s="12"/>
      <c r="F21" s="30" t="e">
        <f ca="1">_xll.RiskPert(3%,4%,6%)</f>
        <v>#NAME?</v>
      </c>
      <c r="G21" s="35" t="e">
        <f ca="1">_xll.RiskCumul($O$6,$O$7,$O$11:$O$32,$P$11:$P$32)+F21</f>
        <v>#NAME?</v>
      </c>
      <c r="H21" s="35" t="e">
        <f ca="1">_xll.RiskCumul($O$6,$O$7,$O$11:$O$32,$P$11:$P$32)+G21</f>
        <v>#NAME?</v>
      </c>
      <c r="I21" s="35" t="e">
        <f ca="1">_xll.RiskCumul($O$6,$O$7,$O$11:$O$32,$P$11:$P$32)+H21</f>
        <v>#NAME?</v>
      </c>
      <c r="J21" s="35" t="e">
        <f ca="1">_xll.RiskCumul($O$6,$O$7,$O$11:$O$32,$P$11:$P$32)+I21</f>
        <v>#NAME?</v>
      </c>
      <c r="K21" s="35" t="e">
        <f ca="1">_xll.RiskCumul($O$6,$O$7,$O$11:$O$32,$P$11:$P$32)+J21</f>
        <v>#NAME?</v>
      </c>
      <c r="L21" s="68" t="e">
        <f ca="1">_xll.RiskCumul($O$6,$O$7,$O$11:$O$32,$P$11:$P$32)+K21</f>
        <v>#NAME?</v>
      </c>
      <c r="M21" s="22"/>
      <c r="N21" s="53">
        <v>11</v>
      </c>
      <c r="O21" s="36">
        <v>-1.2999999999999999E-3</v>
      </c>
      <c r="P21" s="52">
        <f t="shared" si="5"/>
        <v>0.47826086956521741</v>
      </c>
    </row>
    <row r="22" spans="2:16" s="5" customFormat="1" ht="12.75" customHeight="1" x14ac:dyDescent="0.3">
      <c r="B22" s="69" t="s">
        <v>15</v>
      </c>
      <c r="C22" s="34">
        <v>0.46</v>
      </c>
      <c r="D22" s="13" t="e">
        <f t="shared" ref="D22:L22" ca="1" si="12">IF(AND(conservatives=1,D6=Election),newtax,C22)</f>
        <v>#NAME?</v>
      </c>
      <c r="E22" s="13" t="e">
        <f t="shared" ca="1" si="12"/>
        <v>#NAME?</v>
      </c>
      <c r="F22" s="13" t="e">
        <f t="shared" ca="1" si="12"/>
        <v>#NAME?</v>
      </c>
      <c r="G22" s="13" t="e">
        <f ca="1">IF(AND(conservatives=1,G6=Election),newtax,F22)</f>
        <v>#NAME?</v>
      </c>
      <c r="H22" s="13" t="e">
        <f t="shared" ca="1" si="12"/>
        <v>#NAME?</v>
      </c>
      <c r="I22" s="13" t="e">
        <f t="shared" ca="1" si="12"/>
        <v>#NAME?</v>
      </c>
      <c r="J22" s="13" t="e">
        <f t="shared" ca="1" si="12"/>
        <v>#NAME?</v>
      </c>
      <c r="K22" s="13" t="e">
        <f t="shared" ca="1" si="12"/>
        <v>#NAME?</v>
      </c>
      <c r="L22" s="70" t="e">
        <f t="shared" ca="1" si="12"/>
        <v>#NAME?</v>
      </c>
      <c r="M22" s="31"/>
      <c r="N22" s="53">
        <v>12</v>
      </c>
      <c r="O22" s="36">
        <v>-8.9999999999999998E-4</v>
      </c>
      <c r="P22" s="52">
        <f t="shared" si="5"/>
        <v>0.52173913043478259</v>
      </c>
    </row>
    <row r="23" spans="2:16" ht="12.75" customHeight="1" x14ac:dyDescent="0.3">
      <c r="B23" s="150" t="s">
        <v>16</v>
      </c>
      <c r="C23" s="151"/>
      <c r="D23" s="151"/>
      <c r="E23" s="151"/>
      <c r="F23" s="151"/>
      <c r="G23" s="151"/>
      <c r="H23" s="151"/>
      <c r="I23" s="151"/>
      <c r="J23" s="151"/>
      <c r="K23" s="151"/>
      <c r="L23" s="152"/>
      <c r="N23" s="53">
        <v>13</v>
      </c>
      <c r="O23" s="36">
        <v>-5.9999999999999995E-4</v>
      </c>
      <c r="P23" s="52">
        <f t="shared" si="5"/>
        <v>0.56521739130434778</v>
      </c>
    </row>
    <row r="24" spans="2:16" ht="12.75" customHeight="1" x14ac:dyDescent="0.3">
      <c r="B24" s="153"/>
      <c r="C24" s="154"/>
      <c r="D24" s="154"/>
      <c r="E24" s="154"/>
      <c r="F24" s="154"/>
      <c r="G24" s="154"/>
      <c r="H24" s="154"/>
      <c r="I24" s="154"/>
      <c r="J24" s="154"/>
      <c r="K24" s="154"/>
      <c r="L24" s="155"/>
      <c r="N24" s="53">
        <v>14</v>
      </c>
      <c r="O24" s="36">
        <v>2.9999999999999997E-4</v>
      </c>
      <c r="P24" s="52">
        <f t="shared" si="5"/>
        <v>0.60869565217391308</v>
      </c>
    </row>
    <row r="25" spans="2:16" s="5" customFormat="1" ht="12.75" customHeight="1" x14ac:dyDescent="0.3">
      <c r="B25" s="71" t="s">
        <v>17</v>
      </c>
      <c r="C25" s="14"/>
      <c r="D25" s="15"/>
      <c r="E25" s="45" t="e">
        <f ca="1">_xll.RiskPert(45,58,65)</f>
        <v>#NAME?</v>
      </c>
      <c r="F25" s="46" t="e">
        <f t="shared" ref="F25:L25" ca="1" si="13">E25*(1+F21)</f>
        <v>#NAME?</v>
      </c>
      <c r="G25" s="46" t="e">
        <f t="shared" ca="1" si="13"/>
        <v>#NAME?</v>
      </c>
      <c r="H25" s="46" t="e">
        <f t="shared" ca="1" si="13"/>
        <v>#NAME?</v>
      </c>
      <c r="I25" s="46" t="e">
        <f t="shared" ca="1" si="13"/>
        <v>#NAME?</v>
      </c>
      <c r="J25" s="46" t="e">
        <f t="shared" ca="1" si="13"/>
        <v>#NAME?</v>
      </c>
      <c r="K25" s="46" t="e">
        <f t="shared" ca="1" si="13"/>
        <v>#NAME?</v>
      </c>
      <c r="L25" s="72" t="e">
        <f t="shared" ca="1" si="13"/>
        <v>#NAME?</v>
      </c>
      <c r="N25" s="53">
        <v>15</v>
      </c>
      <c r="O25" s="36">
        <v>1.5E-3</v>
      </c>
      <c r="P25" s="52">
        <f t="shared" si="5"/>
        <v>0.65217391304347827</v>
      </c>
    </row>
    <row r="26" spans="2:16" s="5" customFormat="1" ht="12.75" customHeight="1" x14ac:dyDescent="0.3">
      <c r="B26" s="71" t="s">
        <v>24</v>
      </c>
      <c r="C26" s="14"/>
      <c r="D26" s="15"/>
      <c r="E26" s="32" t="e">
        <f ca="1">_xll.RiskPert(2500,3000,5000)</f>
        <v>#NAME?</v>
      </c>
      <c r="F26" s="20" t="e">
        <f t="shared" ref="F26:L26" ca="1" si="14">MIN(20000,E26*(1+growth))</f>
        <v>#NAME?</v>
      </c>
      <c r="G26" s="20" t="e">
        <f t="shared" ca="1" si="14"/>
        <v>#NAME?</v>
      </c>
      <c r="H26" s="20" t="e">
        <f t="shared" ca="1" si="14"/>
        <v>#NAME?</v>
      </c>
      <c r="I26" s="20" t="e">
        <f t="shared" ca="1" si="14"/>
        <v>#NAME?</v>
      </c>
      <c r="J26" s="20" t="e">
        <f t="shared" ca="1" si="14"/>
        <v>#NAME?</v>
      </c>
      <c r="K26" s="20" t="e">
        <f t="shared" ca="1" si="14"/>
        <v>#NAME?</v>
      </c>
      <c r="L26" s="73" t="e">
        <f t="shared" ca="1" si="14"/>
        <v>#NAME?</v>
      </c>
      <c r="N26" s="53">
        <v>16</v>
      </c>
      <c r="O26" s="36">
        <v>1.9E-3</v>
      </c>
      <c r="P26" s="52">
        <f t="shared" si="5"/>
        <v>0.69565217391304346</v>
      </c>
    </row>
    <row r="27" spans="2:16" s="5" customFormat="1" ht="12.75" customHeight="1" x14ac:dyDescent="0.3">
      <c r="B27" s="74" t="s">
        <v>18</v>
      </c>
      <c r="C27" s="17"/>
      <c r="D27" s="18"/>
      <c r="E27" s="21" t="e">
        <f ca="1">ROUND(E26/(AVERAGE(C19:E19)+1),0)</f>
        <v>#NAME?</v>
      </c>
      <c r="F27" s="21" t="e">
        <f t="shared" ref="F27:L27" ca="1" si="15">ROUND(F26/(AVERAGE(D19:F19)+1),0)</f>
        <v>#NAME?</v>
      </c>
      <c r="G27" s="21" t="e">
        <f t="shared" ca="1" si="15"/>
        <v>#NAME?</v>
      </c>
      <c r="H27" s="21" t="e">
        <f t="shared" ca="1" si="15"/>
        <v>#NAME?</v>
      </c>
      <c r="I27" s="21" t="e">
        <f t="shared" ca="1" si="15"/>
        <v>#NAME?</v>
      </c>
      <c r="J27" s="21" t="e">
        <f t="shared" ca="1" si="15"/>
        <v>#NAME?</v>
      </c>
      <c r="K27" s="21" t="e">
        <f t="shared" ca="1" si="15"/>
        <v>#NAME?</v>
      </c>
      <c r="L27" s="75" t="e">
        <f t="shared" ca="1" si="15"/>
        <v>#NAME?</v>
      </c>
      <c r="N27" s="53">
        <v>17</v>
      </c>
      <c r="O27" s="36">
        <v>2.5000000000000001E-3</v>
      </c>
      <c r="P27" s="52">
        <f t="shared" si="5"/>
        <v>0.73913043478260865</v>
      </c>
    </row>
    <row r="28" spans="2:16" ht="12.75" customHeight="1" x14ac:dyDescent="0.3">
      <c r="B28" s="150" t="s">
        <v>19</v>
      </c>
      <c r="C28" s="151"/>
      <c r="D28" s="151"/>
      <c r="E28" s="151"/>
      <c r="F28" s="151"/>
      <c r="G28" s="151"/>
      <c r="H28" s="151"/>
      <c r="I28" s="151"/>
      <c r="J28" s="151"/>
      <c r="K28" s="151"/>
      <c r="L28" s="152"/>
      <c r="N28" s="53">
        <v>18</v>
      </c>
      <c r="O28" s="36">
        <v>2.8999999999999998E-3</v>
      </c>
      <c r="P28" s="52">
        <f t="shared" si="5"/>
        <v>0.78260869565217395</v>
      </c>
    </row>
    <row r="29" spans="2:16" ht="12.75" customHeight="1" x14ac:dyDescent="0.3">
      <c r="B29" s="153"/>
      <c r="C29" s="154"/>
      <c r="D29" s="154"/>
      <c r="E29" s="154"/>
      <c r="F29" s="154"/>
      <c r="G29" s="154"/>
      <c r="H29" s="154"/>
      <c r="I29" s="154"/>
      <c r="J29" s="154"/>
      <c r="K29" s="154"/>
      <c r="L29" s="155"/>
      <c r="N29" s="53">
        <v>19</v>
      </c>
      <c r="O29" s="36">
        <v>3.0999999999999999E-3</v>
      </c>
      <c r="P29" s="52">
        <f t="shared" si="5"/>
        <v>0.82608695652173914</v>
      </c>
    </row>
    <row r="30" spans="2:16" s="5" customFormat="1" ht="12.75" customHeight="1" x14ac:dyDescent="0.3">
      <c r="B30" s="76" t="s">
        <v>20</v>
      </c>
      <c r="C30" s="39" t="e">
        <f ca="1">C35/SUM($C$35:$E$35)*combined</f>
        <v>#NAME?</v>
      </c>
      <c r="D30" s="39" t="e">
        <f ca="1">D35/SUM($C$35:$E$35)*combined</f>
        <v>#NAME?</v>
      </c>
      <c r="E30" s="39" t="e">
        <f ca="1">E35/SUM($C$35:$E$35)*combined</f>
        <v>#NAME?</v>
      </c>
      <c r="F30" s="47">
        <v>0</v>
      </c>
      <c r="G30" s="47">
        <v>0</v>
      </c>
      <c r="H30" s="47">
        <v>0</v>
      </c>
      <c r="I30" s="47">
        <v>0</v>
      </c>
      <c r="J30" s="47">
        <v>0</v>
      </c>
      <c r="K30" s="47">
        <v>0</v>
      </c>
      <c r="L30" s="77">
        <v>0</v>
      </c>
      <c r="N30" s="53">
        <v>20</v>
      </c>
      <c r="O30" s="36">
        <v>4.3E-3</v>
      </c>
      <c r="P30" s="52">
        <f t="shared" si="5"/>
        <v>0.86956521739130432</v>
      </c>
    </row>
    <row r="31" spans="2:16" s="5" customFormat="1" ht="12.75" customHeight="1" x14ac:dyDescent="0.3">
      <c r="B31" s="76" t="s">
        <v>21</v>
      </c>
      <c r="C31" s="48">
        <v>125000</v>
      </c>
      <c r="D31" s="49">
        <v>145000</v>
      </c>
      <c r="E31" s="49">
        <v>55000</v>
      </c>
      <c r="F31" s="48">
        <v>35000</v>
      </c>
      <c r="G31" s="39">
        <v>0</v>
      </c>
      <c r="H31" s="39">
        <v>0</v>
      </c>
      <c r="I31" s="39">
        <v>0</v>
      </c>
      <c r="J31" s="39">
        <v>0</v>
      </c>
      <c r="K31" s="39">
        <v>0</v>
      </c>
      <c r="L31" s="77">
        <v>0</v>
      </c>
      <c r="N31" s="53">
        <v>21</v>
      </c>
      <c r="O31" s="36">
        <v>6.3E-3</v>
      </c>
      <c r="P31" s="52">
        <f t="shared" si="5"/>
        <v>0.91304347826086951</v>
      </c>
    </row>
    <row r="32" spans="2:16" s="5" customFormat="1" ht="12.75" customHeight="1" thickBot="1" x14ac:dyDescent="0.35">
      <c r="B32" s="78" t="s">
        <v>22</v>
      </c>
      <c r="C32" s="40">
        <v>0</v>
      </c>
      <c r="D32" s="50">
        <v>10000</v>
      </c>
      <c r="E32" s="50">
        <v>20000</v>
      </c>
      <c r="F32" s="50">
        <v>20000</v>
      </c>
      <c r="G32" s="50">
        <v>20000</v>
      </c>
      <c r="H32" s="50">
        <v>20000</v>
      </c>
      <c r="I32" s="50">
        <v>20000</v>
      </c>
      <c r="J32" s="50">
        <v>25000</v>
      </c>
      <c r="K32" s="50">
        <v>25000</v>
      </c>
      <c r="L32" s="79">
        <v>25000</v>
      </c>
      <c r="N32" s="54">
        <v>22</v>
      </c>
      <c r="O32" s="55">
        <v>7.1999999999999998E-3</v>
      </c>
      <c r="P32" s="56">
        <f t="shared" si="5"/>
        <v>0.95652173913043481</v>
      </c>
    </row>
    <row r="33" spans="2:12" ht="12.75" customHeight="1" thickBot="1" x14ac:dyDescent="0.3">
      <c r="B33" s="82" t="s">
        <v>23</v>
      </c>
      <c r="C33" s="83" t="e">
        <f ca="1">SUM(C30:C32)</f>
        <v>#NAME?</v>
      </c>
      <c r="D33" s="83" t="e">
        <f t="shared" ref="D33:L33" ca="1" si="16">SUM(D30:D32)</f>
        <v>#NAME?</v>
      </c>
      <c r="E33" s="83" t="e">
        <f t="shared" ca="1" si="16"/>
        <v>#NAME?</v>
      </c>
      <c r="F33" s="83">
        <f t="shared" si="16"/>
        <v>55000</v>
      </c>
      <c r="G33" s="83">
        <f t="shared" si="16"/>
        <v>20000</v>
      </c>
      <c r="H33" s="83">
        <f t="shared" si="16"/>
        <v>20000</v>
      </c>
      <c r="I33" s="83">
        <f t="shared" si="16"/>
        <v>20000</v>
      </c>
      <c r="J33" s="83">
        <f t="shared" si="16"/>
        <v>25000</v>
      </c>
      <c r="K33" s="83">
        <f t="shared" si="16"/>
        <v>25000</v>
      </c>
      <c r="L33" s="84">
        <f t="shared" si="16"/>
        <v>25000</v>
      </c>
    </row>
    <row r="34" spans="2:12" ht="13" thickBot="1" x14ac:dyDescent="0.3">
      <c r="H34" s="2"/>
      <c r="I34" s="2"/>
      <c r="J34" s="2"/>
      <c r="K34" s="2"/>
      <c r="L34" s="2"/>
    </row>
    <row r="35" spans="2:12" ht="13" thickBot="1" x14ac:dyDescent="0.3">
      <c r="B35" s="97" t="s">
        <v>50</v>
      </c>
      <c r="C35" s="98">
        <v>5</v>
      </c>
      <c r="D35" s="98">
        <v>2</v>
      </c>
      <c r="E35" s="99">
        <v>1</v>
      </c>
      <c r="F35" s="2"/>
      <c r="G35" s="2"/>
      <c r="H35" s="2"/>
      <c r="I35" s="2"/>
      <c r="J35" s="2"/>
      <c r="K35" s="2"/>
      <c r="L35" s="2"/>
    </row>
    <row r="36" spans="2:12" ht="13" thickBot="1" x14ac:dyDescent="0.3">
      <c r="B36" s="1"/>
      <c r="C36" s="1"/>
      <c r="D36" s="33"/>
      <c r="E36" s="33"/>
      <c r="F36" s="23"/>
      <c r="G36" s="2"/>
      <c r="H36" s="2"/>
      <c r="I36" s="2"/>
      <c r="J36" s="2"/>
      <c r="K36" s="2"/>
      <c r="L36" s="2"/>
    </row>
    <row r="37" spans="2:12" x14ac:dyDescent="0.25">
      <c r="B37" s="85" t="s">
        <v>25</v>
      </c>
      <c r="C37" s="92" t="e">
        <f ca="1">_xll.RiskPert(70,80,120)*1000</f>
        <v>#NAME?</v>
      </c>
      <c r="D37" s="2"/>
      <c r="E37" s="2"/>
      <c r="F37" s="2"/>
      <c r="G37" s="2"/>
      <c r="H37" s="2"/>
      <c r="I37" s="2"/>
      <c r="J37" s="2"/>
      <c r="K37" s="2"/>
      <c r="L37" s="2"/>
    </row>
    <row r="38" spans="2:12" x14ac:dyDescent="0.25">
      <c r="B38" s="86" t="s">
        <v>26</v>
      </c>
      <c r="C38" s="93" t="e">
        <f ca="1">_xll.RiskPert(70,100,140)*1000</f>
        <v>#NAME?</v>
      </c>
      <c r="D38" s="2"/>
      <c r="E38" s="2"/>
      <c r="F38" s="2"/>
      <c r="G38" s="2"/>
      <c r="H38" s="2"/>
      <c r="I38" s="2"/>
      <c r="J38" s="2"/>
      <c r="K38" s="2"/>
      <c r="L38" s="2"/>
    </row>
    <row r="39" spans="2:12" x14ac:dyDescent="0.25">
      <c r="B39" s="86" t="s">
        <v>27</v>
      </c>
      <c r="C39" s="94" t="e">
        <f ca="1">_xll.RiskDuniform(C37:C38)</f>
        <v>#NAME?</v>
      </c>
      <c r="D39" s="1"/>
      <c r="E39" s="1"/>
      <c r="F39" s="1"/>
      <c r="G39" s="1"/>
      <c r="H39" s="2"/>
      <c r="I39" s="2"/>
      <c r="J39" s="2"/>
      <c r="K39" s="2"/>
      <c r="L39" s="2"/>
    </row>
    <row r="40" spans="2:12" x14ac:dyDescent="0.25">
      <c r="B40" s="86" t="s">
        <v>49</v>
      </c>
      <c r="C40" s="87" t="e">
        <f ca="1">_xll.RiskBinomial(1,20%)</f>
        <v>#NAME?</v>
      </c>
      <c r="D40" s="2"/>
      <c r="E40" s="2"/>
      <c r="F40" s="2"/>
      <c r="G40" s="2"/>
      <c r="H40" s="2"/>
      <c r="I40" s="2"/>
      <c r="J40" s="2"/>
      <c r="K40" s="2"/>
      <c r="L40" s="2"/>
    </row>
    <row r="41" spans="2:12" x14ac:dyDescent="0.25">
      <c r="B41" s="86" t="s">
        <v>43</v>
      </c>
      <c r="C41" s="87">
        <f ca="1">YEAR(TODAY())+5</f>
        <v>2022</v>
      </c>
      <c r="D41" s="2"/>
      <c r="E41" s="2"/>
      <c r="F41" s="2"/>
      <c r="G41" s="2"/>
      <c r="H41" s="2"/>
      <c r="I41" s="2"/>
      <c r="J41" s="2"/>
      <c r="K41" s="2"/>
      <c r="L41" s="2"/>
    </row>
    <row r="42" spans="2:12" x14ac:dyDescent="0.25">
      <c r="B42" s="86" t="s">
        <v>44</v>
      </c>
      <c r="C42" s="95" t="e">
        <f ca="1">_xll.RiskPert(32%,35%,46%)</f>
        <v>#NAME?</v>
      </c>
      <c r="D42" s="2"/>
      <c r="E42" s="2"/>
      <c r="F42" s="2"/>
      <c r="G42" s="2"/>
      <c r="H42" s="2"/>
      <c r="I42" s="2"/>
      <c r="J42" s="2"/>
      <c r="K42" s="2"/>
      <c r="L42" s="2"/>
    </row>
    <row r="43" spans="2:12" ht="13" thickBot="1" x14ac:dyDescent="0.3">
      <c r="B43" s="88" t="s">
        <v>28</v>
      </c>
      <c r="C43" s="96" t="e">
        <f ca="1">_xll.RiskPert(10%,20%,40%)</f>
        <v>#NAME?</v>
      </c>
      <c r="D43" s="2"/>
      <c r="E43" s="2"/>
      <c r="F43" s="2"/>
      <c r="G43" s="2"/>
      <c r="H43" s="2"/>
      <c r="I43" s="2"/>
      <c r="J43" s="2"/>
      <c r="K43" s="2"/>
      <c r="L43" s="2"/>
    </row>
    <row r="44" spans="2:12" ht="13" thickBot="1" x14ac:dyDescent="0.3">
      <c r="B44" s="6"/>
      <c r="C44" s="4"/>
      <c r="D44" s="2"/>
      <c r="E44" s="2"/>
      <c r="F44" s="2"/>
      <c r="G44" s="2"/>
      <c r="H44" s="2"/>
      <c r="I44" s="2"/>
      <c r="J44" s="2"/>
      <c r="K44" s="2"/>
      <c r="L44" s="2"/>
    </row>
    <row r="45" spans="2:12" x14ac:dyDescent="0.25">
      <c r="B45" s="90" t="s">
        <v>45</v>
      </c>
      <c r="C45" s="91" t="s">
        <v>47</v>
      </c>
      <c r="D45" s="2"/>
      <c r="E45" s="2"/>
      <c r="F45" s="2"/>
      <c r="G45" s="2"/>
    </row>
    <row r="46" spans="2:12" x14ac:dyDescent="0.25">
      <c r="B46" s="86" t="s">
        <v>46</v>
      </c>
      <c r="C46" s="87">
        <v>3500</v>
      </c>
    </row>
    <row r="47" spans="2:12" ht="13" thickBot="1" x14ac:dyDescent="0.3">
      <c r="B47" s="88" t="s">
        <v>48</v>
      </c>
      <c r="C47" s="89">
        <v>8500</v>
      </c>
    </row>
  </sheetData>
  <mergeCells count="7">
    <mergeCell ref="P9:P10"/>
    <mergeCell ref="B7:L8"/>
    <mergeCell ref="B17:L18"/>
    <mergeCell ref="B23:L24"/>
    <mergeCell ref="B28:L29"/>
    <mergeCell ref="N9:N10"/>
    <mergeCell ref="O9:O10"/>
  </mergeCells>
  <phoneticPr fontId="8"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Problem description</vt:lpstr>
      <vt:lpstr>Static model</vt:lpstr>
      <vt:lpstr>Solution</vt:lpstr>
      <vt:lpstr>combined</vt:lpstr>
      <vt:lpstr>conservatives</vt:lpstr>
      <vt:lpstr>Election</vt:lpstr>
      <vt:lpstr>growth</vt:lpstr>
      <vt:lpstr>newtax</vt:lpstr>
      <vt:lpstr>threshold1</vt:lpstr>
      <vt:lpstr>threshold2</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1999-11-16T16:07:22Z</cp:lastPrinted>
  <dcterms:created xsi:type="dcterms:W3CDTF">1999-11-16T21:35:41Z</dcterms:created>
  <dcterms:modified xsi:type="dcterms:W3CDTF">2017-09-22T16:20:24Z</dcterms:modified>
  <cp:category/>
</cp:coreProperties>
</file>