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40" yWindow="30" windowWidth="15480" windowHeight="5120" tabRatio="681" firstSheet="1" activeTab="1"/>
  </bookViews>
  <sheets>
    <sheet name="CB_DATA_" sheetId="7" state="veryHidden" r:id="rId1"/>
    <sheet name="Problem description" sheetId="5" r:id="rId2"/>
    <sheet name="Static model" sheetId="6" r:id="rId3"/>
    <sheet name="Real Option Model" sheetId="1" r:id="rId4"/>
  </sheets>
  <externalReferences>
    <externalReference r:id="rId5"/>
  </externalReferences>
  <definedNames>
    <definedName name="CB_09c9a49bebba4998b3bef4f0b386fbec" localSheetId="3" hidden="1">'Real Option Model'!$E$31</definedName>
    <definedName name="CB_0f13fd1920e04753b7a56ab075e6694f" localSheetId="3" hidden="1">'Real Option Model'!$C$45</definedName>
    <definedName name="CB_13950961ccc24f1c930f8f00ef87e6eb" localSheetId="3" hidden="1">'Real Option Model'!$C$7</definedName>
    <definedName name="CB_1dc0efe8f81c40859b856eac7514aa5c" localSheetId="3" hidden="1">'Real Option Model'!$C$44</definedName>
    <definedName name="CB_1f0349f7c3984b338e992e92176450a6" localSheetId="3" hidden="1">'Real Option Model'!$C$6</definedName>
    <definedName name="CB_2aea3650782a457f822c08a7ff5ccbe9" localSheetId="3" hidden="1">'Real Option Model'!$F$41</definedName>
    <definedName name="CB_31d7522a6e5a4c4aaedcea5a1809f8e1" localSheetId="3" hidden="1">'Real Option Model'!$L$26</definedName>
    <definedName name="CB_3c99641e545741c4a2046dcad7bcd129" localSheetId="3" hidden="1">'Real Option Model'!$C$8</definedName>
    <definedName name="CB_40b66155e223475fa827ae3af4dc7cb5" localSheetId="3" hidden="1">'Real Option Model'!$C$42</definedName>
    <definedName name="CB_4b29b60887404628981716e7bbe7e051" localSheetId="3" hidden="1">'Real Option Model'!$J$26</definedName>
    <definedName name="CB_56909be744eb4bb393243674affbe1b4" localSheetId="3" hidden="1">'Real Option Model'!$D$44</definedName>
    <definedName name="CB_58337c43403e45e29125317773de85b7" localSheetId="3" hidden="1">'Real Option Model'!$E$62</definedName>
    <definedName name="CB_5f83a5d629ea42d288ce69c3d074b083" localSheetId="3" hidden="1">'Real Option Model'!$E$25</definedName>
    <definedName name="CB_68a3c15d95924464a01f8ed189c1158c" localSheetId="3" hidden="1">'Real Option Model'!$E$32</definedName>
    <definedName name="CB_6b9c719eadcf449f982c23e241de0ae3" localSheetId="3" hidden="1">'Real Option Model'!$H$26</definedName>
    <definedName name="CB_747d8877decb48e9ba9e7c717fb76e8c" localSheetId="3" hidden="1">'Real Option Model'!$F$27</definedName>
    <definedName name="CB_75be8b4d93ca4d41a7b511ef8a339c32" localSheetId="3" hidden="1">'Real Option Model'!$G$26</definedName>
    <definedName name="CB_a0c46bf366e14ab1aa68fa42506afd7d" localSheetId="3" hidden="1">'Real Option Model'!$E$68</definedName>
    <definedName name="CB_b5cc8627fa994567b8aaaec271691081" localSheetId="3" hidden="1">'Real Option Model'!$I$26</definedName>
    <definedName name="CB_Block_00000000000000000000000000000000" localSheetId="3" hidden="1">"'7.0.0.0"</definedName>
    <definedName name="CB_Block_00000000000000000000000000000001" localSheetId="0" hidden="1">"'636380559350492508"</definedName>
    <definedName name="CB_Block_00000000000000000000000000000001" localSheetId="3" hidden="1">"'636380559350336289"</definedName>
    <definedName name="CB_Block_00000000000000000000000000000003" localSheetId="3" hidden="1">"'11.1.4716.0"</definedName>
    <definedName name="CB_BlockExt_00000000000000000000000000000003" localSheetId="3" hidden="1">"'11.1.2.4.850"</definedName>
    <definedName name="CB_e1a0c7731e8546638568505110d37963" localSheetId="3" hidden="1">'Real Option Model'!$E$67</definedName>
    <definedName name="CB_e4f71a4a690e4b898e54ec1fa0a417ae" localSheetId="3" hidden="1">'Real Option Model'!$D$41</definedName>
    <definedName name="CB_e7fe2de023d1449590cc63c4a9fcaf64" localSheetId="3" hidden="1">'Real Option Model'!$C$41</definedName>
    <definedName name="CB_f2f3bee7e32f463eae48ac12442b3f38" localSheetId="3" hidden="1">'Real Option Model'!$K$26</definedName>
    <definedName name="CBWorkbookPriority" localSheetId="0" hidden="1">-300074876</definedName>
    <definedName name="CBx_cb1ac431465b446687df08d190d35777" localSheetId="0" hidden="1">"'CB_DATA_'!$A$1"</definedName>
    <definedName name="CBx_dca82d017b9a4e7dbe44542a56f7cbc6" localSheetId="0" hidden="1">"'Real Option Model'!$A$1"</definedName>
    <definedName name="CBx_Sheet_Guid" localSheetId="0" hidden="1">"'cb1ac431-465b-4466-87df-08d190d35777"</definedName>
    <definedName name="CBx_Sheet_Guid" localSheetId="3" hidden="1">"'dca82d01-7b9a-4e7d-be44-542a56f7cbc6"</definedName>
    <definedName name="CBx_SheetRef" localSheetId="0" hidden="1">CB_DATA_!$A$14</definedName>
    <definedName name="CBx_SheetRef" localSheetId="3" hidden="1">CB_DATA_!$B$14</definedName>
    <definedName name="CBx_StorageType" localSheetId="0" hidden="1">2</definedName>
    <definedName name="CBx_StorageType" localSheetId="3" hidden="1">2</definedName>
    <definedName name="combined">'Real Option Model'!$C$43</definedName>
    <definedName name="conservatives">'Real Option Model'!$C$44</definedName>
    <definedName name="contrf">'Real Option Model'!$F$43</definedName>
    <definedName name="growth">'Real Option Model'!$C$45</definedName>
    <definedName name="n" localSheetId="1">'Problem description'!#REF!</definedName>
    <definedName name="n" localSheetId="2">'[1]Problem description'!#REF!</definedName>
    <definedName name="n">'Real Option Model'!$N$37</definedName>
    <definedName name="rf">'Real Option Model'!$F$42</definedName>
    <definedName name="RiskAutoStopPercChange">1.5</definedName>
    <definedName name="RiskCollectDistributionSamples" localSheetId="1">0</definedName>
    <definedName name="RiskCollectDistributionSamples" localSheetId="2">0</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TRUE</definedName>
    <definedName name="RiskMonitorConvergence">FALSE</definedName>
    <definedName name="RiskNumIterations" localSheetId="1">3000</definedName>
    <definedName name="RiskNumIterations" localSheetId="2">3000</definedName>
    <definedName name="RiskNumIterations">1000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StatFunctionsUpdateFreq">1</definedName>
    <definedName name="RiskTemplateSheetName">"myTemplate"</definedName>
    <definedName name="RiskUpdateDisplay" localSheetId="1">TRUE</definedName>
    <definedName name="RiskUpdateDisplay" localSheetId="2">TRUE</definedName>
    <definedName name="RiskUpdateDisplay">FALSE</definedName>
    <definedName name="RiskUpdateStatFunctions">FALSE</definedName>
    <definedName name="RiskUseDifferentSeedForEachSim">FALSE</definedName>
    <definedName name="RiskUseFixedSeed">TRUE</definedName>
    <definedName name="RiskUseMultipleCPUs">FALSE</definedName>
  </definedNames>
  <calcPr calcId="171027" calcMode="manual"/>
</workbook>
</file>

<file path=xl/calcChain.xml><?xml version="1.0" encoding="utf-8"?>
<calcChain xmlns="http://schemas.openxmlformats.org/spreadsheetml/2006/main">
  <c r="A11" i="7" l="1"/>
  <c r="B11" i="7"/>
  <c r="P18" i="1" l="1"/>
  <c r="P19" i="1"/>
  <c r="P20" i="1"/>
  <c r="P21" i="1"/>
  <c r="P22" i="1"/>
  <c r="P23" i="1"/>
  <c r="P24" i="1"/>
  <c r="P25" i="1"/>
  <c r="P26" i="1"/>
  <c r="P27" i="1"/>
  <c r="P28" i="1"/>
  <c r="P29" i="1"/>
  <c r="P30" i="1"/>
  <c r="P31" i="1"/>
  <c r="P32" i="1"/>
  <c r="P33" i="1"/>
  <c r="P34" i="1"/>
  <c r="P35" i="1"/>
  <c r="P36" i="1"/>
  <c r="P37" i="1"/>
  <c r="P38" i="1"/>
  <c r="P17" i="1"/>
  <c r="G28" i="1"/>
  <c r="C43" i="1"/>
  <c r="C36" i="1"/>
  <c r="C39" i="1" s="1"/>
  <c r="C17" i="1" s="1"/>
  <c r="G27" i="1"/>
  <c r="H27" i="1"/>
  <c r="I27" i="1" s="1"/>
  <c r="O16" i="1"/>
  <c r="O39" i="1"/>
  <c r="F31" i="1"/>
  <c r="F32" i="1"/>
  <c r="F33" i="1" s="1"/>
  <c r="F14" i="1" s="1"/>
  <c r="F24" i="1"/>
  <c r="F25" i="1"/>
  <c r="F15" i="1" s="1"/>
  <c r="F39" i="1"/>
  <c r="F17" i="1"/>
  <c r="F63" i="1"/>
  <c r="F67" i="1"/>
  <c r="F68" i="1"/>
  <c r="F62" i="1"/>
  <c r="F75" i="1"/>
  <c r="F54" i="1"/>
  <c r="E61" i="1"/>
  <c r="E69" i="1"/>
  <c r="E75" i="1"/>
  <c r="E54" i="1"/>
  <c r="C51" i="1"/>
  <c r="C53" i="1"/>
  <c r="C52" i="1"/>
  <c r="C75" i="1"/>
  <c r="C54" i="1" s="1"/>
  <c r="C55" i="1" s="1"/>
  <c r="D51" i="1"/>
  <c r="D52" i="1"/>
  <c r="D75" i="1"/>
  <c r="D54" i="1" s="1"/>
  <c r="D55" i="1" s="1"/>
  <c r="C64" i="1"/>
  <c r="D64" i="1"/>
  <c r="E64" i="1"/>
  <c r="F64" i="1"/>
  <c r="G63" i="1"/>
  <c r="G62" i="1" s="1"/>
  <c r="G68" i="1"/>
  <c r="G75" i="1"/>
  <c r="G54" i="1"/>
  <c r="H63" i="1"/>
  <c r="H68" i="1"/>
  <c r="I68" i="1" s="1"/>
  <c r="H75" i="1"/>
  <c r="H54" i="1"/>
  <c r="I63" i="1"/>
  <c r="I75" i="1"/>
  <c r="I54" i="1"/>
  <c r="J63" i="1"/>
  <c r="J75" i="1"/>
  <c r="J54" i="1" s="1"/>
  <c r="K63" i="1"/>
  <c r="K75" i="1"/>
  <c r="K54" i="1"/>
  <c r="L63" i="1"/>
  <c r="L75" i="1"/>
  <c r="L54" i="1" s="1"/>
  <c r="C9" i="6"/>
  <c r="C11" i="6" s="1"/>
  <c r="C13" i="6" s="1"/>
  <c r="C10" i="6"/>
  <c r="C33" i="6"/>
  <c r="C12" i="6"/>
  <c r="D9" i="6"/>
  <c r="D10" i="6"/>
  <c r="D11" i="6" s="1"/>
  <c r="D13" i="6" s="1"/>
  <c r="D33" i="6"/>
  <c r="D12" i="6"/>
  <c r="E27" i="6"/>
  <c r="E9" i="6"/>
  <c r="E33" i="6"/>
  <c r="E12" i="6"/>
  <c r="F25" i="6"/>
  <c r="F26" i="6"/>
  <c r="F27" i="6" s="1"/>
  <c r="F20" i="6"/>
  <c r="F33" i="6"/>
  <c r="F12" i="6"/>
  <c r="G25" i="6"/>
  <c r="G20" i="6"/>
  <c r="G33" i="6"/>
  <c r="G12" i="6"/>
  <c r="H25" i="6"/>
  <c r="H20" i="6"/>
  <c r="H33" i="6"/>
  <c r="H12" i="6" s="1"/>
  <c r="I20" i="6"/>
  <c r="I33" i="6"/>
  <c r="I12" i="6"/>
  <c r="J33" i="6"/>
  <c r="J12" i="6"/>
  <c r="K33" i="6"/>
  <c r="K12" i="6"/>
  <c r="L33" i="6"/>
  <c r="L12" i="6"/>
  <c r="C6" i="6"/>
  <c r="D6" i="6" s="1"/>
  <c r="E6" i="6" s="1"/>
  <c r="F6" i="6" s="1"/>
  <c r="G6" i="6" s="1"/>
  <c r="H6" i="6" s="1"/>
  <c r="I6" i="6" s="1"/>
  <c r="J6" i="6" s="1"/>
  <c r="K6" i="6" s="1"/>
  <c r="L6" i="6" s="1"/>
  <c r="B16" i="5"/>
  <c r="B23" i="5"/>
  <c r="B28" i="5"/>
  <c r="F43" i="1"/>
  <c r="C48" i="1"/>
  <c r="D48" i="1"/>
  <c r="E48" i="1" s="1"/>
  <c r="F48" i="1" s="1"/>
  <c r="G48" i="1" s="1"/>
  <c r="H48" i="1" s="1"/>
  <c r="I48" i="1" s="1"/>
  <c r="J48" i="1" s="1"/>
  <c r="K48" i="1" s="1"/>
  <c r="L48" i="1" s="1"/>
  <c r="G32" i="1"/>
  <c r="H32" i="1" s="1"/>
  <c r="G24" i="1"/>
  <c r="E33" i="1"/>
  <c r="E14" i="1"/>
  <c r="H39" i="1"/>
  <c r="H17" i="1" s="1"/>
  <c r="E15" i="1"/>
  <c r="E16" i="1"/>
  <c r="C14" i="1"/>
  <c r="C16" i="1" s="1"/>
  <c r="C15" i="1"/>
  <c r="D14" i="1"/>
  <c r="D15" i="1"/>
  <c r="D16" i="1" s="1"/>
  <c r="D18" i="1" s="1"/>
  <c r="G39" i="1"/>
  <c r="G17" i="1"/>
  <c r="I39" i="1"/>
  <c r="I17" i="1" s="1"/>
  <c r="J39" i="1"/>
  <c r="J17" i="1"/>
  <c r="K39" i="1"/>
  <c r="K17" i="1" s="1"/>
  <c r="L39" i="1"/>
  <c r="L17" i="1"/>
  <c r="C11" i="1"/>
  <c r="D11" i="1" s="1"/>
  <c r="E11" i="1" s="1"/>
  <c r="F11" i="1" s="1"/>
  <c r="G11" i="1" s="1"/>
  <c r="H11" i="1" s="1"/>
  <c r="I11" i="1" s="1"/>
  <c r="J11" i="1" s="1"/>
  <c r="K11" i="1" s="1"/>
  <c r="L11" i="1" s="1"/>
  <c r="G31" i="1"/>
  <c r="G25" i="1"/>
  <c r="H25" i="1"/>
  <c r="H31" i="1"/>
  <c r="E36" i="1"/>
  <c r="E39" i="1"/>
  <c r="E17" i="1"/>
  <c r="E18" i="1" s="1"/>
  <c r="D53" i="1"/>
  <c r="D36" i="1"/>
  <c r="D39" i="1"/>
  <c r="D17" i="1" s="1"/>
  <c r="G67" i="1"/>
  <c r="F61" i="1"/>
  <c r="F69" i="1"/>
  <c r="F52" i="1"/>
  <c r="I25" i="6"/>
  <c r="J20" i="6"/>
  <c r="E51" i="1"/>
  <c r="E53" i="1" s="1"/>
  <c r="E55" i="1" s="1"/>
  <c r="E52" i="1"/>
  <c r="H24" i="1"/>
  <c r="E10" i="6"/>
  <c r="E11" i="6"/>
  <c r="E13" i="6"/>
  <c r="H28" i="1"/>
  <c r="H64" i="1" s="1"/>
  <c r="G64" i="1"/>
  <c r="G33" i="1"/>
  <c r="G14" i="1"/>
  <c r="G16" i="1" s="1"/>
  <c r="G18" i="1" s="1"/>
  <c r="G15" i="1"/>
  <c r="K20" i="6"/>
  <c r="J25" i="6"/>
  <c r="I28" i="1"/>
  <c r="J28" i="1" s="1"/>
  <c r="H67" i="1"/>
  <c r="H61" i="1" s="1"/>
  <c r="H69" i="1" s="1"/>
  <c r="H51" i="1" s="1"/>
  <c r="G61" i="1"/>
  <c r="G69" i="1" s="1"/>
  <c r="G51" i="1" s="1"/>
  <c r="F51" i="1"/>
  <c r="F53" i="1" s="1"/>
  <c r="F55" i="1" s="1"/>
  <c r="I64" i="1"/>
  <c r="L20" i="6"/>
  <c r="I67" i="1"/>
  <c r="I61" i="1" s="1"/>
  <c r="K25" i="6"/>
  <c r="L25" i="6"/>
  <c r="J67" i="1"/>
  <c r="K67" i="1" s="1"/>
  <c r="D7" i="1"/>
  <c r="D8" i="1"/>
  <c r="D6" i="1"/>
  <c r="L67" i="1" l="1"/>
  <c r="K61" i="1"/>
  <c r="H62" i="1"/>
  <c r="G52" i="1"/>
  <c r="C56" i="1"/>
  <c r="I24" i="1"/>
  <c r="H33" i="1"/>
  <c r="H14" i="1" s="1"/>
  <c r="I32" i="1"/>
  <c r="F9" i="6"/>
  <c r="F10" i="6"/>
  <c r="G53" i="1"/>
  <c r="G55" i="1" s="1"/>
  <c r="C18" i="1"/>
  <c r="C14" i="6"/>
  <c r="F16" i="1"/>
  <c r="F18" i="1" s="1"/>
  <c r="J27" i="1"/>
  <c r="K27" i="1" s="1"/>
  <c r="L27" i="1" s="1"/>
  <c r="I31" i="1"/>
  <c r="J68" i="1"/>
  <c r="I69" i="1"/>
  <c r="I51" i="1" s="1"/>
  <c r="K28" i="1"/>
  <c r="J64" i="1"/>
  <c r="I25" i="1"/>
  <c r="G26" i="6"/>
  <c r="J61" i="1"/>
  <c r="G27" i="6" l="1"/>
  <c r="H26" i="6"/>
  <c r="K64" i="1"/>
  <c r="L28" i="1"/>
  <c r="C19" i="1"/>
  <c r="F11" i="6"/>
  <c r="F13" i="6" s="1"/>
  <c r="J25" i="1"/>
  <c r="J32" i="1"/>
  <c r="I33" i="1"/>
  <c r="I15" i="1" s="1"/>
  <c r="J24" i="1"/>
  <c r="I62" i="1"/>
  <c r="H52" i="1"/>
  <c r="H53" i="1" s="1"/>
  <c r="H55" i="1" s="1"/>
  <c r="K68" i="1"/>
  <c r="J69" i="1"/>
  <c r="J51" i="1" s="1"/>
  <c r="H15" i="1"/>
  <c r="H16" i="1" s="1"/>
  <c r="H18" i="1" s="1"/>
  <c r="L61" i="1"/>
  <c r="I14" i="1"/>
  <c r="J31" i="1"/>
  <c r="C15" i="6"/>
  <c r="C16" i="6" s="1"/>
  <c r="C57" i="1"/>
  <c r="C58" i="1" s="1"/>
  <c r="D56" i="1" l="1"/>
  <c r="K31" i="1"/>
  <c r="L68" i="1"/>
  <c r="L69" i="1" s="1"/>
  <c r="L51" i="1" s="1"/>
  <c r="K69" i="1"/>
  <c r="K51" i="1" s="1"/>
  <c r="C20" i="1"/>
  <c r="C21" i="1" s="1"/>
  <c r="J33" i="1"/>
  <c r="J14" i="1" s="1"/>
  <c r="J16" i="1" s="1"/>
  <c r="J18" i="1" s="1"/>
  <c r="K24" i="1"/>
  <c r="K32" i="1"/>
  <c r="H27" i="6"/>
  <c r="I26" i="6"/>
  <c r="I16" i="1"/>
  <c r="I18" i="1" s="1"/>
  <c r="D14" i="6"/>
  <c r="J62" i="1"/>
  <c r="I52" i="1"/>
  <c r="I53" i="1" s="1"/>
  <c r="I55" i="1" s="1"/>
  <c r="K25" i="1"/>
  <c r="J15" i="1"/>
  <c r="L64" i="1"/>
  <c r="G9" i="6"/>
  <c r="G10" i="6"/>
  <c r="D15" i="6" l="1"/>
  <c r="D16" i="6" s="1"/>
  <c r="E14" i="6"/>
  <c r="L24" i="1"/>
  <c r="K33" i="1"/>
  <c r="K15" i="1" s="1"/>
  <c r="L32" i="1"/>
  <c r="L33" i="1" s="1"/>
  <c r="G11" i="6"/>
  <c r="G13" i="6" s="1"/>
  <c r="L25" i="1"/>
  <c r="L15" i="1" s="1"/>
  <c r="D19" i="1"/>
  <c r="J26" i="6"/>
  <c r="I27" i="6"/>
  <c r="L31" i="1"/>
  <c r="L14" i="1" s="1"/>
  <c r="L16" i="1" s="1"/>
  <c r="L18" i="1" s="1"/>
  <c r="J52" i="1"/>
  <c r="J53" i="1" s="1"/>
  <c r="J55" i="1" s="1"/>
  <c r="K62" i="1"/>
  <c r="H10" i="6"/>
  <c r="H9" i="6"/>
  <c r="H11" i="6" s="1"/>
  <c r="H13" i="6" s="1"/>
  <c r="E56" i="1"/>
  <c r="D57" i="1"/>
  <c r="D58" i="1" s="1"/>
  <c r="E57" i="1" l="1"/>
  <c r="E58" i="1" s="1"/>
  <c r="J27" i="6"/>
  <c r="K26" i="6"/>
  <c r="K14" i="1"/>
  <c r="K16" i="1" s="1"/>
  <c r="K18" i="1" s="1"/>
  <c r="D20" i="1"/>
  <c r="D21" i="1" s="1"/>
  <c r="E15" i="6"/>
  <c r="E16" i="6" s="1"/>
  <c r="I10" i="6"/>
  <c r="I9" i="6"/>
  <c r="L62" i="1"/>
  <c r="L52" i="1" s="1"/>
  <c r="L53" i="1" s="1"/>
  <c r="L55" i="1" s="1"/>
  <c r="K52" i="1"/>
  <c r="K53" i="1" s="1"/>
  <c r="K55" i="1" s="1"/>
  <c r="J9" i="6" l="1"/>
  <c r="J10" i="6"/>
  <c r="I11" i="6"/>
  <c r="I13" i="6" s="1"/>
  <c r="F14" i="6"/>
  <c r="E19" i="1"/>
  <c r="L26" i="6"/>
  <c r="L27" i="6" s="1"/>
  <c r="K27" i="6"/>
  <c r="F56" i="1"/>
  <c r="K9" i="6" l="1"/>
  <c r="K11" i="6" s="1"/>
  <c r="K13" i="6" s="1"/>
  <c r="K10" i="6"/>
  <c r="L10" i="6"/>
  <c r="L9" i="6"/>
  <c r="L11" i="6" s="1"/>
  <c r="L13" i="6" s="1"/>
  <c r="E20" i="1"/>
  <c r="E21" i="1" s="1"/>
  <c r="F19" i="1"/>
  <c r="J11" i="6"/>
  <c r="J13" i="6" s="1"/>
  <c r="F57" i="1"/>
  <c r="F58" i="1" s="1"/>
  <c r="F15" i="6"/>
  <c r="F16" i="6" s="1"/>
  <c r="G14" i="6" l="1"/>
  <c r="F20" i="1"/>
  <c r="F21" i="1" s="1"/>
  <c r="G56" i="1"/>
  <c r="G57" i="1" l="1"/>
  <c r="G58" i="1" s="1"/>
  <c r="G15" i="6"/>
  <c r="G16" i="6" s="1"/>
  <c r="G19" i="1"/>
  <c r="H19" i="1" l="1"/>
  <c r="G20" i="1"/>
  <c r="G21" i="1" s="1"/>
  <c r="H14" i="6"/>
  <c r="H56" i="1"/>
  <c r="I56" i="1" l="1"/>
  <c r="H57" i="1"/>
  <c r="H58" i="1" s="1"/>
  <c r="I19" i="1"/>
  <c r="H20" i="1"/>
  <c r="H21" i="1" s="1"/>
  <c r="H15" i="6"/>
  <c r="H16" i="6" s="1"/>
  <c r="I14" i="6" l="1"/>
  <c r="I20" i="1"/>
  <c r="I21" i="1" s="1"/>
  <c r="I57" i="1"/>
  <c r="I58" i="1" s="1"/>
  <c r="J56" i="1"/>
  <c r="I15" i="6" l="1"/>
  <c r="I16" i="6" s="1"/>
  <c r="J57" i="1"/>
  <c r="J58" i="1" s="1"/>
  <c r="J19" i="1"/>
  <c r="K19" i="1" l="1"/>
  <c r="J20" i="1"/>
  <c r="J21" i="1" s="1"/>
  <c r="K56" i="1"/>
  <c r="J14" i="6"/>
  <c r="K20" i="1" l="1"/>
  <c r="K21" i="1" s="1"/>
  <c r="J15" i="6"/>
  <c r="J16" i="6" s="1"/>
  <c r="K57" i="1"/>
  <c r="K58" i="1" s="1"/>
  <c r="K14" i="6" l="1"/>
  <c r="L56" i="1"/>
  <c r="L57" i="1" s="1"/>
  <c r="L58" i="1" s="1"/>
  <c r="F45" i="1" s="1"/>
  <c r="C7" i="1" s="1"/>
  <c r="C8" i="1" s="1"/>
  <c r="L19" i="1"/>
  <c r="L20" i="1" s="1"/>
  <c r="L21" i="1" s="1"/>
  <c r="C6" i="1" s="1"/>
  <c r="K15" i="6" l="1"/>
  <c r="K16" i="6" s="1"/>
  <c r="L14" i="6" l="1"/>
  <c r="L15" i="6" s="1"/>
  <c r="L16" i="6" s="1"/>
  <c r="C4" i="6" s="1"/>
</calcChain>
</file>

<file path=xl/sharedStrings.xml><?xml version="1.0" encoding="utf-8"?>
<sst xmlns="http://schemas.openxmlformats.org/spreadsheetml/2006/main" count="138" uniqueCount="86">
  <si>
    <t>NPV (10%)</t>
  </si>
  <si>
    <t>Year</t>
  </si>
  <si>
    <t>Cash Flow</t>
  </si>
  <si>
    <t>Total Revenue</t>
  </si>
  <si>
    <t>Cost of Goods Sold</t>
  </si>
  <si>
    <t>Gross Margin</t>
  </si>
  <si>
    <t>Operating Expenses</t>
  </si>
  <si>
    <t>Earnings Before Taxes</t>
  </si>
  <si>
    <t>Tax Basis</t>
  </si>
  <si>
    <t>Income Tax</t>
  </si>
  <si>
    <t>Net Income</t>
  </si>
  <si>
    <t>Market Conditions</t>
  </si>
  <si>
    <t>Number of Competitors</t>
  </si>
  <si>
    <t>Unit Cost</t>
  </si>
  <si>
    <t>Inflation Rate</t>
  </si>
  <si>
    <t>Tax Rate</t>
  </si>
  <si>
    <t>Sales Activity</t>
  </si>
  <si>
    <t>Sales Price</t>
  </si>
  <si>
    <t>Sales Volume</t>
  </si>
  <si>
    <t>Production Expense</t>
  </si>
  <si>
    <t>Product Development</t>
  </si>
  <si>
    <t>Capital Expenses</t>
  </si>
  <si>
    <t>Overhead</t>
  </si>
  <si>
    <t>Total Expenses</t>
  </si>
  <si>
    <t>Market volume</t>
  </si>
  <si>
    <t>Gibbons</t>
  </si>
  <si>
    <t>Gumbel</t>
  </si>
  <si>
    <t>Combined estimate</t>
  </si>
  <si>
    <t>Conservatives get in?</t>
  </si>
  <si>
    <t>Market growth</t>
  </si>
  <si>
    <t>Exercise</t>
  </si>
  <si>
    <t>You are evaluating a new company making fuel cells for hospital power plants.  Currently there are no competitors.</t>
  </si>
  <si>
    <t>Part 1</t>
  </si>
  <si>
    <t>Past yearly inflation change</t>
  </si>
  <si>
    <t>Part 2</t>
  </si>
  <si>
    <t>Part 3</t>
  </si>
  <si>
    <t>Part 4</t>
  </si>
  <si>
    <t>Question</t>
  </si>
  <si>
    <t>Cumulative probability</t>
  </si>
  <si>
    <t>Rank</t>
  </si>
  <si>
    <t>Minimum</t>
  </si>
  <si>
    <t>Maximum</t>
  </si>
  <si>
    <t>OPTION ANALYSIS</t>
  </si>
  <si>
    <t>Risk-free rate</t>
  </si>
  <si>
    <t>Factory market growth</t>
  </si>
  <si>
    <t>NPV ar rf</t>
  </si>
  <si>
    <t>Enter market with other producer</t>
  </si>
  <si>
    <r>
      <t>r</t>
    </r>
    <r>
      <rPr>
        <vertAlign val="subscript"/>
        <sz val="8"/>
        <rFont val="Arial"/>
        <family val="2"/>
      </rPr>
      <t>f</t>
    </r>
    <r>
      <rPr>
        <sz val="8"/>
        <rFont val="Arial"/>
        <family val="2"/>
      </rPr>
      <t xml:space="preserve"> per year</t>
    </r>
  </si>
  <si>
    <r>
      <t>Cont-compounded r</t>
    </r>
    <r>
      <rPr>
        <vertAlign val="subscript"/>
        <sz val="8"/>
        <rFont val="Arial"/>
        <family val="2"/>
      </rPr>
      <t>f</t>
    </r>
  </si>
  <si>
    <t>Total value</t>
  </si>
  <si>
    <t>Expected values</t>
  </si>
  <si>
    <r>
      <t xml:space="preserve">Problem: </t>
    </r>
    <r>
      <rPr>
        <sz val="10"/>
        <rFont val="Arial"/>
        <family val="2"/>
      </rPr>
      <t>The next tab "Static model" shows an NPV calculation of a project, which does not include uncertainty. Calculate the distribution of NPV including the uncertainties listed below:</t>
    </r>
  </si>
  <si>
    <t>(a, b, c) notation means a distribution with min = a, most likely = b, and max = c.</t>
  </si>
  <si>
    <t>You expect one competitor to emerge as soon as the market volume reaches 3,500 units in the previous year. A second would appear at 8,500 units. Your competitors' share of the market would grow linearly to an equal share in the market after three years.</t>
  </si>
  <si>
    <t>Base value: no uncertainty added</t>
  </si>
  <si>
    <t>Part 5</t>
  </si>
  <si>
    <t>We believe that fuel cells may also take off in three years for large factories in California. If we go ahead with our investment now, and if the price ever exceeds $63, we can enter with market for no extra capital or operating costs.</t>
  </si>
  <si>
    <t xml:space="preserve"> Calculate the total value of the project: the NPV value of our investment plus the revenue from the option (discounted at rf) to enter the new market.</t>
  </si>
  <si>
    <t>NPV calculation (no uncertainly)</t>
  </si>
  <si>
    <t>Real Option value</t>
  </si>
  <si>
    <t>Real Option Valuation</t>
  </si>
  <si>
    <t>Min:</t>
  </si>
  <si>
    <t>Max:</t>
  </si>
  <si>
    <t>Change in inflation rate</t>
  </si>
  <si>
    <t>Tax rate if in:</t>
  </si>
  <si>
    <t>After running a simulation with Crystal Ball, the average of Column C will be here.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</si>
  <si>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</si>
  <si>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</si>
  <si>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</si>
  <si>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</si>
  <si>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</si>
  <si>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</si>
  <si>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</si>
  <si>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</si>
  <si>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</si>
  <si>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</si>
  <si>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</si>
  <si>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</si>
  <si>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dca82d01-7b9a-4e7d-be44-542a56f7cbc6</t>
  </si>
  <si>
    <t>CB_Block_0</t>
  </si>
  <si>
    <t>㜸〱敤㕣㕢㙣ㅣ搵ㄹ摥ㄹ敦慣㜷搶㜶㙣攲㜰〹㤷㘰敥ㄷ㐷㑢ㅣㄲ㉥愵㘹昰㠵㕣挰㐹㑣散㠴㈲㑡㤷昱敥ㄹ㝢㤲㥤㔹㘷㘶搶㠹㈹㙤㐳㑢愱昴愲ち晡搰㐲㈹㐵愸㐲敤㑢㈵愸㠴愰愵て㤵㕡戵慡愰慡㉡㔴愹㔲㉢㔱㔴戵て㔴㔵愴慡ㄲて㐸昴晢捥捣散捥敥㝡挷㘶㠱搶㔴㥥㘴晦㥣㌹昷㜳晥敢昹晦㌳㐹㈹愹㔴敡㕤㍣晣㤷㑦㥡㠹ぢ愷㤷㍣㕦搸昹昱㑡戹㉣㡡扥㔵㜱扣晣愸敢ㅡ㑢㤳㤶攷㜷愱㐲愶㘰愱摣搳ち㥥㜵扦挸ㄶㄶ㠵敢愱㤲㤶㑡㘵戳扡㡡㜲㜶挲摦㐰昴愲戳㔵㙦ㅡ㘰㘶㝣散搰散㌱昴㍡敤㔷㕣戱㜵攸㘸搰㜶搷挸㐸㝥㈴扦攳挶㤱ㅢ昲摢戶づ㡤㔷换㝥搵ㄵ扢ㅣ㔱昵㕤愳扣㜵㘸慡㍡㕢戶㡡㜷㠸愵㤹捡㜱攱散ㄲ戳摢慥㥦㌵㜶摣㌴戲㘳攷㑥昳收㥢㙦敡挵搰愹㠳攳㘳㔳慥㌰扤て愸㑦㡤㔳摥㌱㈱㡡ㄶ搷㈶㠴㙢㌹㜳昹昱㌱晣㡤捤ㅦ㙦㌷收愷攷㠵昰㌹戴㜰㠵㔳ㄴ㥥㡥㠶㍤昶愸攷㔵敤〵㙥㥥㙥敦挱㔲㡢㠶攷㙢昶戸㈸㤷㜵㍢敡㌵㙢ㅦ挲摥㤵㡤愵㕥㝢㕡㌸㥥攵㕢㡢㤶扦㤴戱㘷搰㔱愹捦㍥攲㠹挳㠶㌳㈷づㅡ戶搰散扤㔵慢㤴づ㥥㔴搷㔵㔱ㄷ昱㠹挹攵攷㐷㍤㝢㝣摥㜰攵㡣㍣㙥㑣㐲摤㍤㙥戱戱敥㘵敤晢攵搴攵〸散昳㡡昶昵㔰㜲搴㜰㙢㌵㠷摢搷っㄷ摦㌸㠳敢摡搷㡦敤㔱㘳㥢㙢摡户㤱㕢搹㔸㕢改〹改㕢敥㈸ㄶ愳㘷〸扡〹戲〴㐴愰㥥㈳攸㈱攸〵㔰搲晦〲㤷挴ㅢ戲㐸㉤ㄸ㙡㘱㔶㉤ㄴ搵㐲㐹㉤〸戵㘰慡㠵㌹戵㌰慦ㄶ㉣戵㜰㑣㉤ㅣ㐷㥤攸挹㜶㜷慢攱昳敦㍦㕤昲换户愶㥥㥥晣昱〵扤㕢㑥㍣晣挲敦㝢㌷愰搲㥤攱愴㈶㕣攳㈴㐸慤㑥挵摢昳摢昸㘷㘵慥〰㔳㤸㍢捤ㅢ捤㤱㤱搲捥㙤挶昵㠶挶㘵㈵㈰扦㠱㔰〶㔰户搷扣换㜲㑡㤵㤳ㄲ㜷ㄷ㡥ㄹ㥥愸㙦摣㜰㔸㌶㔶愹㍡㈵敦㠲攵ぢ愷㝤挳ㄷ攷㌷㤷搵㍢㘹㘹㌶つ戶ㄲ㥥ㅣ㙦㑢㜳戳愳㐶戹㉡㐶㑦㔹㐱昱㐵㑤挵昶㤴㕢㤹㙤㕦扡挷ㄵ㈷㙡愵㉤㌳ㅡ㠵㔰㕢㤴㝤户慣㌲㈸ち收㌵㌴㍥㕦昱㠴㈳愷㌷㙣㑦㔹挵攳挲㥤ㄶㄴ㠹愲㈴㤷㝡㌶㡢㐲慥ㅦ㍥攴㘰愱攰搶搲愵昱㕣昳戶㔳㍥㤸㔹㤴㌰摦〵攱晡㑢㌳挶㙣㔹㥣搳㔰㈵ㄸㄳ〵㥢ㅢ戲昷㔴㡡㔵㙦扣攲昸㙥愵摣㔸㌲㕡㕡㌴㈰㘹㑡〷㉡㈵㤱㑥愷愴㔰㠰挰敤敡㔲㤴搴戵敤㜹㐱㈲㈲㠶㘲㌲昲㜹㡤㘴㤷㍦㡣搵㘱ㄵ㘵㐱㥡㔴㉦㕦愱㌳捥㔷捡㤸〴づ㡣慤㠹晡㠳㠳㕥扤㐲户㌵捣㝤戸㤵㔵㜵㌰㕣晤㙤㡢挲昱昷ㄹ㑥愹㉣摣㐴敤愷㜰㐶㝡㍦㠰㜶〶〲愱敤敥㔱搵㈹愷㤴㈵敤愴㔵昲攷㌳昳挲㥡㥢昷㤱〷つ㤹捤㜲㙢㕢ㅥ晤㉣㘴改ㅢ〹〶〱㜲戹㔴㘶ㄳ㉢㘵㜲㜸㔲ㅡ愵㔳〲㉦㌷〸㜲戶㙢攰攵㕥㜳㡦㔵昶㐵㈰㤴晢㑤㘰㈴搰㙡ㄲ㝤㝤㈴㔱搷㈸〶ち㘳㤳㌹づ㉡㌵㉣挷㕦慡昳㙤ぢ㤷〴㐴戴㉥ぢ搶㥣㉣愰㈸㘸㤴〷〹扣〶愲㘹㤲〶挹㤵㘳㐴㐴㌶㐸搰散攸戹㤱挸㔸㍦㐱㐶愰㝥㥣〸㔹㝢㕢㝢ㄹ㐱㘲㙦㈵㔲㌶㙡换㡦敢搲㙣㌹㕢㍥㤰㘶㘷㘳攳昴㜳〸捥㈵㌸㡦㘰㌳㠰昲㌷㐸㌸㑡㌹愴ㅢㅦ晤〲扣敢ㄷㄲ㕣〴〰昹愴㔳收㠴愲㡡㌶搴㙡散㐸搶敢㠳㥤㉣㡤攲㐰ㄴ搱㌲慥搹㤹㝤戶㐴㜴㘸㜵慥つ㕤㥢㤶㍡昶捡昶戴ㄹ㕦づ㈹㌲愱㙡㝣慤㉢㔴㡤㙦〴慢㜶愸户㉥㐶㔳㝤㠸攰ㄲ㠰㐰戱搰搸㕤㥤㌵㑦㜳昲㈳㘱ㄲ〵㠶㔰㠷捡㍤㈴㘲㥡晦〹〲慥攵攸戲㙥㍦搳ㄴㅣ㌶㍦昲昶昳搶昶扣ㅤ㈲扤㐹㘷慥敢ㅣ晡㡡摥愳〵㝤㈹搸㑢昹㜳㕢晤㜲㌹㡡昵㉢〸慥〴㘸搲㉦㍣㜹扦㔷㉦㠱㌴㠹敤ㄸ收㌶搲攳㈲㉤摣㤹愵〵㈱戵㑦慦㌹㘳戸㜳挲㠷昷㘲晦〴散攰㡡敢㡡㌲づ戴㈵㤹挱戳换戹㡤㤹摥ㅥ户㘲㌳㝦摤㍥昶㍥ㄲ㡡㈱㥤㔶扢㔲㑤昶㜱㠲㥤ㄹ昳㌷挵㈸㠷晡昷晡昶㐲㈲搶愸㤱扣搸㉥昹㙣戹㉥㐹㍡㤰㈴㔷㘳㕢昵㙢〰㈰㈵㤴㍦戴㤵㈸挳慣戶㔵㔶㙢戴㔶改摤㑢㌸㤹㌴昹て㕢攴㐸㑦攰慣ㅤ㠳敦挰敢戳愷㉤扢㈶㉣㝡散㈹攱ㄶ攱㔷戰捡㈲ㄷ戸㘴㈹㙡搶㘵挵㐷㐴㔶㜴㜵戵㥣愵ㄳ㝣㙢㤲㑥㥡愴㐴㈲户㈷ㄶ㈶㥣挳敢㐴㐵ㄷ㈴㠵㑡㠲㕢愸㈶㠱㐸㜹慣扢㉥㘲㍡㄰㌱㜹㙣㥣㝥ㅤ挱㌶㠲ㄱ〰敤户㤰㌴慢摤㜸㠶挲扡ㄷ改捥㉥ㄴ㔲㔹愲㐱扡〷㕦㙢㉢慣㜶㜰㤸㥤〴㌷〰㌴㤹㍦㜴㍥㈶㄰愲㐴㜹㡣㄰㘹㉤改收㔱㑢㥣㈴つ㙣㌰ㄱ㔴ㅡ慦㝡㝥挵㘶㔴愹捦㥣愸ㅣ慣昸ㄳ㤶户㠰㈸搴愰ㄹ㈶敥㥡ㄷづ愸换㠵敤搳㤴㔷㔹㔸㄰㈵摤㥣慥㔴㈱摡昶㑦慣㠵㐳㌹搶〷㕢㔲㥥换㔵〵㑦㘷㘷㘳㜴愱挸ㄳ㌱㝣慤昴挴慥捡昳捤㐳㕦㝦㝤㐷㘷㉣扦㉣㝡捣㠰改㤸捥㥡搸㐵㐴つ㑡摤收捣扣㉢挴㐴㥦戹搷戵㑡㘵换ㄱ㐴〶㙣㑣〶敡㈶挵ㅣ㈲〴㔳ㄵ挶晦㉡㑥㥦㌹攳ㅡ㡥户㘰㌰㤸戸戴戱攱㑤㠶㐴㌴㜳捣㜲㍣っ㈳戱挸㜴扦㌹㍤㕦㌹㠹㘸㙤搵㜶昶ㅡぢ摥㥡挰ち㠹㍥㜸㈴㙡ㄴ㔵㔱㔵㈵慢㘶㍢挵てて攴愹搴㜶晣搲〴ㄲ㔷㈹㡤晥昲〴敤㑤扢㍥㡣捦搰㑥攷㥣㝡ㄱ㌹慡㘵㜶㈵㑡㘱㜲慡㝥ㄳ摢摣っ㜰晢摥㈳晢敢㔱戹昷ㄵ慦搶攸攱㑦㤰昱㤲㉣㙡㐱㄰晡攷㌶〴愴挲㍣㔲づ㌸㄰ㄸ攷㕢㌳昹攵㑣㔹㠷搴户愱㥥摣㠳㈸㔲慦㌹㘹捣㡡㌲㘲搱戶攱㙦〸㕥㘸挶摡㐶搹ぢ换挶㉢戶㙤㤰戴㐸㤶搳㐵㠳ㄴ㍣㕡昵㉢〷㉣㐷㌷〱㈴晤㠵㔹挶㈹㘴ㄹ愷㘴㔶慦㜹㤸㘱㐱㤹㘶㕦㤵㌹挳戵晣㜹摢㉡㘶昹挲搰摤㥡愰㐹㌰㌹㈵㙦昴㐴㌲㘳愸挹㥡㍦〲㤳捤换〳摤㜹挸㔱㙥ㅤ搱て捡㔵㤵っ晥㈸ㅤ㍡㤶㈰㘰愴㤷㔴扦〵扤㘹昲㘶〴㐴㡥㝣捥㐴昷㉦捥㝣ㅥ㌹㠱㕦㡥㔸㑦㈰ㄱ㜸〴㘳㐲㥥敥敤㡣㜹挴戱㝣㘰㡦ㄸ摢㘳昹ㄳㅥ㔰づ㠰愴㍣摥㥥㉦戱ㅡ㙢㌴㕣搳ちㄷ户ㄶ㌵愸㠹㉤慤攵㜱扤㜱昹㌲挵㠱㐶㠹㈹㤲㤵㉡㐹捤戲捣ㅣ搷㤲慡㔱愴攲㡥戴㡤㤲攴㌶慤敦㍢愵挸晢㔰㑣㤲㘶㔲晡㉥㐹㈸〸昲㤲㍡愰愳攸慦㑦㈶㡦㔸戴㠶㌶㐰㡥㝡㉡挸敢ぢ挳㠱晢㜱攵愴㈴㜲攱ㅢ昸㝢㐳㤸㍣㔴昵ㅢ㑡㡣㔳㠳㘱挹㘸戹㝣挸㠱㤵㔰㌴摣搲ㅡ㘱㘹慣㉤搰㌰㤲㍢㍢搵晥挱昶挶ㄸ㌱㘴㐳㠶㐴ㄲ晣挰㘰㐳㌰㔷㉣㥡㑡敢慣㡦㕢㕤换捥昲敤㠰㌰ㅣ㠹㠱㘹扦㌴㈱ㄶ愵ㄹ㔶户攴〷㘵㠳摡㘹㔱捡㔱摤ㅣ㥤昵愰搲㝤捡昱㌰㈵ㄹ㕣㌷て搳㉤㠵ぢっ㄰扢㘱㙡慡攸㈳慣㕢敢㠰㈷㠳戵㠳ㅤ散㐸㄰㌶愱㜵㐶〹㥡㐹㈰摣挶㐵㤰㜷㍡挴㈸〴愹㈹㥦㝦敥㔶㥥㝣㠲捦て㜷愷愲㐴挸㐴っ㜵㈵㔸て㐰㙥㍣㉡㐹㉥ㅡ㡣㠲攵㠱㘴㤳㐲慢㌷捡愳㠹搱㐷㤳捦昵㜱㠳㠷㜱慣㝥戲㑤ㄹ㜷摣㝣ぢ摡戴扣戴挱摣敦ㄴ换搵㤲㤰慡㌸㤲搵㔲㈳慦〹㝣挹敢㝦〱㌷㈵散㑢戸㈹晢㜱㤴攲㤲㠹愴捥敤㙥晤ㄳ㘸㉥㠵ㅣ晡〸㘴ㅢ㠳㡦〹㙥㌹ㄹっ㙢戹愳㐰晢㜰㘳晤昲㠲扣㌸〷㤱搶㤲㐵㔹㌶㠹扢㜸戵〸戲攴戶㔸戵挹捡㘴㠵㌶㝢㉣㙢㥦ㄵ㘴慤〹ㅣ㘱㥤㠱挰换㘴㘰㡣㜴挸ㅤ散㈴㜵㈶㡣散㥥昹扣㝣㑤㥤搹ㅤㅡㅦち攳扢㍣〵愵戰慢㘰㈴ㅡ摣㙡摤敡㔶ㄸ昹愵攵慤摦ち愰㌰〴㑣㠳ㄶ㌵〳〳㘷っ改㤵つㅣ〶㈳ㄳ愲愳昱㐰㉡㘳㤴㠳㜰搸〳㘹攰㈶ㅥ愴㘷㉡㔰㐲晥㈶㜹㈹㉣扡㤷㌸㙣攳〸㔴㜱捦㘹捡㥣㌲㝣㕣㝤㜱㌶㌷㘵㡦㤶㑡㌴㜷攱㥦㕢ㄳ㔸挵戵㡤挰ㅣ摤搴㜴㈱㑢慥㠹昶摤㘵㑤〵攱㐵挱敤ㄳ昹㝤㠶㕦㥣㥦昶㤷㠲㑢㕢㥤㤲㠴昶㌳昸㈳㤶ㅤ㥤㌶㜳摡攱㈵搴㐵敥㝤敥戸㔳㌹改挸㜹㘹ㅥ㙦晣搱㡡搵扢扢㌹挹㕣敡㕤晣㤱㡦㥡搲㕥㐱㡦慢㤹㌶㍢愸㍢㐸搸㡦㝣〲㘹㌰㠴㜴〲㥤挰㜶慦摤ㄸ㈰㥤㙣㙡愲ㄳ㈹〸搶〹挵㤹晢挰〸㐵昹㈹搰㑡㘲〹㡥攴搸昳攷挰晡捡㑦㤰㐳㠴攳㍤ㄴ㈳摡㈵㐸㈵愰㑥ち昲昰㝡〷㉦㠳晣晦㘰㈹攲收㘵搹改扦挰捣捡换捤㈸摡㐲ㄴ扤搴㡡㈲〶㘲摦㔳挸㥢戳㕦㍦㙡㝥攸搷㝡晦㠷㐷捤摢㠱㘱㍥搲ㅡ㐳㔰㡤挱昸㥡㌱搰搵㘲っ㕣㠱㘲㘹っ摣挱㌶㡣搷〷挶㐰攸敤㌸㠰㡣㤵㡤〱㐶昱ㄲ㑣扥㔸㔰㌵收挰攰㔹敢ㅣ㥢㥥戰㝤戸㕥㉢㍣㐴敥愱㥥扣㜱昸㥥捥㙤捤㥥㌲㕣挳摥㉣昳昷扡〲㙡换㥤挱㝤㙤搹㠴㉤捥㕦戶㐴㌶㕡挶㉢ㄱ昹搳搷㍤㈷慢扢愵づ㑣〵㑦攰愸㔷戲㑡收㝤昸㐴ㄴ㥥㄰㔲㥦搹昴愳扤㝦戹晦愱摤扣㤷ㄶ搲慡挶㐰㜰㈷挱㜹㕡づ〸摦挶慥㠴㥣捤捦㙦づ攰㐳㈴㙢愱㉣挶っ㔷摡㍢㥥㙥㐷挹㠰昰㘲㠴ㄹ㄰摦㕡㌰㈶㜱挳㈱㌰㈶昳㑤㡥㑤昹昹㤲㜴〶收㘳ㄳ㤷摥扢㈸㐰愸戴㔵㔹ㅤ摡㤵摡ぢ㔰㍡敦㜱㈲㡤昶㈰捦㤷㝣ㄴ攵昹㘶慤戶㤳㕡㑤㥡㠹捡㌰㙡㐴㔲ち㤱〶㔲㐸晣挸挲搰扦㤴㔲㔳㐸㘸㜹㠰㠴ㄸ㕡㜳㌰㤷㈷晦㜵㈱㈰㙡搷晢㍡晣㔴〵扢〸㉣㐶㕥昷㑥捦慥戴㍡㈳搵挴愰慣㍣㝤摣㠹㠴㍣愶㌰㠳㔱㕡㤹㝢ㄸ㠹攸搱㐶㤰㕡戵攳㠹㠳昴搹㐱㠸㉤㘰㙣捤愶㔷㉤㘷摦收㔴㜱挷〳㝡㈶㈳ㄵ㠶戳㤱搹㌸㝡捡㘸㕣㔰㌵ㄷ㘴ㄱ昶〷挹㕡愳㥥戰〸㍡换搹㡣昳㈷挲㝣晣ㅥ㠸攵挳昵慥捦㙥㉥愱㡥㜳扡戱㐰晥㘰㝦㙤㐹㘰㙣㡣㑡㡥㠱㠴㕤㔵慤㙣㜰〹㝣ㅡ㑤愴㍤慦攸昵㈴挷㔲ㄴ㐶愳㈳捥敡㔲㕢昴㍦攳搴㤲戳㘶㔸㥢〱敢〶晤㝦ㄴㄹ㉢敡㝦㠵㔱㌶㠹戲扢挲〴㕦㌴㐶㑡㔶っ捥㜰㐷攰挳㐶㤸㐶ㅥ㠱㜵㤹㘴㜰㍢㐸㑤攳ㄳ搵愰㔸㑡㜰㜸戸搲捤㤷㈰㙡㙤㘹摢昶戴ㄵ㠰㡣〲㘹㍦㠰〸㙡摢㥥㤳㙥㍤挷㘶敥㐶昶愶〳㔶搱慤㜸ㄵ搳ㅦ㥡㐶㜸㜷㠸㕦㤸㤹戰㜹㐶㤵攷㥡㠵摡㘵搸㠹摥㝢搰收攰㈱〸散㠳挲晦愰愲㡥㡣㈱慣㉥㘶挱慦㡤〶㘲㠱㈴㙡〷敦㉣昳捥慡㔱挶〷慡㠷攰搵昴㤹戵㈶㤴㕤攰㕢㙥扥㡢挱慤挳㙤慣㍢攰昹ㄱ攵㍣挲㘰㜲〹昷摣换㝤㙤摥㠳挶扡攱摡㍣搶散捣扢㤶搳扥て㥣慥㙥㤴㐶㤲攱㤸晣敥㌸愷摦㑢㠸㌸て扤愳慢㜷挵戲户㐱搰㜹昸搹㌶㕤㕥挳㘵㌸捡㔶ㄱ攷晥㌴㥡㉡户ㄲ攰愷ㄷ挲〴㕦ㄴ晡昳㙥㘱攲ㄹ㉣㡢っ㠰㜴㉡㘳〰戴愷敡愷㤷愳㙡㠵㐷ぢ㔲㘱㑥昹㉥捡戹㑢挱㙡㑢捣挳㔱㐳ㅥ㈱㤰搶〵㐰昴㈸㍣㐲挸昱㥦㐴㠳摡昸㜳挸㙤㍦晥户㤷ㅤ㥦捡㕦慥㉦摥晦㐰愴㍣昴㘳㈸搶㡦ㄳ㤴〹㙣㠰㠱㐸㠷昴㔳㉣㔲搶㘴㠲㈰挲换扢㤱挶昳扢昰摦㌷㜶扦昶㉡㥦㝦散㔶愴㈰㐴㔱攳㉡㈸〸攵㉡ㅥ㡢慦㘲〱戹敤㔷昱㡤攵㔶㌱㐰ㄹ挹㤹攸㉥㐰㕦㤷㐲㕡㤱慢昲㤰攰㠶昲愷㐸㠴㈲搱㌰㡢〱㈲㔶戶慤㈲㠱戶摣㜹搹㜶ㄱ㠹愸敤㐰戴㍤ㅡ㜷㈴攱㕢ㅥ㘹㈸昱敥㈳摤㌷㤹挰晦㥡〹搴㘳搶づㅤ慦㙢㐲㐸㘰㙤晣㌸戶慤㙣捦㜴ㄸ搴㔷ㅥ㡤㌰戴㙦㕦昴愱㤴ㅡ㠶㤹㐰㈱㠱㘹㑡㡡攲㐶㉡㕦㡥㉡㍦晦㘲摤㑢㡡〲㍣㈰愳愰㌲㈹㑦㔶㝥㈴慡扣ㅤㅦ㘱挹㍡㈹㕥ㅡ攰昳㐶㔴㤹ㄴ㉡㉢㍦ㅣ㔵㝥㙢晢收㕡攵㠸㈰㠳㥥㌵㔲㑢㠲搱㉢㡦〱戱て戲㜹扡搶㑣㉡搲ㅥ㌳挸愶〸㤵搱攲戲㔴愵扤戸晦攱攲㤳攸㐹㕣㘷挲慤て㐸摢攰㝦㐶搸㡦㙢㑥ㄳ㠶㙦攰㡢攷㐵挴㤷㕤㕤扥戱㜱挶㍣攴㈲愳摢摣敦攱㜰㔵㕡㔳㈴〲扢㈰ㅤ散敦ち㝥昸〴ㅢ戲扥ㅦ㔱㕣㑣攵戵㤱捥戴㠸㡣愵愴㤵㠷㈲捣愶㑥搷㘹㐶晦㉣㤰〳㜹〹挸㠴晥㌹挰㈰昶戲㠹ㄹ〳ㄴ〴㤲换㑦㈳愱㍦㐸昰〵㠰㥣㐲慥㈷ㅤ㘴扥〸搰ㅦ晤扦ㄴ㐳㡢搲㜱愲㉡て㐴㠳挵挹㐸晦ㄲㅢ㍣っ搰〵㡦慤ㄲㄲ㘱㑥㝦〴㌹昱㐱㈹㐱攴愰㡦戲攰㉢〴㕦〵挸㘹㥣散慡㜷㡤㙢敡㔰㠵㝤つ㑤ㄵ㙥㠵ㄴ㘸㕦てㄳ㝣搱㑥〳摣搲摥㘸收㤹㌸晡㡥ㅦ搱捤㠶て昶㙦挳〷昸㑢㕣㜴ㄷ晥晦ㄱ㑤㕡昸㘹昵㘳㥤昵㐵㈶搰㌸ㅦ晥㕣㙣昶晢攸㠷敢慡ㅢ㥢散昱攳昸㘵搵㡣昲㈰晥㍤㡤㥦㜲〲㈳㜰ㄴ慡摣㉣晣㉤愴〱㔹戰㄰ㄶ㔰㜷改㡦〱㈸挴㌱昱愴㍦捥㌷愲㤶晤敢摦っㄳ㝣㔱㠸搷搳㑣㤴挳收搱㠰挴戵㉣㌸摥㌴㈰昱㉦ぢ㡥挵〷晣ㄶ㜲ㄵ㠹㉣㈴ㅡ搵ㄳ㤱㤶㘶敥ㄳ〰㝤㕤晤㥣ㅢ搵㥤㝡㑡㈹摥㔷扡敦扥户晢搳㐳攷愷㍦㜹㙢敦ㄳ㙦晣收捤挷㕦晦搴慥扦扦昳搴㔳慦晦昵昱㔷摦㜹㘵㜶搷慦㥥㝤昶ㄷ户㝦敦搵㌷㌷㥡捦愸㉦扥㍤昹捣〳㈳挷ㅦ㌸㘱ㅥ戹㜶敦〳㜷ㅦ扢㜳㘴敡慣攱慥慥敥敥慢〶㝦㝤摥搵〳愷㑦扣愴晣晣㡦攷㍡㡡㕣㉥〷ㄴ〰搱㌳挰㘵换㘹㝣〷〹㑣㠳㌳晥㔰愷挱攵㥥挶㑦㈹㠵ㅢ㌵㠶㤷㉣㥣ㅢ㥣㠰㉣㈸㌶ㄶ昴晣〷㈸づ戳㤱</t>
  </si>
  <si>
    <t>Decisioneering:7.0.0.0</t>
  </si>
  <si>
    <t>CB_Block_7.0.0.0:1</t>
  </si>
  <si>
    <t>㜸〱敤㝤〹㝣ㄴ㐵昶㝦㉡挹っ改㈱㤰㐱㔰㍣㄰㈳㠸捡㘱㈴摣ㅥ㐸㈰ㅣ㈲㌷〱㔱㍣攲㤰捣挰㐰㈶㠱㤹〹㄰挴ㄵて㔴搴㔵ㄷ挵㐵㐵㘴㍤搷㘳扤敦㘵㈵㐴ㄴて扣慦㔵搱〵扣搶ㅢ㜷㕤㡦ㄵ搷晦昷㕢摤㌵㔳搳搳㍤改㘵摤捦摦捦㝥㝥㑤收㔱㔵敦愸㝡慦扡㕦㜵扦㝡搳㤳㈷昲昲昲㝥挲挱晦㜹ㄴ戲搰愵慡㈹㤱っ挷捡㉡ㅢ敡敡挲㌵挹㘸㐳㝤愲㙣㜸㍣ㅥ㙡ㅡㅦ㑤㈴ぢ㐰攰慦㡥〲㥦昰㔵㈷愲㑢挲㐵搵ぢ挳昱〴㠸㝣㜹㜹㐵㐵㐶㍥昰㥤慤㑦㔰㔵っ㜲ㄹ㠵〴愰捡㌳晣〴㙤〸㡡〸っ㠲〰㐱㕢㠲㘲㠲㜶〴敤〹㑡〸㠲〴ㅤ〸昶㈰攸㐸搰㠹㘰㑦㠲扤〸搸慢戱㌷挱㍥〰挵晢〲㑣慢ㅣ㌱㘹搶㕣攸㔰㤵㙣㠸㠷晢㤴ㅥ㙦㡥㜴㘸㜹㜹㔹㜹搹㠰挱攵㠳捡晡昶㈹慤㙣慣㑢㌶挶挳㐳敢挳㡤挹㜸愸慥㑦改攴挶㔹㜵搱㥡㜱攱愶㘹つ昳挲昵㐳挳戳晡昶㥦ㄵㅡ㌰愴㝣挰挰㠱㤱㈳㡥ㄸ㔲扣ㅦ㈴㑦慣ㅣ㌱㌹ㅥ㡥㈴㝥㉥㤹㕤㈸㜳㔲攵㠸戲㠹攱攴捦㈵㜳㝦挸㠴挸㤱つ戱㔰戴晥㘷ㄲ敡攳㑣づㅣㄹ慥㠹㜲捡挳攱㜸戴㝥㜶ㄹ㠶㥤㘱㘸搴〶㤷つ㑦㈴ㅡ㘳昳㜹昶㔴㠶敢敡愶㠶㈳㜲慡㘳㈳ㄳ挹挹愱㜸㉣㔱ㅣ愳晤挲昱㜰㝤㑤㌸搱㍥㌶㙡㜱㑤戸捥㈲㑣ㄴ挵㡥て挵㈷㠶㘲攱㐲ㄶ㑡㘲收ㅣ㡥慤つ搷㈷愳挹愶㜶戱改㠹昰搴㔰晤散㌰㐹㝣戱㌱㡤搱㕡㔱㔸㠸扦扣㠲㐳㥣㐶㈶㈷ち攳㠹㔵捥〹挵㤳戲挶㈹㉣㜷愲搵㑥ㄷ愹㐵挶戸㜸㑡㤵摡戸㌸㘷㔵搱搸戸㜰扣㍥㕣挷㑥㌸㤳扤㙤㐴搲㐰收㍣愴㉣愵搴攱㉣㠹戶搶㈵㐷㕤搸㡢扦㉢挰攱搳攲㔱愸搹㔸ㄷ㡡昷㤹㄰慤ㅦ㍡戸㉦㡥㍥攳愳昳挲㜵搱㜰㈲㌹㜴㠸慣㑦〸㉤ㅥ㕡摥㡦㐵攳〰㌰ㄹ愵㘴㍦㄰愰捤㤸攸慣㔹戸㜶㡤㙥㙣敥づ㈰ち户攲㕡搷晢攲昵㤶㕦ㅤ捡慦㥥㤵㕦㕤㤳㕦㕤㥢㕦ㅤ捥慦㡥攴㔷捦捥慦㥥㤳㕦ㅤ捤慦㥥㥢㕦㍤て㌴敡㈸㙡搳㈶摦㍡戶ㅤ昶慦㡦㕥敡扥㙡攴㘵㕢㙡㌶摤扡敢㉥㑣〱㠸愴㜷攸㠱挲㝥㈳㐷㐴敢ㅢ㘲㔱㕣㑦搴愲㉥㌱戴扣捦攴㜸挳慣愱㝤换〶ㅡ〷㠳挰㌸〴挰㝦㈸㜹㐶づ㈸㌷㝡戲愹ㄷ㠰㄰慦㘱㡣ㅣ攷㜱晢㝥晢㝥晢攸㡡㜱㤷㑣晢散㠰㜵㌷㜶扥㔳搰㜵挸づ晡愰攰慦㙣㑣㈴ㅢ㘲挶㘱㘴㉣㘳挳攱㐴㡦敢㌷挸攸换愶㜲〰㈱㥥户㘴㝤昴搸摦晦㜶昸㝢挷㡣扥昳搸㍢昶ㄸ搹㝢搸㄰㐱て㈴㘵昵㐷攱㌰㥢愱晢昵㉢ㅢ㍣㔰㌳㜴扦晥㘵晤〶昶愱愱晢つ挰昰〷㔰晥㐰〰晦㈰㑡ㄹ搵㙦愰㌱㤸㑤㐳〰㠴搸㙣㜵昹晡㑤攷㔴㝦搲昳攵ㄱㄷ㍣ㅦ㝤晣挵攴摤攷〸晡㍢㜶㘹㜰昸挶㔱〴㐷〳昸㠷〲ㄴ㡣挱戸㡦㘱搳㌰〰㈱㥡㉤㈱ㄳ㉥㝡慣昱㤹换㠷㑦戸攵㠱づ㕦㕥搸㝦㑤㍦挱㡢㐸㡥㝢㌸ち扤㙤攳敥㕢搶扦㥦㌶㙣㔴捤㔱昷㉤ㅢ㌰挸ㄸ㐱改㤵〰晥㤱〰㈵搳㐲㡢㑢攳愱㘴戸㌴ㅡ㈹㡤搶ㅦ㘹㡣㈲㝡㌴㠰㄰㡦㈸愳㕤㜳搹昱㥦㡥扣㙦摣攵〷つ㑡摥昵挳昶晢〵晤戴散晣㔸ㄴづ捤敡扣㍣愳敦㝥搲㘰攸摡ㄸ㑢搱挷〱昸挷ㄱ捣㡥㌷㉣㑡捥㌱挶戳㜵〲㠰㄰昷㕡ㅤ敥昳㘳挷㤲㙤愵㔵㘳ㅥ扡㘹敥摤㡤ㅦ㐶㈷〹慥〹戲挳㐹㈸搸戵敤㌷㌰攳㙡攸捦㡢㠳㜳㠴收扥挶㘴㑡㥦〲攰㥦㑡ㄹ愳晡昷㌳慡搸㌴つ㐰㠸摢慤づ㑦搹㜸挳㥣㤵慢㙡㐷慥㍢攰㤲㤷㔶㙣摣昳㘲挱敢㐱㜶㜸㍣ち㍤㙣ㅡづ搰捦㠹㠱愶㝥〳〷ㅢ㌳㈸昷〴〰晦㠹攴ㅥ㌵愸㥦㌱㤳㑤㈷〱〸㜱愳搵㔵攵搲晥㈷ㅣ㔳戱㘳搴㙦㝡㤴㉦㑡扣扢晣㈱挱㔵㡥㕤㤹愷挳愹㉣㔵〳昸㑦〳㈸㌸づ愷㐳㠸㑤戳〰㠴戸搶ㄲ㔲昴㘰捦㜱ㄵ攷ㅦ㍡㝡㜵攷扤㍥晡攳㐷摢愶〸慥㤲㘹㈱㘱㜲㐴〰晣戳搹㍥ㅥ㐲收戰㈹ち㈰挴㤵㤶㤰㕥㔳摦㈸㥦㔹㝦摣昸㍢户㝥㌲㜳㙦攳扢敤㠲慢慣㔴㥡㔷㝡㡥ぢ户㥦㔱㐷㘹㌱〰㝦㍤㐰扢ㅡ㜸㤷㜰㝣㘱㈸ㄹ㕤ㄸ㑥ㄸつ㐴捥〷㄰攲㔲慢慢扦㝥搹扣㝦㤷敦㤶㔷㕣戳扣晥㡥挶㑥户㥤㉣戸㤶换慥攲㈸昴戲搹户㙦㔹摦㐱ㄹ愷㔰戹㜵ち攱〲㑢㔰㜸ㄲ挰摦〸戰攷攸㔰つ㔶昴愶搲㔸㈸㍥㉦㥣㉣戵㑥愹㠵㈴㕡〴㈰挴〵搶〸㈶て晡愴㔷慦挵㘷㡥㍡扢㑦搱㉤㍦㥤晣散挷㍥摥㐸昴㜷㜲捦㜶捦㍦ㅡ㜷っ㌵愱㐴搲㕡㤴㜸昵晥扣㙢㔶敢㑢搶攸㜸捤㝦㝦挹㐲㈷㍦换㤲㘵㌴搱晡㑢〰晣愷〳散㍢㌵ㅣ慡㉢㥤㈴㙦〰㑡ㄷ㠶敡ㅡ挳㘵愵㔸攲敢㑡㉢〷ㅢ㑢㐹㜹〶㠰㄰㘷㕢昳ㄴ㌲㔶㜵㙣搹搲㘵搲攵㈵㤷收㝤㜹晥㠷㥦ち摥敢挹㌳攵㑣ㄴ散扥〶换㥤㜶愲攰捡㤷㈷ち搶㐷㘳ㄹ愸㡤戳〰晣㘷〳攰㘲ㅣ㘲㥣挳愶㜳〱㠴㌸摤敡敤敦昳㌶慤摢ㅥ戹攷戸摢收晣㜳挴攴戹㍦㥥㈱㜸㔳挹摥捣㡢昱㝣㤶㉥〰昰慦㘰晢戱戸㡥㉥㘴搳㐵〰㐲㈴㉤㈱㙢ㄷ慣㤹昷挲ㅦ慥ㅢ戹扡㑦昷ㅤ挳摦つ扣㈷㜸㔳㥡ㄶ㜲〹㌹㉥〵昰㕦挶昶戱㄰昲ㅢ㌶慤〴㄰㈲㘶〹㌹攴扣㉤て㕣昵捦搹愳ㅥ扥敤捥㤶〵搱攰㔹㠲㌷戵㔲敦㉢㔰戰扢㍣㕣㈱晤㌵挵㔱ㅤ㘰㕤㈲㝤〷ㄹ慢㈸晤㑡〰晦㙦㈹㘳㜴扦挱挶㙡㌶㕤〵㈰㐴挴敡㜰搱〵㘷㈴㥦㝤昷攳㘳ㅦ㕤扢㜴挱㤹て搵㕦㉣㜸〳㉤㍢扣〶㠵扥戶㑢搲㝥换㔱捥晢っ搳摡攵〳㔸㌴搶戰㡢㙢〱晣㙢〹挶㌴挶㘶㠵敢㡣敢搸扡づ㐰㠸㙡慢攳改愱〷㉢扡敦愸ㅥ昳晢㐳敥㍣昲敢慤㑢ㅦ㄰㝢〱㉤㍢扥ㅥ㠵摣扥㜶㠸搴㜲搰㐰攳〶㤰ㅡ㌷〲昸㙦㈲昷愸晥攵挶捤㙣扡〵㐰㠸ㄳ慣慥慥戹昱㘹攳搱㑦㔷㡦扤敦戱慦㜷摥㜷摥て㥦㠹捥㐰昳挲㌷㙥㈵戸つ挰㝦㍢㐰愷㘹つ㐹㥣愴ㄹ㘷攷㄰攳づ搲晣〱㐰㠸愹㤶挰慥戵㔷ㅤ㍤㘳摡愶攱搷ㄷ挶㥥㜹㘳晤㑢㍤〵ㅦ㌳愴挰扢㐸㝣㌷㠰晦ㅥ㠰㍤㈶㑥㍥扥昴搰昲扥㍤㝡慡㤳㝤㤰㜱㉦㈹敥〳㄰㘲扣㈵敥摢戱〵〷慣㝥扣晦戸㑢慥㉡㕢搹戹㜶昲捤㠲て㉣搲ㄴて愰㤰摢ㄴ晤㤵㈹ㅥ愴摣㠷〰晣て㤳㝢搴愰挱挶㈳㙣㝡ㄴ㐰㠸㔱㔶㔷㠹捤敢戶㉦敦㕡㌳㝡昹㥣挹㔳㠲慦㌴搵ㄴ慦〷㝡㡡㜵户㌹㌲ㅥ㕡㠴晢昷昴愳㐱扦㌲㥣㔲㕥㥥㠹昰㐸ㄴㄹㄸㄹㅣ㈹㉦慦ㅤ搸㌷搴㍦攴㍢〰㘲扤摥㝣搳㜰挵㤱ㄹ搱晡摡㠶㐵昲㙥扣换㠸㔰㈲㥣昶㜴扤㉤摣㠸㠶挶晡摡挴㝥捥挸慡㈴㙥㕥昶戵攳搲㐲戲搸慡昰慣ㄲ㑥挸晥扡摡搹㡥愷㝦ㅡ扥㌸㙡愲昷户愱昱愴搲㌰换ㅤ㍢㍡ㅥ㕥㤰挲㘶㡤㘸㌸ㅥ愰ㄷ㑡搹㔹㕡㥡㈸㜳㕣愵㤵㜳ㅡㄲ攱㝡㌹扣摥戱挹搱㥡㜹攱㜸㔵㤸㡦摦攱㕡愹敡㥥㐴㔹㡦㑢扤㈷搵㐳㔱㍣〰搵㜶搳㕢㈳愳ㄶ㈷挳昵戵攱㕡㡣㜷㝥㌸㥥㙣㥡ㄶ㥡㔵ㄷ摥㉢㠳挴散ㄳ㠸㝤㌲㥡㐷㌷搴㌴㈶㉡ㅢ敡㤳昱㠶扡㑣捣昰摡㠵㈱㍣愲搵㑥㘸愸つ攳〹慢㤰㐷㥥挸㉢㈸㄰㈲慦㤷搳㍡㑡戹㠹㌲㌹ㄱ摡ㄴ敦㠷㌹摦㍢昳戴㉢㥢ち敤愰㐵㕤㤸攷㘴晥㐱慤〸㤳㜲㈹愶愷㍢愱愶ㄳ㘳ㄵ愴㍥搴㥤㕡㡥㌱㌵㜳晦㕤攲晣晣㡥㤶昶愳ㄶ攲㌱昶搸㔰㝤㙤㕤㌸㥥㌳搲㈲㌸㈲攳㑦〰扥ㄱ戸㥡㕤慤挷攷㉥戱㔸㌴昹ㄶ㐵㙢㤳㜳晣㜳挲搱搹㜳㜸愷㠴㘸㑣㔱ㄱ㑤㥢㜵ㄸㅢ搰㘴㌴ㄳ㙣〴〸〴昲晣㉤昸㍦捦ㅦ㌰ㅥ㌷敢扥㔲晣晦敦㍦㈰攷㠳换㤰て攴㠸㥥㈴㝣㌱摣㐳㈵ちち㥣戴㍣㌶㤴㤸㤳攴改㤹ㄳ挹㐷㘱㘳ㄳ挱ㄳ〰扥㙥〰慤㍥㝦昳ㄶ戳㤰㘱㠶㜶戱㤱攱㐸〸挱ㅤ㜹㜵㡢㤰㉦㘶挶ぢ㐶㠶ㄳ㌵〶〳ぢ㘳㜱慤㉣昶愳㠴㡢扦㌸挶戳㍦扣㌸㌹㌲㤴っ戵㠹㈱㐴㠱㔹㌲㐰搴㕢㜲㤹㈵㜲戶㤳㙤㡡㍢㘰搵㈰㈱㈸㡢㥡㤴戶戲挱㤴㠴ぢ〷搷㑢㕥㠱〵㜳㉢㠱戱㜷㠱ㄲ㝥晢㠹㥥ㄹ㙡㐰〴愴㜶㑣戸㝥㕡搳晣㜰㠲攴㐵晥㥣愶戴㕦㕥ㄴ㌶愹㘶搶昴㘴戴㉥㔱㠶㤱㡥㠹㌷㌴捥晦㌹攵㔰㤶昱㈴㠰㍡㝣㐷攰㉣昶慥ㄳ捣㤵搷㐶㉥捤搵搵㜹㐵㤴挶ㄶ攳㐰〲㥥慤㄰昶ㄳ晥㤳㠷昱っ晥ぢ攴挲昹扡㠳攲摦〹换昸㐰㕦ㅣ㠳㠵愶挵挳㌲搰㔴㈴㉢戰㜶扢搸㡣㠶昸扣㔹つつ昳㜸㍥戵㤷戵挴㥣㜰㌸挹攰㑤㕢㉢㔸㈵㠳㔲㐲ㄴㄴ㘴㐴㕢戴㈸捦晥㤰敦㝦ㅥ愰摤㜰摣ㄴ㉢㠹〹晦ぢ㘸㉡㐰ㄸ挹晦㈲ち㐱摥㐴㔷㌷挸㥢攸戲挵㜵㠹挵攲㜰㘸捤攰㠸㌸散昷㕢慦㍥晤㡣㠹㡦㡤㥣搶敢昸㙦㥦㝤㔲㤴㔹㠸慣戰捣挱㤰挳搵搹㜸〵㐰昴〱ㄹ扤〹捡㤹㠷昱ㅡ敡挶敢〴㙦〰挰㈷㐸㉢挳㈵扣㘹㔶挵㈱昸扦ㄴㅦ攳㉤㠲户〱㐴㑦〰㕥㤴挶㔶〰㜵㠸敥㤰捦戹㤶昳㜵㈸㥡戳攷㙢ㅢ㕡〳㐶づ㥣攸〵ち捥㤹㐱ㅢㄹ戴㡡㐱㡢㠸㝤㈰搸搱〰㝢㕢㠸慣戰搱㘱㘰㤳〶昸㤸晣㝢㠱捣搹〰㥦戲㡦捦〸㍥〷搰っ昰愵㔹ㄵ㘵昸扦ㄴㅦ㘳㈷挱㔷〰愲㉦㠰㌴挰摦㔰㔰㠷㘸㠷㍥㔲〶㌸ㅣ捤搹〶昸〶慤〱㈳〷㑥㤴㠳挲挹〰〵㙥〶挸户㄰㔹戱慥〱㤰㈴つ挰㔹ㄷ扣㜰㥣つ㐰て㘵攴ㄳㄴ〰㘸〶昰㤹㔵㌱㄰晣愵昸ㄸ㝥ㄲ戵〱㄰㠳㔱㤵〶㈸㐲㑤ㅤ攲摢㝦㘹〶ㄸ㠴收㙣〳ㄴ㠳㍥㘰攴挰㠹㈱攰㜳㌲挰攷㄰敥㜸〶㝣㘶㈱戲㈲㙦㐷㐱㤲㌴挰㥥ㅣ昲㈷㈰㜳㌶㐰㘷愰㡤扤〹昶攱攸搲㤷挰㝥㘶㔵ㅣつ㐱愵昸ㄸ㕤㐸戴㍦㠰㘰搰㑥ㅡ愰㉢㙡敡㄰摢㜵〳っ㐵㜳戶〱扡㠱㍥㘰攴挰㠹㘱攰㜳㌲挰ㅢ㙥〶㜸摤㐲㘴㐵つ㐷㐰㤲㌴㐰㙦づ昹㔵㔷〳ㅣ〶戴㔱㐶㜰㌸㐷㤷㌶㐰戹㔹ㄵ㤵㄰㔴㡡㡦搱㡦㐴晤〱挴㈸㔴愵〱〶愰愶づ昱慣㙥㠰㤱㘸捥㌶挰㄰搰〷㡣ㅣ㌸㌱ㅡ㝣㑥〶搸攸㘶㠰㘶ぢ昱㤱㍤㜲㌹ㄶ㤲愴〱㠶㜳挸㡦戹ㅡ愰ㄲ㘸㘳㈴挱㈸㡥㉥㙤㠰㌱㘶㔵ㅣ〷㐱愵昸ㄸ挷㤲㘸㉣㠰ㄸ㡦慡㌴挰㜱愸愹㐳㍣愰ㅢ㘰ㅣ㥡戳つ㌰ㄱ昴〱㈳〷㑥㑣〰㥦㤳〱㙥㜷㌳挰㙤ㄶ㈲㉢㤲㍡ㄹ㤲愴〱㘶㜰挸扦㜷㌵挰㠹㐰ㅢ㌳〹㑥攲攸搲〶㌸挵慣㡡㈹㄰㔴㡡㡦㜱㉡㠹慡〱㐴ㄵ慡搲〰愷愱愶づ㜱㥤㙥㠰愹㘸捥㌶㐰㉤攸〳㐶づ㥣㤸〶㍥㈷〳慣㜲㌳挰ㄵㄶ㈲㉢戲㍢〳㤲愴〱㘲ㅣ昲㑡㔷〳㌴〰㙤捣㈷㔸挰搱愵つ㤰㌰慢攲〴〸㉡挵挷㐸㤲愸ㄱ㐰捣㐴㔵ㅡ㘰㈱㙡敡㄰㉢㜴〳㥣㠸收㙣〳㉣〱㝤挰挸㠱ㄳ㈷㠱捦挹〰㘷扡ㄹ攰㔷ㄶ㈲㉢摥捣〸戳㌴挰㌹ㅣ昲㔲㔷〳㉣〷摡㌸㡦攰㝣㡥㉥㙤㠰ㄵ㘶㔵㔴㐳㔰㈹㍥挶㠵㈴扡〸㐰㠴㔰㤵〶戸ㄸ㌵㜵㠸㠴㙥㠰搳搰㥣㙤㠰换㐰ㅦ㌰㜲攰挴㉣昰㌹ㄹ㈰敡㘶㠰㌹ㄶ㈲㉢㔶ㅥ㠶㈴㘹㠰慢㌸攴㠸慢〱慥〱摡㔸㐳㜰㉤㐷㤷㌶挰㜵㘶㔵㐴㈰愸ㄴㅦ㘳ㅤ㠹㝥〷㈰ㄸ㘶㤷〶戸ㅥ㌵㜵㠸㔳㜴〳捣㐶㜳戶〱㙥〶㝤挰挸㠱ㄳ㔱昰㌹ㄹ愰捡捤〰㔳㉤㐴㔶㥣扦づ㤲愴〱敥攲㤰㈷扢ㅡ攰ㅥ愰㡤㝢〹敥攳攸搲〶㜸挰慣㡡ㄸ〴㤵攲㘳㍣㐸愲㠷〰㐴〳慡搲〰て愳愶づ㌱㐶㌷㐰㍤㥡戳つ戰ㅥ昴〱㈳〷㑥捣〷㥦㤳〱㠶扡ㄹ攰㘸ぢ㤱戵晢㤰㠰㈴㘹㠰㈷㌸攴㈳㕤つ戰ㄹ㘸攳㈹㠲愷㌹扡戴〱㥥㌵慢㠲㡦搷愵昸ㄸ㕢㐸昴ㅣ㠰㔸㠸慡㌴挰昳愸愹㐳㤴敢〶㘸㐴㜳戶〱㕥〶㝤挰挸㠱ㄳ㡢挰攷㘴㠰㐳摣っ㜰戰㠵挸摡晣㘸㠲愴ㅣ㔱扡㡣晤㠶㑥愰捤㠸搲ㄵ㐷㐶㐷敢㤲攱戸っ挴㤴㐴昰㥦㤹〴㈰敢敤ㄸ㝣㡡㘳㔷㐶搶㍡㐵㉡ㄱ㝦㐲搶㐱戲㈹ㅤ㤱换㡡㝦㤹攱愱晦㡢昲晤攲愲㝣㌲挶㤷ㄱ改换ㄱ㐵挳㐹㘳㡢昳攵㈶搶㑥㈲〶戸ㅣ㥦挹攵㐹㔴〶挹㤹㈷ㄹ改敤〱〴㤹㕡㤱愲搷㑦㐲㔲昷㜵㡦晥昱㘴捦㍥㐹挹攴ㅡ㘹㕢て攴晦挵㈹敤ㄹ㘱㘶㥣昲㙤㝡挲慤〴敦㄰扣㑢昰ㄷ〰㔱敡敡㘶户㤳㘶〷挱㝢〰㥡㥢晤挰慣㡡㈵戰㜷㈹㍥挶㠷㈴晡〸愰昸慦〰ㄳ㡦つ搷㈱扥晤㜳攵㕥昹㤶戲ㅢ摢㠹㤲ㄹ㙢挳戹戲〷㠸昶㡡㔵㌵搵搷捣㠹㌷搴㈳敦㡤㠱挲攱㌵㐸㕥㑡㠸㤰㍦㌶扥愱戲㌱改㡦ㅤㅢ挵㝦挵戱愹攱昹攱㔰戲ㄲ晢ㄷ㠸㐲㡥挷㈶戲㡣㌱㡥慤㕤晣晦㌳〶㤹㔷〸ㄵ戰㌵㤴づ㐳ち晢㤵㙡㐶〳㉤昳㤶㡤㙣㐰㈲㕣㔸㘶晥搱散㝥㍦攲挹扦挰㈰㘳㥥昱㌱㐶㜷摤㔷户ㅤ搵攳摡扢㝥戲晥㍦ㄳ㔱づ㜹ㄸ愷㐳改散㔵昷㌳戰〴㜲攱挴ㄹ攰㑢慤扡晥慦㘸㌶㥣〶㘶㄰慡㥤摢捡㕢㙣㈱戲戶戳㤷㐱㥡扣昵昸〷〴㠹㠰敢㌵昱㉤搰挶㜷〴摦〳㘸搷挴て㘶㔵㥣〵㐱愵昸ㄸ扢搰㘰晣〸㈰捥㐱㔵摥㝡晣ぢ㌵㜵〸㠱㍥㔲㐱愸戳搱㥣㙤㠴晣㝣ㅡ㈱〷㑥㥣ぢ扥㤴ㄱ戴㈸摣户㍦扡挴㘰扥戱㄰㔹㍢散攷㐳㤲㌴㐰㕢㜴㉡扥〶㤹㜳っ愶ㅤ搰㐶㝢㠲ㄲ〰捤〰ㅤ捣慡攰扥㝣㈹㍥挶ㅥ㈴敡〸㈰㉥㐴戵ㅢ㥢㍡愱愶づ昱㈹晡㐸ㄹ㘰〵搱㉤〰㍣㈹ㄴ㠹戱㌷攸〳㐶づ㥣戸〸戴㑥〶搸敥㘶㠰㙤ㄶ㈲㉢㍢攰ㄲ㐸㤲〶㌸㄰㥤㡡㜷㕤つ搰ㅤ㘸攳㈰㠲ㅥㅣ㕤晡收昳㄰戳㉡㉥㠵愰㔲㝣㡣㐳㐹搴ㄳ㐰晣〶搵㙥㙣敡㠵㥡㍡挴㙢扡〱㉥㈳扡〵㈰挳〰㘵愰てㄸ㌹㜰㘲㈵㔸㥣っ昰慣㥢〱㥥戱㄰㔹㤹つ慢㈰㐹ㅡ㘰㌰㍡ㄵ㑦戹ㅡ攰〸愰㡤㈳〹㡥攲攸搲〶ㄸ㙡㔶挵㤵㄰㔴㡡㡦㜱っ㠹㠶〱㠸搵愸㜶㘳㔳〵㙡敡㄰ㅢ㜴〳晣㤶攸ㄶ㠰っ〳㡣〴㝤挰挸㠱ㄳ㔷㠱挵挹〰て戸ㄹ攰㝥ぢ㤱㤵㘹戱〶㤲愴〱㈶愰㔳㜱慦慢〱㈶〱㙤㑣㈶㤸挲搱愵つ㔰㘵㔶挵戵㄰㔴㡡㡦㌱㡤㐴搳〱挴㜵愸㜶㘳搳昱愸愹㐳摣慡ㅢ㠰昹ㄹ搹〶㤸〹晡㠰㤱〳㈷搶㠱捦挹〰搷戹ㄹ㘰慤㠵挸捡昸戸〱㤲愴〱㙡㌸攴㌵慥〶〸〳㙤㐴〸㘶㜳㜴㘹〳㐴捤慡戸ㄱ㠲㑡昱㌱收㤲㘸ㅥ㠰戸ㄹ搵㙥㙣慡㐳㑤ㅤ攲㜲摤〰㌷ㄱ摤〲㤰㜱〶捣〷㝤挰挸㠱ㄳ户㠰挵挹〰㉢摣っ㜰㠱㠵挸捡㐳戹ㄵ㤲昸っ㘶㌴愱㔳㘳〹挱改〴㑢〹捥〰㄰㘷扢ㅡ攵㑣搲㉣㈳㌸ぢ㐰㌳捡㌹㘶㔵摣〶挱愵ㄴ㝥㉥㠹㤶〳〸愶戲昰敥〶〱ㅤ㔴㕤㤷挸摢㐹搱〲㤰㘱㤸ㄵ㘰〹ㄸ㌹㜰攲て㘰㐹ㅢ㠶㑢愴戹㍣捥㜷㌳㑣㠳㠵挸捡愷戹ぢ㤲愴㘱㔶愲㔳攳㜲㠲㉢〸㔶ㄱ㕣〹㈰愲慥㠶㔹㑤㥡慢〸慥〶搰っ戳挶慣㡡扢㈱扣ㄴㅦ攳㕡ㄲ慤〵㄰昷愲㙡ㅡ收㍡㔴㕤つ㜳て戹㕡〰㌲っ㜳㍤㔸〲㐶づ㥣㘰扡㡦㤳㘱㘶戸ㄹ收㜸ぢ㤱㤵ㄹ昴㈰㈴挹㑢收㜶づ㝢㥡慢ㄱ晥〰戴㜱㈷挱㕤ㅣ㕤晡㤲戹挷慣㡡㠷㈰愸ㄴㅦ攳㕥ㄲ摤〷㈰ㅥ㐱戵ㅢ㥢敥㐷㑤ㅤ㘲ㅣ晡㐸㉤㥢㑣㉤捡㌶挰挳愰てㄸ㌹㜰攲㔱昰愵つ昰〲愵扣〸㈰㠶扢ㄹ愰挲㐲搸昳㤵㝣㝦〲摢扦㤱㘷搲㤶㕤㐵㡥㡦㠶ㄷ㜱㘳扣㝤〴㕦ㄵ㌰ㄳ挵戹㔷摢㉥㌲戲㘱㘲㐳㜲㘴㌴㌱扦㉥搴搴㌱㘲ㄵ㘶捣〹搷㈳挷㈶㡥㔴ㅢ㕢㕢挳晣昹攱㕡㈳㔲搵搰ㄸ慦〹㡦ㅤ昹㑢挸挱㠱㝥戰愳㑣扦挹ㄷ㌸㜶㉦慤〴㡦〱〲㘷〹㡥㍣摦〶〸戴㘷〷㘸㑦搵改〰㑥㄰㠴㈵㘹㡢㑥㡢㈶敢挲㙤㈳ㄲ㉦换㐵ㄱ㔸ㄱ㠹㑢戵㙤㈲搳收㘰搷㝣㘴扢挸㤸㜸戴戶㉥㕡ㅦ收㘴㈰㈸挴敦㕦㡣て捦㐶㤲搲攴㠶㐴㤴摦つ㘹ㄷ㤹ㄶて搵㈷收㌳摦愲愶㘹㡦㡣㥡㝣㘸昲㐵昰㐵㠲〴扡㤱改晥㉣㤷㐴慡收㌴㉣挲㤷㤳ㅡ㘳昵㘳㐲昳ㄳ扦㠸㔹㠱敦戳づ㌹㌵㈲㕦攴攷㡢愲晣愲摤㥤㥦㠰㤴搶て戰㤰㐰捥㔵㥥慦ㄹ愵ㅣ〱㄰㠶㐱慣ㄴ㌱愶㍦㜱㑣ㄹ㈹换㡥㤹㌸愹㙦㜶㌱昴㘱㙣挴愵㕤摣〲㜰摣㤸改㘳搳㠹㠱晦搱ㄷ愶㝣ㅢ㈱搹晥愸㘹㍦挳㔲㜹㔸㝢㠲戸扤㜹慡戰㡤㘷づ慥㐰捣㌸㙢昶搳㉦㄰㤱㌴㍣ㄳ摢愷㡢愳㤱捡㔳ㅣㄹㅦ㐲㈶㉡㌲㤰㘲愱㘴㝢戳挲㘷晣ㄸ扥㡢㘲攱㉡ㅢ㘲戱㄰㑦㉤㥥㤶㔵㌵愱扡㜰㔱㘴㜸㘳戲〱摦戵㌱㈲〰昲晣戳㥡㐲㡢搱ㄴ㕡㉣㥢㡡㈳㔳㤹㤹㈸换㤴搵㌰㍢ㄴ㡦㈶攷挴愲㌵㐵慣㌰㝢昰ㄷ㜱㑥挲㑦挸㐷㝥ㄸ㤴㠷昲ㄹ昶㔰㠷昹搰㡦改㉥㐳ㅣ㡦愶攳昴攳捣捤ㄷ㝥晣ㄳ扢㤹戸〶て㈳ㄷづ㘳ㄳ愴昹昰㤱㉥㐷づ㘴愷捣っ㐱㜱攷㤹㌸㐵愵ㄳㄲ㡦㤳〰ㅦ攳〹㤲㕡㐷攱㈶ㄴ㜲㘶㌵戵〱㐱㘰㝣㐳愸搶晣㐲㐰ㅢ敢ぢ㝥㐵㤸㕡扡㤴㜸㤰㜹㘶㤵㐸㕤㐴㑡攴挲㘸㙤㌸㕥挴㠶㉡㠴㙦ち㤹愱收㌷攷㤰戶挹昳昹摡ㄶ㌹昵㌵㔶挹㍡挸捡摥搱扦ㄶ㌹㌶㑢晥㘷㔳㠶っ攳昰〳〱戹ㄴ㍤〹㜵㡣捤〰攲〹㌴㔲ㅦㅢ挱㔳㈴㜸ㅡ挰昷㈴㤰昶戹挹っ㐳㈱㌱捣〰㔱㈱搷戲㐲㈶愳ㄵ㈱㜱㑢㘶戱昹愴㈲㙤戵散㌳扦㤹㜸㔶愴扥㙦攷慦挲㔹ㅥ慥つ㤸㝥㤴挱㉢㐶㠲昲昳ぢ㌱搵㝥晢㥥㐰㔶户㄰ㄶ慢ち换戴㌴搱〵㐳昰㍦㠳ㄱ㤷昰㘲㠱晣㙡昵㐵戳ㄶ㘰昴㍢愵㐰挰搸〲扡扣㠰㜸〶㔰㈹㉦攷捣戴捥㜳挰ㅡ捦〳〸㈶㈷㜱愹攷㘹㘲㉤㑣攲㌵搴戸㌸攵㌹㍡㐳昱㍡㌰捤昸ㄸ㉦㔰挰ㅢ㈸搱捦愴捥扢㤷搰摡晡㜹昷㈶㌹昰挹㌸敦〴㌳㥣搴㜰㔱㔴㤳昹ち㠷晢㉡㝢㝢摢㤹攰㌵ㄲ扣㑥㠲慤㈰攰㠴晡摦㐰慤慤㌲ㄴ扦改搶㠲㔶㥢㤱摥〴つ㡣戴つ㔰昵慡ㄹ改㉤㘰㡤户〱挴挷㈰戰ㅢ改㔳戴攵㌰ㄲ昳㤹㥡昱㌱戶㔲〰ㄳ㥢㌲㡣昴㉥㕡㕢㌷搲㤷㘰换㌶搲㑥戴慡攱愲愸㡣戴㡤挳摤捥摥扥㜲㈶搸㐱㠲昷搸昱摦㐰搰敡ㄹ捦挹晦㤹捥昸攲戱㠹慡昰㠲㐶㝥㡤㌴㔴愷㑥晦〲㘴㑥晥㝢攷扦㠳ㅦ㐸㉤愲收搵昱㍥戴㑢㑤㍡扦㤲搸〲㈵㙣㤳晥㈱㘸㄰搴㈶ㄴ摦〰㈸㔳㙡㌳晦㔷㈰㡤㡦〱挴㑦㈰㤰㌳㥦扥㙦㘳㈹搷捣攷〳摤っ㌶攳ㄳち㈸㐰㙤㈳㙡愹换攳㌳戴戶㍥昳㍥戰攱捦㜶㜹昸搱愴㠶㑢㤹㤶慦晢㠲挳晤㤲扤戵㜱㈶搸㐹㠲慦㐸㔰〴〲㜹㜹晣つ戵㤴愵昸㑤捡ㄶ挸戳㔹敡㙢搰攰昲㘰挶㤸敡㔵㌳搲㍦㠰㌵扥〱㄰捣敥戲㕦ㅥ㑣改捡㜱㜹㌰搹慢ㄹ搲㡤㙦㈹㠰㔹㕦ㅢ㔱㑢ㄹ改㝢戴戶㙥愴晤挰㠶㍦㥢㤱扡愰㐹つ㤷㌲㉤㈳晤挰攱敥㘲㙦晢㍢ㄳ晣㐸㠲㝦戱㘳㘶㤴晤㑦㕥ㅥ㍦㐱扢搴愴昳㥢慦㉤戰㡦㙤搲㐵〱㉤㥡㑦㈸扡㘹㤶㉡㑡㥢ㄲ㡢㌶㕥㉡〰㈰㤸搶㘶扦㍣㤸换㤶㘳收㤹攵搶捣㉥昸㡤㜶挱㜴户㡤愸愵㘶扥つ㕡㕢㥦昹㜲戰攱捦㌶昳捣㡤㜳㤸㜹扥〴挱〸戰㌷收捤㌹㄰戴㈵㐱㌱〹㤸㑡㈷㉦㡦㜶愸㜵㔶慢㠷晤㉢扢づ㔶㉢〱㍤㉥ㄵ愶搶愹づ戴㑢㈵挸づ㍡戰㠳攱㈰戰ㅢ慣ㄲ㙤㌹っ挶慣戸㘶敡扡〷〵㡣㐲㙤㈳㙡㈹㠳㜵㐲㙢敢〶ㅢ〳㌶晣搹っ㜶㉣㥡搴㜰㈹搳扡㔴昶攲㜰㍢戳㌷收搹㌹㄰散㑤㠲㝤㐸挰搴㍢㘹戰㝤㔱㙢慦っ㘶㝤㉤搴挱㑥㕤㐰〶㍢㌱〳㑦挹搵散戴㍦攵㜶愵㕣㘶换搹㕤ち㔳攴㜲搸㠹挹㜳捤㤰㙥ㅣ㐰〱㈷愱戶ㄱ戵㤴㥤づ㐴㙢敢㜶㍡〵㙣昸戳搹㠹㈹㜷㙡戸㤴㘹搹愹㍢㠷㝢㄰㝢慢㜶㈶攸㐱㠲㠳㐹㜰ㅡ〸愴㥤づ㐱㉤㜵〹昲摢搱づ㐶敡〹ㅡㄸ㠹㔹㝡慡㔷捤㐸扤㈸戴㌷㠵㌲愳捥㙥㈴愶搱攵㌰ㄲㄳ散㥡㈱摤攸㐳〱ぢ㔰摢㠸㕡捡㐸㘵㘸㙤摤㐸捣挸挳㥦捤㐸㝣散㔵挳愵㑣换㐸㝤㌹摣㜲昶挶㤴㍤〷㠲㝥㈴攸㑦〲㘶昱㐹㈳つ㐰㉤㙤㈴㝣慦摢挱㐸㠳㐰〳㈳㌱㤳㑦〹搵㡣㌴㤸㐲㠷㔰攸㌹㈰戰ㅢ㘹㌹摡㜲ㄸ改㍣愰㥢㈱摤㌸㠲〲捥㐷㙤㈳㙡㈹㈳ㅤ㠵搶搶㡤挴慣㍤晣搹㡣挴搴㍤㌵㕣捡戴㡣㌴㤴挳㍤㠶扤㌱慤捦㠱㘰ㄸ〹㉡搸㌱㌳晤晥㈷ㄷ愷攱搰㉥㌵改晣ㅥ扥挳愴㔷㠲〶㜹挲㠴㠲㈹㡣捡㔲摡捣㡦〲搲ㄸつ㈰㤸㙥㘸㥦昹㙢搰㤶㘳收搷〰摤捣㉥挶㔰挰戵愸㙤㐴㉤㌵昳㘳搱摡晡捣㕦〷㌶晣搹㘶㝥ㅤ㥡搴㜰㈹搳㥡昹㜱ㅣ敥㜸昶昶㍢㘷㠲〹㈴㤸挸㡥㤹攲昸㍦㌹昳㤳愰㕤㙡收昹昲〴㠷㤹㥦〲㥡㍣㘳㉡愱戸㔹戳㤴㌶昳㔵㐰ㅡ搳〰〴昳㉣攵捣㙢㜷敤昷愰㉤挷捣㌳敤戲㤹㕤㑣愷〰收㕦㙥㐴㉤㌵昳㌳搰摡晡捣㌳㑦ㄳ㝦戶㤹㘷戲愶挳捣㥦挸攱捥㘴㙦㑣攴㜴㈰㌸㠹〴㈷㤳㠰戹㥤搲㌱㥥㠲摡㥥㙡㤵慤挹㜸ぢ㠴㠳捤慡㐱つㄷ戹㕥ㄳ慦㤹敢㌴㡡て㔱晣ㄳ㈰戰㥢㙢㌳摡㜲㤸敢㈹愰㥢愹改㉣ち㘰戶收㐶搴㔲收慡㐵㙢敢收㘲㔶㈷晥㙣收㘲㙡愷㠳㌵㈲ㅣ敥㙣昶挶戴㑦〷㠲㌹㈴㠸㤲㠰㤹愰搲㕣㜳㔱摢㕦㤹换昹搵ㄵづ㘶慢〳ㄷ捣挶晣㔰搵㡤㘶戶ㄸ扢愹〷昰扤つ㠲ㅣ搱㔵㈴慤㘸昹㜹敤㈱搳ㅦ㤹㕥ㅦ㑤㈲昰挹㈱㡤㡥㈶ㄱ挲㈹㡥〰愰㈸ㄳ改昶㤵〱㔱㡤愹㜷㙡㐳攵㠰㙣㔴挶づ㑢搷㙣扣扥攵㜲㤰〳摡摣㡣搱昶㘰㕡㈳㤲㥢㌲づ㘳晣㈵敤搲〸㌳搹捡摡愸ㄱ㍤㙣搹㘵㕡昰㕢戳㍢〳昰晦挱㥥㡥㜴㔷昸敥〲㑦ㅢ挶〶慣敤㥤慤慤㥥ㅥ㕡㐶㈶㘳㤶〱㙥昱㤸㙤敤慣㤴摦戱昵〹〴㑦〳㔶つ愱昱昶㔶㜱㔲㘳㌲〳ㄳ㕡摣搱挲攰㕢㡤㤳敡戱挱㔶ㄳ㡡搷晥㐲愲攱搰捤摣㥣㤱㠱敤摤摤㌸㠳ㄴㅣ㍢㝦㌲晦㐷っㅢ㕢愱ぢ㘰㜳㙥愵扤〳㕢晦㍢〹慤㈵㄰搲㡥收㑥攵戹ㄶ戱㌶㈱ㅣ慡㤷戳㔰㤵慣ㅤㄹ㕥㈸㜷㌱㈷㠷戱〵㠹挰㔵㕤戸愳㘴㐸㔵㘵攴搷㠸っ㥦㤵挰㡥㔸㤲摢㈰㔶㐹㕥攴㐶㘴㙡戸㑥扥愰〷扢ㄶ㔶㘹㜲㑤ㄲ改摢㈹〱㝣扤挰㉦㘷㠶㘰㤱㐲㙢㤶㠴㥣㈷㝦づ摦㤶愹〴慦㥦摤㥦搵㠸㍣扥ㄸ㈶慥扥㡡挷慤挳昲㔴挱扡㤰㤸搲㥡㘳昳つ㝥㔶捦㍥收㤵搴㔱㈵挵㥢摥㑤㍡慥㘲搵挶ㅤ扡㜶摣㌱㡤㈷昱づづ扥㘵愸㠴㤷㑥ㅤ戶㌰㤲㔱㙣㐶搵㌵戵㡦㡣慤慦愹㙢慣つ换㥤㉣攵慦攵㠶搶㉦㘲扥ち㘱㄰敢㡡捡㘱ㄷ换㈸㘳昱挶㐸昵㑥〶摣づ敤收㍣ㄹ㜱㉥㝢㕣㉣㈱㐳敥ㅣ昹晥㠲㔱晣摢㘹摥っ㉡敦㤱晥㤲㠲㝣㥢㈰摣㕡㔶ㄳ晤ㄹ昳㜷㔳㤹攲昲㙡搳挸挶㌷㡣㙦攰㤶户搶㜴㙣搴㙣晡㐵捣ㄱ昴㌴愷挸敦挷㕥摥㙥㕡㥤㐲㔲ㅥてづ捦慣て㌳㤷㤸㍣戱ㅤ㌳愰敥搱㔰攴㝥㜵㝥㝡搳㕡㌰挳扢ㄹ㙤〶摦ㅤ㉡摥㐳㙤㈳〵〸㜳ㅥ㡤㠵㘸昵挹〶㉥㕡㍣戴晤㐱搴捣晤挱て㠰㈳㍡㜳㥦收㐳㌴愹㝢㈳㜲㕡て㌳㡢㜹㤲㌴戱户㡦㥣〹㤶㤰攰㜴㜶捣搴㘱扢㠳㜱捤㠲〶㐳㥥㉦挶扤戳愲ㄸ昷㄰㜱㜹晡昱摥〸㘴㜹攳挶捣摦戶㠸㔹搲挶㔲㔰㍤户㘵换㔰㡥㐷㌰捤㔸つ搰㥦ㅥ攰ㄹ散晦㔷〰㠲改挰昶㠷㐳收〰㉢㝢㠲㠷愶搴㤲〰〴戳㠳㥢搱㘶㥣㐹〱㑣ㄳ摥㠸㕡敡㥥昷㉣戴戶㝥捦晢〳搸昰㘷戳攷㉥㌴愹攱㔲愶㘵捦㜳㌸摣㜳搹摢㡦捥〴换㐹㜰ㅥ〹㤸㠲㉣敦㜹捦㐷㉤昵㌰挵搷㜰㌹摣攱慥〰つ敥㜰昳昳搳扤㙡㜷戸ㄷ㔲攸㐵ㄴ捡㤴㘱扢㤱㤸㈷㥣挳㐸敤㠱㙥㠶㜴攳㘲ち㈸㐱㙤㈳㙡㈹㈳㕤㠲搶搶㡤搴〱㙣搰挷㘶㈴收ㅤ㍢ㄸ改㌲づ昷㌷散慤愳㌳挱㑡ㄲ㕣捥㡥㍢㠱攰㝦昲〹晡ち㘸㤷㥡㜴扥㌶慤〵搶戳〵昶慦〴㑤㥥昱㕢㐲挱晣㙢㘵㑡㙤收㔷〳㘹㕣〵㈰づ〴㠱㝤收㤹㈰㥤㘳收て〲扡㤹㕤㕣㑤〱㍤㔰换㤸昹㌵㘸㙤㝤收㤹㙢㥤㍤昳㑣戸㔶挳㐵て敡昲㔸换攱㕥挷摥㝡㍡ㄳ慣㈳挱敦搸㌱昳戳晦㈷㘷晥㝡㘸㤷㥡㜹扥敢慥〵昶戱捤晣㡤愰挹㌳㙥㈲ㄴ㘵㥡愵戴㤹扦ㄹ㐸攳ㄶ〰挱㈴㜱晢捣ㅦ㠱戶ㅣ㌳㝦㈴搰捤散攲昷ㄴ挰攴昱㡣㤹扦つ慤慤捦㍣㤳捣戳㘷㥥㤹收づ㌳㝦〷㠷晢〷昶挶㉣㜴〷㠲㍢㐹㜰ㄷ〹㤸㤸㉥ㅤ攳摤愸愵㉣挵㤷昴戵㘰挸㌶㑢摤ぢㅡ㌸挶㤱㥡㔰捤㐸昷㔱攸晤ㄴ捡㐴㜲㘹㈴㉤挰㌴〹㙤㌹㡣挴扣㜲㘹愴〷㈸㘰ち㙡ㄹ㐶㝡〸慤慤ㅢ愹ち㙣搹㐶㥡㠶㔶〷ㅢ㍣挲攱㍥捡摥愶㍢ㄳ晣㤱〴敢㐹挰攴㜵㘹愴㍦愱㤶摡挶戱摥㈹搸㤲㙤愷つ㈰㠳㥤㘶㙡㜲㌵㍢㌵㔳敥㐶捡㘵扥戹晤㘴ち愳㉤㠷㥤㤸㝥㉥敤搴㐲〱捣㐳捦戰搳㈶戴戶㙥愷㈸搸戲敤挴愴㜵〷㍢㍤挹攱㙥㘶㙦㑣㘸㜷㈰㜸㡡〴㑦㤳㠰㌹敥搲㑥捦愰㤶㍡㤹昸㌶挴㤶㙣㈳㙤〱つ㡣挴㍣㜷㈵㔴㌳搲㜳ㄴ晡㍣㠵㌶㠱㠰戱㈴㈹〳昹扡㘴㑢挷ㄱ挴ㄲ愰ㄹ㑢㤰ち攱扦捣㈷攰㤷㐰㡤㈷㘰挱㜴㜶㍥〵㤳㉡昵㐴㌵攱戵つ㝢㡥搸晢搶ち摢ㄳ㤵㘰摡㍢㥦慡昲㡣㤷㌹㡡ㄶ戲㔹户昵㠲搹昰扣戵㌷て搵㔹昶捤㈷搳攲搵㌴㠲摣㝥昳挹㠴昹㘶挸㌰㕥愵㡡㘷愱戶㤱ㄲ搵捤攷敢㘸㙤晤收㤳ㄹ昶㜲㤸㑦愰愰づ㜱㉥㉡捡愰㙣戴㙥㤶晥㑣㔵摥㘴㙦换㥤〹摥㈲挱摢㈴㘰㔲㍥㙦㐰㡤慤愸愵敥ㄹ㔷㘸㙣晥戴摣㜷挸昶㉥搹㤸㈳慦㑤搴㌶戴改ㄳ㜵㌹搰敥ㄳ戵ㅤ搴㥣愸㉢㐰攵㜹愲㔶㠱搸㥣愸ㅤㅣ㐵㡢散搰㝣晥ㄲ捣捥昷㌲㔱㑣搳捦㌱㔱㔷〱摤っ戹挶晢㔴昱㙡搴㌲㈶敡㐳戴戶㍥㔱捣昸捦㥥㈸愶晤㍢㑣搴㕦愹捡挷散㡤㕦〹㜰㈰昸㠴〴㥦㤲㠰㕦ㄲ㤰ㄳ昵ㄹ㙡愹㠹扡㕥㘳搳㈶敡㜳戲㝤㐱㌶收散摢摤づㄳ昵㤵ㄹ愰慥晤收晥㑥愰愵ㄹ扥愴㠰扢㔰㌳捤㘰㈵㔳㝥㠵搶搶摤捥㍤㘰换㌶〳ㄳ晦ㅤ戴晣㍢㠷晢㌵㝢扢捦㤹攰ㅦ㈴昸㠶〴昷㠳攰㐹っ摡晦㉤㙡㘹户㠳㌷㡦戶愰搵戶㠶㝤てㅡ戸ㅤ㝥㔷㐰昵慡戹㥤㝦㔲攸てㄴ捡㡣㘳㌹搸㕤慣㠱㠷㝣扥㑤㘸戵摦㈸㘵㈵慡ㄶ戲㠷〸㔳㔶慢㤲㑤㜵㐸ㄳ㘶㤱挹㤱㘶㠹㡦㘸㈶ㅡ㈹㥢つ㜱㠴㉢ち敤㕦敤㑥昱慥㠷愸戶㥤慣捣㉥敢扤愸晣〱㡣㠶㌸㌱捣㠸昵ㄵ散捡㝥〹㘳㡡㥦〳㑦扦慤㡥㍣㍣晣晦㠲㌲㥤㈶㐴㙢攲つ㠹㠶㐸戲戴ち愹敥愵㝣攱㘷〴㌱㡢攱㍥〱㠹㡥㝤㔲戱挲㝡㈸攲㕢挸㤷ㄳ〶收搵㌷㉣慡㤷愳昱㈵昸摥㔳㘹慦㌶㙤搸㡤㤹ㅢ㠹㐲㜷ㄸ㉦愸ㅣ㔴㤰㜹愷㍣㠲捣㍤㤵〵㈶㥡捡挲搳㔶挱挷摣㑣慦㤹㙦ㅣ㤱㤸㈵㙡㤰つ㄰㉥㙣搳㈶㉢愲㥤㤵㌱㥡㝡㉦愱摦摦〵扣扥㍣攸㙡て㠳㍢㌳㘵㥡㤲捣ㅣ戰挱㕣㘶〳改慡㜹㠱㈰搳㐶㌹㈰㝦〱㘰㜱攵㠸㙡ㄹ㤵㤹㡡昷㡥晡昱㜲搲扣づ㘸挹晣挹〸扦て捤㝢愰ㄹ㉦搶㔳慦摡攳㜹攲昷愳扤㍤摡戵捣昹攰昳㤶㜴愳㤴摤ㄶ㠱㐲㝥㜷㐵晥扡㠲㜸〱㐸㘹晤戶㘸㘷㠱㘷慢㜸〹慤㍣㘳挵搷㍦晣昴ㄳ捦ㄳ㌴㈲㠹㡢㌸捣戳昸ㅢ㕡㌹搷㤹㜳昵ちㄸ㜸〴㕦㔵〵愶㡦捡ㄶ愶㤰昲㄰㙦愲挰㘹ㄲ㕦㐱〴㑤搸ㄱ慤㐶㤰㘳敡〰㄰〸扥〵㈴ち㜸㘵ㅢ摢愸扤㐱㕤つ㉡ㄶ㘴搲㈸晥㌷㝦㙢挱攸捣㜶㝥ぢ㐷晥晥㠲㤰〹愱慣敤㡢昶㤴㈶㑣〸㤵㥡㝣攰愸挹㝢㡥㥡㙣〳ㄳ㡦㈰搳㍥㘵㠱㌹㥥戲挰㍣㑦ㅥ㠲改㡥㔲㤳ㅤ㤶㈶晣㌶㠹㜱〰挷㔴ち㄰㄰捣㠴㤴㤶㍤㄰搵捥㐰昲ㄳ㘴ち㈴敡捥晡㝤慣㤰㘵愴㌸㠴戲愴㝥㠷愱㉡㘴摡㈳摢㝢愱㍤愵摦㘷㘰㤱晡扤收愸摦㉢㡥晡㝤〱㈶ㅥ挱㉦㔵㠱㤹㡣戲攵㉢慢㈰扥㐶㐱敡昷戲愵ㅦㄱ挶攱ㅣ㔳㕦㠰㐰㤰㜹㡡㈸㌸㙢挲晣㐵㠹ㅣ㐸㡡㐱攴㤲㥡昰搵㝤㐲收㈶戲晤〸戴愷㌴昹ㅥ㉣㔲㤳㈷ㅤ㌵搹攴愸〹戳て㜹〴㤹㠱㈸ぢ㑣㌷㤴〵愶ㅣ昲挰㑢㉢㉤㑤ㅥ户㌴㤱㌳㜵っ挷㌴っ〰昱ㅡ㄰挸㤹慡㐰㌵㌵㔳捣挶㐳摤㔹扦㐲㠵㍣㥡ㄴ愳㈹㑢敡㜷ㄴ㍢昴㈹㜹㘳搱㥥搲慦つ㕡愵㝥て㍡敡㜷扦愳㝥〶㤸㜸〴〳慡搰㔶ㄵ㡡慤㠲㘰㡥㥣㥣愹晢㉣晤愸戸㌱㤱㘳㥡〴㄰〸〶㐱㠰㠲戳㈶ㅤㄴ戲㤲ㄴ搳挹㈵㌵ㄹ㠱慡搸〳㐸㘹㤹ㄳ搰㥥搲愴ㄳ㕡愵㈶户㌸㙡㜲㤳愳㈶㝢㠱㠹㐷戰戳㉡散慤ち晢㔸〵搱〵〵愹挹㡤扡㈶愷㜰㑣愷〲〴㠲晢㠳〰〵㘷㑤扡㉡攴㜱愴愸㈵㤷搴㘴㉣慡攲〰㈰愵㈶戳搱㥥搲攴㐰戴㑡㑤㔶㍢㙡㜲愵愳㈶㑣㑦攳ㄱ㍣㐸ㄵ㝡愸挲挱㔶㐱昴㐴㐱㙡戲㑡搷愴㡥㘳㡡〱〴㠲扤㐰㠰㠲戳㈶扤ㄵ㜲ち㈹ㄲ攴㤲㥡㑣㐶㔵昴〱㔲㙡戲㄰敤㈹㑤捡搰㉡㌵㔹攱愸挹昹㡥㥡昴〵ㄳ㡦㘰戹㉡昴㔳㠵晥㔶㐱っ㐲㐱㙡㜲㥥慥挹改ㅣ搳㔲㠰㐰㜰㌰〸㔰㜰搶㘴㠸㐲昲㉤㜳挶搹攴㤲㥡捣㐰㔵ㅣ〱愴搴㘴㌹摡㔳㥡ㅣ㠵㔶愹挹ㄲ㐷㑤ㄶ㍢㙡㌲ㄴ㑣㍣㠲挷愸挲㌰㔵愸戰ち㠲㐹㑥㔲㤳㐵㤶㈶㐱㌰ㄸㄷ㜲㑣ㄷ〱㈰㍣〱〲㌹㥥㡢㔱㑤昹㠱㔱㘸㐵摤㔹扦搱ち㔹㑤㡡㤵㤴㈵昵攳换改挴ㄸ㈵㙦ㄵ摡㔳晡㡤㐵慢搴㙦慥愳㝥㜳ㅣ昵ㅢ〷㈶ㅥ挱昱慡㌰㐱ㄵ㈶㕡〵㌱〵〵愹摦㙣㕤扦慢㌹愶㙢〰〲㘲㉡〸愴㝥㙢㔰㑤改㔷㠵㔶搴㥤昵㥢愶㤰戸挱换㌳慥愷㉣愹㕦ㄸ㔵㈱㔳㝡搸㝥ㄳ摡㔳晡捤〰㡢搴㙦愶愳㝥㈷㌸敡㜷㈲㤸㜸〴㘷慡挲㐹慡㜰戲㔵㄰搵㈸㐸晤㘶㔸晡挹㝢㠷摢㌸愶摢〱〲挱搳㐰㠰㠲戳㈶㈱㠵攴换摥㡣㝢挸㈵㌵攱㑢攴挴㉣㈰愵㘵敥㐷㝢㑡㤳㕡戴㑡㑤挶㌹㙡㌲搶㔱㤳〸㤸㜸〴㘷慢〲ㄳ㘸㘴㑢搴㉡㠸㍡ㄴ愴㈶挷㕡㥡㐸㡦晤〸挷昴㈸㐰㈰ㄸ〳〱ち捥㥡搴㉢㈴摦摡㘶㌴㤳㑢㙡㤲㐰搵㌷ㅦ㐸晢㙤愹㜳㜶〶ㅦ㕥㠲㕡捡㡣扣挱敤㄰㤹搲ㄸ慡挳㡦㤲㑤挲摥㙤㤲㑤扦㠴㕤扦㐲㜳〷扤搵㝢㝢愹挲㐹愷昰ㄶ摢㙥㠳捣㕢㜳㑢㌷昹㥥昱摤摢㐳っ昸㠶㘲敥扣昵挲ㄳ㉡晤㉣挵搱㘱㤲㤰㘵戱㠹㜳㡤搰挵〲㔴攵搹愷㥥㜶㠰捤昳挵搱敡㝤ㅢ㥡晣ㅤ搳摦攴攳㜷㌶㝢搷昱攷つ㥤扥〲㤸晡㜶て㌳っ㡣㈷㌱っ㤱㔴㘳搸捣ㅡ㥡㌹㐴戱㄰㔰㕥〱㐳戴㉢挰晦㌴㐸㕣ㅦ〲挵㈰挷换㘲㌱攵攱〸㌶愹挲ㄲ㔵㌸摤㉡㤴㉣㐵㠱㡦ㄴ㝥㐹昹㌳㠲攰ㄹ㤰捣㕥戴愷ち昹㐰昱㉢搵捥㌷㜳ㄹ㉦㐰㉦昹慢㍦攲㑣戴换ㄹ㜹㐹户挶㔹㘸㤵搶㈸搳慣㤱㝥㉡敡攳愸㌸昷ㅡ㜹〴捦㔵㠵攵慡㜰㥥㔵㄰㉢㔰㤰晥愰㌷㐴昰愹㐸晡㠳搷㌹㥣㌷〰〲挱ぢ㐱㠰㠲㍥晥昴㔳搱㐵ち㜹ㄶ㈹摥㈱㤷昴〷换㔰ㄵㄷ〳㈹㌵搹㠶昶搴扣㕥㠲㔶愹挹〱㡥㥡散敦愸挹㘵㘰攲ㄱ晣㡤㉡慣㔴㠵换慤㠲戸ㄲ〵愹㐹ㄷ㑢㤳㈰ㄸ㡣て㌸愶て〱〲攲户㈰㤰攳昹〸搵搴ㅡ戴ㅡ慤愸㍢敢㜷㤵㐲昲㑤㐹挶攷㤴㈵昵㍢ㅦ㔵㜱戵㤲户ㄳ敤㈹晤搶愰㔵敡㔷攲愸㕦㍢㐷晤搶㠲㠹㐷昰㍡㔵㔸愷ち扦戳ち攲㐶ㄴ愴㝥挵扡㝥晦攰㤸扥〱〸㠸㥢㐰㈰昵晢ㄶ搵㤴㝥㌷愳ㄵ㜵㘷晤㙥㔱挸㑢㐹昱㈳㘵㐹晤昸㠲㈵㈱户㝥搸捥㘸㘱㑡扦摢挰㈲昵晢改㥦㑥捦攷㍦愲㌵晢昹晣づ㌰昱〸晥㐱ㄵ敥㔴〵敥攸昰㄰昷愲㈰昵摢〵ㄱ愹㌳搱㠷扥つ㍦㐰㈰㜸ㅦ〸㕣㌵戹㕦㈱昹㐶㈳愳㤸㕣㔲ㄳ扥㈹㐹挸晤ㄹ戶㤷攸㥡㍣〴ㄶ愹挹㑥㐷㑤扥㜰搴攴ㄱ㌰昱〸㍥慡ち㝦㔴㠵昵㔶㐱㙣㐰㐱㙡昲戹慥㐹㈷㡥㘹㑦愹㐹㌳〸㕣㌵搹愸㤰搷愲ㅢ㘳扦㤴㈶㙢㔰ㄵ㜲〷㠵敤㕤㜵㑤㌶㠱㐵㙡戲摤㔱㤳扦㌸㙡昲㈴㤸㜸〴㌷慢〲㌷㐵㘴换搳㔶㐱㙣㐱㐱㙡昲慥慥㐹㜷㡥改㈰愹挹㜳㈰㜰搵攴㜹㠵扣ㄱ㔲㡤㕥㈹㑤㙥㐰㔵扣〸㈴敦ㄸ〲攲ㄵ挸收㡡㠶ち㔶愶㌲捡挵捡昴ㄲ慡昲㙣搶㔷㈶昱㌲㕡戹㍡ㄹ㝤㐱㈶㕥㔵㌴攵慣㠱ㅤ昵㍣昱㍡愰戴挶昳扡㌵戸㜲挸〸搲ㄶ㐷㙢晣㤹慣㌸㠲㙦慡挲㕢慡昰戶㔵㈸搹㡡挲㝦㘷㤱攰㠶〴㝢戱㉦ㄲ敦慡昶摢㠸㍣㠲ㄶ攴㝢㡦挴㌶戴㥢挶㝢㈲挳㜸㐷㕢挶摢づ㝣戶昱戸攱㈰㡤㜷っ捤昵扥愲ㄹ愶ㅢ敦㐳戴㑡攳㌵㍢ㅡ敦㌱㐷攳㌱晣捦㈳昸戱㉡㝣愲ち㥦㕡㠵㤲捦㔰昸敦ㄸ敦㜳㐸㘶㉦㜶攳㝤愱摡敦㈶㜲っ㡤㜷ㄷ㑡㐲㙥〷戰㘹慣慥昸㔷愰㤶㡡㍦愸㉢晥㉦ち㘶摣昱㝥㐷挵晦㉥搱㔰晣㙢㔵㘰㠴㥦㐷昰ㅢ慢㈰扥㐷㐱㕥㐳昷㐱㐴捡慦㑤攴㜰㈶〱〴㠲晦〴㠱敢㌵昴㠳㐲㍥〴愱挶㜴㜲㐹扦挶㤷ㄹ〵㜷㈹攴〹㘸㙦㔷㔰挲戸㉥敦㘰㙣㜷㌱㍢㠷愱㡤㐷㠵㠴㜹㐵搶晦㐱敢晦㑥ㄵ㈵っ〶㑢捥㔳挴㠱㉢㠷晢戶㥤㘹㝦㡦㤳攴散晣㤵挹㜱挱摦捤晦挷晦㔸㈱ㄸ搴敤づ慣晤挷㐵㙥㠴戶㕢戱㡦㤱昵敢㉡㌷㔸〸晢慦慢〴ㄹ〶挶ㅦ〲㉥愶㌶っ捤愲攴㕤㥢ㄲ挶㜱㈵㐷㑥㉤昲㤴㍤戶つㄳっ攴㍡㡤㝥慤摢攸慦戵㄰昶㥦㐶〹㌲昴㡢㍦㐴㝦捣搱㌳ㅣ㡢改㜱ㅦ㝤㐹愹愲㜰ㅢ㙤㔰㠵㙦㡤㌰㘴ㅡㄱ㠲搹〴㜳〸愲〴㜳〹收ㄱ搴ㄱ挴〸昸敢攱㐶〳挱㝣㠲〵〴㜱㠲〴㐱㤲愰㤱㘰㈱挱㈲㠲挵〴㑤〴㑢〸㑥〷㄰っ〱㍢㔹收㉣㌷换㉣戳㄰昶摦㑣〹㌲㘸㡣㍦扣㙣つ㜲㜱㤶㌲㤰扢㝢㘷㈹愳扦慤㥦愵捤㠳㉡搰ㅢ捥昶挱收晦换㠶㔴〸㠶㠱㥤戴㌹摤㑤㥢㈵ㄶ挲晥〳㈸㐱〶㡥昱㠷㔷晡㥢摡㌰㤸㥢㝢㥥ㄹ改㤵ㄴ慥昳㕣〱ち摥戰ㄹㄷ搰晣㉢〸㉥㈴戸㠸攰㘲㠲㕦ㄳ㕣㐲㜰㈹挱㘵〴扦㈱㔸㐹㜰㌹挱ㄵ〴慢〸慥㈴昸㉤挱㙡㠲慢〸慥㈶戸㠶㘰つ挱戵〴㙢〱〴〳挸㑥㤶㌹搵捤㌲愷㔸〸晢㉦愳〴ㄹ㜲挶ㅦ㝥㔴ㄲ㜲㌱捦っ〳敦摥㍣㌳㜶㥣㜳㥥㑦敦㜴攷㤸敤㑢㕥ㅤ㘶愶㐵扣㍥㙣挱搰挰ㅢ㌷捣㝦㘷㤸㘰㄰搹㐹㥢ㄳ摣戴㤹㘱㈱散㍦㜳ㄲ㘴搸ㄹ㝦昸㠹㑢㔳ㅢ㠶㠲㜷㑦ㅢ挶㡦㜳㙡㘳㈶挷㍦㌲捣晣晦㘹敢晦㌷㠷〹〶㤲㥤戴㤹敡愶捤ㄴぢ㘱晦捤㤲㈰㐳捦昸挳敦㙢㥡摡㌰ㅣ扣㝢摡㌰㠶㥣㔳ㅢ昴㤲㤷㜷挱つㄵ昲晦昹户㤸晦㕦㜰㕦㠵㘰㌰搹㐹㥢昱㙥摡㡣戳㄰昶ㅦ㈰〹㌲晣㡣㍦晣㘸㠲愹つ㐳挲扢愷つ攳挸慤㙢戳㙣戴愹㐵摥㜱收晦换挶㔷〸〶㤴㥤戴ㄹ敤愶捤㈸ぢ㘱晦㌵㤱㈰㐳搰昸㐳摥㤶愹つ挳挲〵愸㜳㕣摡愱㔶慤扣㡡ㄲ挶㡣㈵㠵慢㐷㔱㘱㘴攳㑦㤰㘹㍣㐶戰㠱愰㤹㘰㈳㐱ぢ挱攳〴㥢〸㥥㈰㜸㤲㘰㌳挱㔳〴㑦ㄳ㍣㐳昰㉣挱ㄶ㠲攷〸㥥㈷㜸㠱攰㐵㠲㤷〸㕥㈶㜸〵㐰㌰ㄴ敤㘴㤹㥥㙥㤶㌹搴㐲搸㝦㘶㈴挸攰㌵晥㤰〳〴戹昰㈸っ㈸攷戶っ愳捤戹㉤愳〲搰挶㕢ㅣ昰摢〴㕢〹摥㈱㜸㤷攰㉦〴摢〸戶ㄳ散㈰㜸㡦攰㝤㠲て〸㍥㈴昸㠸攰慦〴ㅦㄳ㝣㐲昰㈹挱㘷〴㥦ㄳ㝣㐱昰㈵挱㑥〰挱㈰戶㤳㘵㡡摤㉣搳搶㐲搸㝦㝦㈴挸戰㌷晥昰攸て戹戰っ㐳搱㈸戹㥦㌳收㠹㤴扥昳㉢㘱摣㕡㜲戸㥤㐳㈶挷捥㤴㔷ㄲっ㕣㍢㡤摥敦㌶㝡㥦㠵戰晦㜸㐸㤰愱㙥晣攱攵㉤收攸ㄹ㝥摥扤敢㤷㌱敢㥣搷敦挳㕤㤷㝦㍡攵攱㍢㉤㉤ㅥ戱敥㠴㕦ㅣ㈶㥡挱改愴㑤㥥㥢㌶㍦㝤㙦摥搰摡㝦〹㐴㌰㤶㉡ㅦ戶昲㌱ㄲ㥥㝣晣〸ㄹ摡愴㡥晡昳㙢㤰㈱㑥晣㈱扤〰戴敤ち〴攳㝥改㔱愴㕦晢晡㥤搵㔹搶摤昳户ㄶ挲晥㔶昴㈰挳㠵㔲㜲㐰㑡㉥㘱〸㑦㕡〶扤㘹㐷摡㡢㤸㡤改㌳挲慣攳㔹㠰㜱㍦挹㤹晢捣㠸㔶㐸㡥收戸昹晦戶攵ㄵ㠲〱挰戴㌶㉦〰㉦ㅦ㔶挴摦摣戴昹捡㐲搸㕦㜱ㅥ摣〶㐹昸㐳㝥㠶愹つ挳㜸㌴㉢挷愵ㅤ㘹㙤㑡ㄸ攳㤳ㄴ㙥愳づ慡戰㥦搱〱㔲㡣㍤〸㍡ㄲ㜴㈲搸㤳㘰㉦㠲捥〴㝢ㄳ散㐳戰㉦挱㝥〴㕤〸昶㈷攸㑡㜰〰㐱㈹挱㠱〴摤〸扡ㄳㅣ㐴搰㠳攰㘰㠲㐳〰〴㐳㠷㑥㤶㜹捤捤㌲慦㕡〸晢扢捦㠳っ㌶攲㉦捦㌸っ㜲㜱攵㌳〰㤸摢㌲㡣づ收戶㡣ちㄸㅡ㘵ㅣ昰攱〴㝤〹捡〹晡ㄱ昴㈷ㄸ㐰㌰㤰㘰㄰挱㘰㠲㈱〴㐷㄰ㅣ㐹㜰ㄴ挱搱〴㐳〹㡥㈱ㄸ㐶㔰㐱㌰㥣㘰〴㐱㈵挱㐸〰挱愰愳㤳㘵ㅥ㜶戳捣㐳ㄶ挲晥㔲昴㈰摤㤹戴捣㜱㤰ぢ换㌰㜴㠸㤲晢㌹㘳㥥㐸づ㔷〰攳㡤㤲搳敤㕣㌲扤捡摡㘱收㝤攸㡤挳㤴㤷ㄱ挵攰㜴搲收㕥㌷㙤敥戱㄰昶㌷㥣〷㑢㤴㌶㤳㑤㙤ㄸ㍥摣㍤㙤昶㔴㥣㙥摡㐸㍢愸㘷晢戹摦㔵㤸㜵扣搸㠸挱㐷㈷㙤敥㜰搳收㜶ぢ㘱㝦㕤㜹戰慢搲收㜸㔳ㅢ㠶㄰㜷㑦㥢㠳ㄴ㘷㑥㙤㔲㜷㙣ㄳ㑣㙤㉡㈶㔷㠸㕥㉥摡摣散愶捤㑤ㄶ㈲敢摤攳㘵㤰㈴㍤晥挹搰㠱㤷ㄶ㍦愲慦㙡捤昰昸っ㑤捡戳昲㔴愹戹㘰㄰㉦㙤搳戴挷㕦敢㌶㡡㙢㉤㐴搶㡢扥㡦㔶晤搵敡愳㌸㐶戵㘶㡣㠲㌱㍥㌹㡡㠸㌹㡡㌱㉥愳戸搲㙤ㄴ慢㉣㠴晤慤摡挱戱㑡㜲㥤㤴㕣㌲ㄱ㜵㤴攴〷晦愹㈳敤愹捤ㄶ㠷慢㙥㤲攲昴㌴戳换慣㝢㜱捥散昴っ㙤搲敢捥㘵㙥摡㕣㙡㈱ㄲ㥢搷㙤㕦摥戵㘶昴昲㌹㤳愷〴㕦㘹慡昱㌱㤰搶摡㉢戲捤㕦㤹㤷慦㜷㈸㠱㌲扥〸搳ㅦ摢㐶捣㘶敥〳换㉦昷搷挹ㅣ搳㘲扣改㌶㡥摦㥦ㅦ㡦ㄷ㌷攳晤戶㔵㔱敢㌷㡤挷攲㠵捥晣昲愳㝡㤷慡㈱㙢㘴昶㐷㈶挵昱㜲搵㌶㤱戱〹㝣㝤扤戶〸扦㥦㥤挴㉦㠵搵晦ㄲ㌶挳㤱昵㕢挸晤㐱㥣昰晣捤晡㝣挷㠴摢昵㐰摢扦〶慡愵〱愴敤愱扥挲㥣捦ㄷ攴敥摥㔶戸㑣㤶㉥ㄴ扦挶㜴㥡㥢㑥换昲㘴扥㈸昳㕣㡤㈴㑥㐳㙣㈴㜰戸㜸て慡搱㠸慡愴㤷㈰㑦㥣㡡愹收㜴换㙡扥㔸攱㈸㘳㜱愶㡣㈶㥢㡣㕡㕤㐶愱㔸敥㈸㘳㘹愶㡣㌳㌲㘵昸ㄸ摢戳摢㉢㌳㘵挰㝣捦慣㑣捣〵㙦㥥昵㌳敢㐶㙣㤴昵攲㘴㕦っ愷搱慣㈲搶㔹昰挵慡㤲攱昹㙤㘳㈶ㅢ捦㈹㥡㈰慦㄰㕦㕢昶晢〷搸㕥㥦攱摡㔳敦㌴扢捣㔵㘰敥㠰戹摣㥤扢㘱昳愳て晦摡扦㜳攱㠶㔹〷戶㍤昱愹ㄱ㌷㕢㌷搵摦㔹愶晦敥㈷摦㔹㌰挴㙥昵挴搹捡捥㔷㄰っ㝤搲㑥慡攳㍢晦㕣扤㜰㔲㔷昷〱㠸㘵ㄸ〰〷㈱ㅤ昳㙣㡢㕢㜱ㅤ㕥㝦㠳㔸敦㡢扢づ㕦㥣愹㜳㌳搸捡扥ㄵ㤷戱摦摡㔳㝢㍥㍢摦㥤晢㔷㍡㜷搴攲㔶㕣愳㝢㌴收㕦㕤㌴捦㥤晢っ㥤㝢慥挵慤戸づ慢散昲改㡥㐱㜳摤戹㤷敡摣㡣ぢ㜳攴㡡换搴㍦攲捥㝤扡捥㕤㘷㜱㉢慥㉢扥昱㔷慦ㅥㅦ㜶攷㕥愲㜳㌳ㄲ捤扥ㄵ搷慥㕢扦㝡㜹挲慣搳摣戹㥢㜴敥㝡㡢㕢㜱㤹ㅡ捣㜴攷㕥慣㜳㌷㔸摣㡡换ㅣ挳㜴㜷敥㐵㍡昷晣㡣㤱㑦摦戰昲搹㌳㡦摤㜰挶〴㜷敥㠵㍡㌷愳敤搴㕢㜱㠵晡㑤敦摢敢搶㑡㜷敥㐶㥤㥢㘱㝡㜲㉢㉥昳晦晥挳收扢㕣㘸㈲愹㜳㌳扥㥦收敥㍦散㥦扦㥡扢㍥㜹昹〹挳摣㉥㔳㤱搰戹戹㌱㐰㙥挵昵挴愵攵㡢づ㍢戰摡㥤㍢慥㜳㌷㕡摣㡡换㜴ㄵ戵敥摣ぢ㜴㙥㙥㐵戰㙦挵戵㙤㑤㠷㥢晥戴㜱戶扢摥昳㜵㙥敥㘱㤰㕢㜱㜵っ㍤晥㑡敦㜰搴扤敦〶㥤㥢㥢ㅦ攴㔶㕣摤㝥晣愶㜱摢㥡〵敥摣昵㍡㌷㜷㑤挸慤戸㑡㕦㙥愸㙥昳㝣㤳㍢㜷㑣攷收㜶ぢ戹ㄵ㤷㜹搶㥣攱慥㜷㥤捥捤㝤ㅡ㜲㉢㉥换㍤扢昷㍤㑦攷收㙥㑣㙡晤㉢ㄴ㜳㠱换㕥㐳㝦㥢戹㜶慤捥㕣扢挴昹㤹㌲㈲㡥㌲慥挹㤴戱挶㈶㠳㝢ㅥ搴挲敢攲㈲㘶改㕡慣戰戸㍤慦っ㈱㥤晢㐲㡢摢昳捡㜰㥡捥捤敤ㄹ㡥摣昳捡㔰慤㜳㕦㙣㜱㝢㕥ㄹ㑥搵戹戹㈱挴扥㍤慦っ愷攸摣㤷㔸摣㥥㔷㠶㤳㜵敥㑢㉤㙥捦㉢挳㐹㍡昷㘵ㄶ户攷㤵㘱愶捥捤㑤㉦敡敤㜹㘵㌸㔱攷收㙥ㄹ戹㍤慦っ㈷攸摣摣㘶㈳户㕡㑦㤴㡦㜷昵慦㌳㜴㙥敥捦㤱㕢㜱㈹ㅦ敦捡㝤扣捥扤捡攲㔶㕣慤慥っ搳㜵㙥敥〸戲㙦挵愵㝣扣㙢摦搳㜴㙥㙥㈵㤲㕢㜱㈹ㅦ敦捡㕤愵㜳慦戶戸ㄵ㤷昲昱慥摣㔳㜵㙥㙥㕥戲㙦挵愵㝣扣敢㡡㌸㐵攷收慥㈷戹ㄵ㤷昲昱慥㝤㑦搶戹戹㕤㑡㙥挵愵㝣扣㉢昷㈴㥤㝢㡤挵慤戸㤴㡦㜷攵㥥愸㜳㜳㠳㤶㝤㉢㉥攵攳㕤昵㥥愰㜳慦戵戸ㄵ㔷慢㉢挳㜸㥤晢㐶㜰㙢㉢挳㌸攰戲㔷㠶〷㌳扤晡㐳㌶慦㝥㕢愶㡣㌱㡥㌲ㅥ捤㤴昱㐷㥢㡣扢㌳㘵㔴㍡捡㜸㉣㔳挶〶㥢っ敥㄰㙡扡っ㜳㤴搱㤲㈹攳㜱㥢㡣昵㤹㌲㡥㜲㤴昱㘴愶㡣捤㌶ㄹ摣㠷㑢㥦挷慤㍦㐲㠹挱攸㈵昵〴昳㤸挵敤㜹㤵ㅢ愴㜳㜳攷㡦㝤㝢㕥攵〶敡摣捤ㄶ户攷㔵㙥㠰捥捤扤㐶昶敤㜹㤵敢慦㜳㜳㤳㤲摣㥥㔷戹㝥㍡㌷㜷㌷挹敤㜹㤵㉢搷戹㌷㔹摣㥥㔷戹扥㍡昷ㄳㄶ户攷㔵敥㜰㥤㥢ㅢ戱ㅣ戹攷㔵慥㑣攷摥㙣㜱㝢㕥攵づ搳戹戹昵换扥㍤慦㜲㝤㜴敥愷㉤㙥捦慢㕣㙦㥤晢ㄹ㡢摢昳㉡搷㑢攷收㉥㌵㐷敥㜹㤵敢愹㜳㙦戱戸㍤慦㜲㠷敡摣摣ㄷ㘷摦㥥㔷戹㐳㜴敥攷㉤㙥捦慢摣挱㍡昷ぢㄶ户攷㔵慥㠷捥晤愲挵敤㜹㤵㍢㐸攷收摥㍦昵昶扣捡㜵搷戹㤹㌴㐰㙥捦慢㕣㌷㥤㥢搹〶攴昶扣捡ㅤ愸㜳㌳愷㐰㕢ㄹ㑡㠱换㕥攵戶㘷㝡昵ㅤ㌶慦捥ㅣ〲㡥挰㕡㕦㕢つ㡣㠹㉥晡〸㤸㝣㐰㙥捦㕥㝤㍦㥤㝢慢挵敤搹慢敦慢㜳㌳摤㠱㝤㝢昶敡晢攸摣敦㕡摣㥥扤晡摥㍡㌷ㄳ㉣搸户㘷慦摥㔹攷摥㘶㜱㝢昶敡㝢改摣㑣改㘰摦㥥扤晡㥥㍡㌷㜳㐱挸敤搹慢㜷搲戹㤹㐴㐲㙥捦㕥扤愳捥晤扥挵敤搹慢敦愱㜳㝦㘰㜱㝢昶敡ㅤ㜴㙥收扢㜰攴㥥扤㝡㔰攷晥挸攲昶散搵㑢㜴㙥㘶搸戰㙦捦㕥扤扤捥晤戱挵敤搹慢户搳戹㍦戱戸㍤㝢昵㘲㥤㥢挹㐰ㅣ戹㘷慦摥㔶攷晥捣攲昶散搵〳㍡㌷搳㡦搸户㘷慦㙥攸摣㕦㔸摣㥥扤㝡㤱捥晤愵挵敤搹慢户搱戹㜷㕡摣㥥扤扡㕦攷㘶㍥㔴捡慢攷ぢㅦ㜰搹㕥㝤㔷愶㔷晦搱收搵㜷改㌲ち㠵㜰㤴㤱㠷㉦戱㙡扢㑢〲㔵㙤㜷㈹㤸て㤹㜲挳戵㠰㠸㐲〲ㅦ㌹〴ㄳ㝦戴〱㝥晦㥤㌵挰㑦晢敤㤳摥扡㉡㤲愴㜲慢㡤㕢㔷〶搹㕢戰㌵㘲㙤㕤㌱挵㈷㈵愳㔰晣㐳挹挸搳户扦㡡㈹〳㍢㕦㌸㈸愳㥤㑤〶ㄳ㙢㌴ㄹ㕦㌹捡〸㘶捡攸㘰㤳挱㐴㥡昴〹敥攱愱收㜳昴㤲㝡愸㘱〶づ戹㍤㉦㝦㥦改摣㑣摤㈱户攷攵敦㔳㥤㥢㌹㍦攴昶扣晣㝤愲㜳㌳㔹㠸摣㥥㤷扦㡦㜵㙥㘶ㄹ㤱摢昳昲昷㔷㥤㥢改㐹攴昶扣晣㝤愴㜳㌳慦㠹摣㥥㤷扦て㜵㙥㈶㐴㤱摢昳昲昷㠱捥捤㑣㉡㜲㝢㕥晥摥搷戹㤹㠲㤵搶㝢收〶戵㤰戹㠶㔳摥搳戹扢㘴㡣摣挳愶捥づ㥤㥢㐹㕦散摢昳昲户㕤攷㘶戶ㄸ戹㍤㉦㝦摢㜴㙥愶㤹愵戹㍤㙣敡晣㐵攷㉥戵戸㍤㉦㝦敦敡摣㑣㙣㘳摦㥥㤷扦㜷㜴敥㙥ㄶ户攷攵㙦慢捥捤㔴㍡昶敤㜹昹㝢㕢攷㘶づㅥ戹㍤㉦㝦㙦改摣㑣摥㈳户攷攵敦㑤㥤㥢㔹㝦攴昶扣晣晤㔹攷㘶扡㈰戹㍤㉦㝦㙦攸摣㑣ち搴扣晡敢挰㘵㉦㝦扤㌳扤㝡ㅦ㥢㔷㘷ㄲ㈰㐷攰昹愱收㘵㝤〴捣ㅥ㈴户㘷慦晥㤲捥捤戴㐳㜲㝢昶敡㉦敡摣捣㔷㈴户㘷慦晥㠲捥捤㐴㐷㜲㝢昶敡捦敢摣捣㤰㈴户㘷慦晥㥣捥捤搴㑡㜲㝢昶敡㕢㜴㙥收㘴㤲摢戳㔷㝦㔶攷㘶㌲㈷戹㍤㝢昵㘷㜴㙥㘶㠱㤲摢戳㔷㝦㕡攷㘶晡㘸㕡㙦て㕥晤㈹㥤㥢㜹愷改㤱㝢昰敡㥢㜵㙥㈶慣㤲摢戳㔷㝦㔲攷㘶愶㉢戹㍤㝢昵㈷㜴敥愳㌳戸㍤㜸昵㑤㍡㌷㜳㙢搹户㘷慦晥戸捥捤愴㕣㜲㝢昶敡㉤㍡㌷戳㜹挹敤搹慢㙦搴戹㉢㉣㙥捦㕥扤㔹攷㘶晥㌰晢昶散搵㌷攸摣㈳㉣㙥捦㕥晤㌱㥤㥢ㄹ换散摢戳㔷晦㤳捥捤㔴㘷㜲㝢昶敡敢㜵㙥㈶㌴㙢㕥晤㡦挰㘵㝢昵搱㤹㕥㝤㡣捤慢㌳㡤㔸㤳昱㤰愳㡣攳㌲㘵㡣戳挹㘰昲慥㈶攳㍥㐷ㄹㄳ㌳㘵㑣捡㤴ㄱ㍣ㄹ㌲攴㠳搱ㄴ㈲愶ㄲ㔴㤱㐳㌰㍦㌶㈵㍣㕦摣慥㠴㘷㍣ㄸㅤ㉦㐹㔳て㐶㌳挸㥥㝥㌰ち㌲ㄳ㔶ち㍦㤱㠸㤹〴㈷㐹づ愶扤㙡挲㙦㜰ㄴ㝥慡㈴㑤〹慦㈶㝢㕡戸㘰㠲㙢㑡㐶愱戸㑥挹挸㜸敡㥡㐵ㄹ改愷慥㥡㑣ㄹ㍥收㈴摡㤳晤㕣㤳㈳昹散戶㥢㉦搶〹愳㕦挱㡣㐷捡㌰㈲慣挹攷㐰晣捦㤴㐶づ挳㤸捤㔶㘶㌴㑡㥡㌹㍡捤㔲㐵ㄳ㘵㉢㌳ㄶ㈵捤㕣㥤㠶愹㈱㔲捥㍣戶㌲㌳㐴搲搴改㌴㑣晤㤰㌴㌱戶慥㔱㌴昵㍡つ㌷ㄲ㈵㑤〳㕢戹㡦㈸攵捣搷㘹戸㔱㈸㘹ㄶ戰㤵晢㠴㤲㈶慥搳㜰㈳㔰搲㈴搸捡㝤㐰㐹挳摦ㄳ㘱㐱㝥㕡ㄴ㑤㈳㕢戹捦㈷㘹ㄶ敡㌴摣挸㤳㜲ㄶ戱㤵晢㜸㤲㘶戱㑥挳戰戰愴㘹㘲敢づ㐵戳㐴愷搹愵㘸㑥㘷㉢㘳っ㔲捥㔲㥤㠶㐱〴㈹攷っ戶㌲㠶㈰㘹㝥愵搱昸ㄸ㐰㌸捡㤶戵愹㥤㌲摡敢㔶㝢攳昷㠱挲昵戵㘱㘶㠱捥挷㑦ㅦ㌵㡤慡㑦挶昹㉡昲扣㠲㜱攱㈶㥦㑣㈰㉤捣㍦㜲昷㘴㌱㡦㤴敦㙣攲挷㜷ㄶ捥晤晦㐰づ㤵㑣㘷㜹㔲攲搱昸ㄴ攵晢〵〳㈵㔴㔸㉣㐳て散㘵愸㐴〸挱攰㠹㐴㥣㘹㈱㤸㜴㙡㥣㑤㔲〶㑢愴ㄱ捦㘱㡤戱ㄲ㘹挴㜳慤〲㉢㠲挱㄰㐹戳㥣慤㡣㠵㐸㥡昳㜴ㅡ〶㍢㈴捤昹㙣㘵慣㐳搲㕣愰搳昰搶㔹搲慣㘰㉢敦㥣㈵捤㠵㍡つㅤ戱愴戹㠸慤昴挳㤲收㘲㥤㠶㡥㔶搲晣㥡慤昴戳㤲收ㄲ㥤㠶㡥㔴搲㕣捡㔶晡㔱㐹㜳㤹㑥㐳㈷㉡捤搲㘰㤹㐵ㄹ㤲㡥㔵㈲敡㙤㠶愴戳㤵㠸㤸㙥挸㉢㈸㤴捥㔵㜶戸㡡㌵晡㔶搹攱㤵㔶㠱ㄵ㐱挷㉡搹愳戶づ改㙣㈵㘲㡥慤㐳㍡㘰㠹㤸慤㜷㜸㌵㠵搲攱捡づ慦㘱㡤晥㔶㜶戸挶㉡挸づ改㔰㈵捤戵㙣慤㔱㌴㙢㜵ㅡ改敤㜸㍥㘴㝣攷㠱㕥㑦㉥〶敢㔰挰㜷敤愴扦换愲愲摦㤳㔴搷㥢㔴搲攳㘵㔱搱昳㐹慡ㅢ㑤㉡改昳戲愸攸晢㈴搵捤㈶㤵昴㝡㔹㔴昴㝥㤲敡昷㈶㤵昴㝢㔹㔴昴㝦㤲敡㌶㤳㑡㝡扥㉣㉡㝡㐰㐹㜵㠷㐹㈵㝤㕦ㄶㄵ㝤愰愴扡搳愴㤲摥㉦㡢㡡㕥㔰㔲摤㙤㔲㐹晦㤷㐵㐵㍦㈸愹敥㌵愹愴〷捣愲愲㈷㤴㔴昷㥢㔴搲〷㘶㔱搱ㄷ㑡慡〷㑤㉡改〵戳愸攸つ㈵搵挳㤲慡㠴ㄷ晤っ㔰攵㉦ㄶ㌵愷搵㥥㜶摡㜷㈵㠵愵晢ㄶ㥥㔰㔱㝣搵戶㘷㜶慣㝣昵攴愱ㅦ敤㕡戳收搵昷㔷㙥搹戵㝥搶搰捤搷㕦扦改戸敢戶散搸㈳戲㉥晦挱敦挶慦㕢㕡㍥㙦改㠲挸昴㕥㘳㤶㥥㌸㜷㑡昹攴づ扤ぢち摡戴㌹愴攳㔳㝢ㅦㅡ㕣戶攰㘱戱昱捤捥昵攲ㅣ㜴㈰㑦挴㡣搳㠹晥㐴づ攳㔱㌹っ㈱㍤㐹搶㘰改㔱㈴搵㝡㤳㑡晡㤲㉣㉡晡ㄴ㐹昵㤸㐹㈵扤㐹ㄶㄵ扤㡡愴㙡㌶愹愴㍦挹愲愲㕦㤱㔴㉤㈶㤵昴㈸㔹㔴昴㉣㤲㙡㤳㐹㈵㝤㑡ㄶㄵ㝤㡢愴㝡㔲㔲㤵搰㉤晣㔷㑤㉤㍤㑤搶㌰攸㜱攴㌰㥥㌲㠷㐱㘷昱㕦ㅤ㠶昴㍦㔹挳愰ㅦ㤲挳㜸㐶づ㐳㐸て㤴㐵㐵㑦㈴愹戶㤸㔴昴㌶搲摦昵户晣摤〸戰ㄴ〹㝣晢㕢㈱晡搹㄰昴㈹㤲愳摣㠶愰ㅢ㤱㠸扥㌶〴㍤㠷㐴ㅣ㙥㐳搰㔹㐸㐴㤹つ㐱晦㈰ㄱ㠷搹㄰㜴〹ㄲ搱挷㠶愰ㄷ㤰㠸摥㌶〴㉦㝣㠹攸㘵㐳昰㕡㤷㠸㥥㌶〴㉦㙦㠹㌸搴㠶攰ㄵ㉤ㄱ㠷搸㄰扣挶㈴攲㘰ㅢ㠲㤷㤵㐴昴戰㈱㜸㈵㐹挴㐱㌶〴㉦ㅥ㠹攸㙥㐳昰㝡㤱㠸㙥㌶〴㉦ㄱ㠹㌸搰㠶攰㔵㈱ㄱ愵㌶〴捦㔳㠹㌸挰㠶攰㤹㈳ㄱ㕤㙤〸㥥㉣ㄲ戱㝦㈶愲敤晦〳挱扥㜰ㄳ</t>
  </si>
  <si>
    <t>cb1ac431-465b-4466-87df-08d190d35777</t>
  </si>
  <si>
    <t>㜸〱敤㕣㕢㙣ㅣ㔷ㄹ摥㤹摤㔹敦慣敤搸㡤搳㑢摡㔲っ扤搷搱ㄲ愷㐹㉦㤴㤰晡㔲㈷㙥㥤挴㡤㥤ㄴ㔴捡㜶扣㝢挶㥥㘴㘷搶㥤㤹㜵攲㔲㘸捡愵愵㕣㠴㕡ㅥ㘸戹㤶ち㔵昰〲㉡て㔵ぢ攵〱〹㠹ちㄵ㠴㐴㠵挴〳愲㈰〴て㈰ㄴ㠹ㄷ㠴㐰攵晢捥捣散捥敥㝡挷敥戶〵ㄷ㜹㤲晤㜳收摣捦昹慦攷晦捦㈴愵愴㔲愹搷昰昰㕦㍥ㄹ㈶㉥㥤㕢昵㝣㘱ㄷ㈶慡㤵㡡㈸昹㔶搵昱ち㘳慥㙢慣捥㔸㥥㥦㐶㠵㙣搱㐲戹愷ㄵ㍤敢㝥㤱㉢慥〸搷㐳㈵㉤㤵捡攵㜴ㄵ攵散㠴扦挱攸㐵㘷慢扥っ挰晣挴昸搱㠵㤳攸㜵捥慦扡㘲搷昰㠹愰敤晥搱搱挲㘸㘱敦㡤愳㌷ㄴ㜶敦ㅡ㥥愸㔵晣㥡㉢昶㍢愲收扢㐶㘵搷昰㙣㙤愱㘲㤵敥㄰慢昳搵㔳挲搹㉦ㄶ㜶㕦扦㘰散扤㘹㜴敦扥㝤收捤㌷摦搴㠷愱㔳㐷㈶挶㘷㕤㘱㝡㙦㔲㥦ㅡ愷扣㜷㔲㤴㉣慥㑤〸搷㜲ㄶぢㄳ攳昸ㅢ㥢㍦摥㙥㉣捣㉤〹攱㜳㘸攱ち愷㈴㍣ㅤつ㝢敤㌱捦慢搹换摣㍣摤㥥挲㔲㑢㠶攷㙢昶㠴愸㔴㜴㍢敡㌵㘷ㅦ挵摥㔵㡣搵㍥㝢㑥㌸㥥攵㕢㉢㤶扦㥡戵攷搱㔱戹摦㍥敥㠹㘳㠶戳㈸㡥ㄸ戶搰散㠳㌵慢㥣〹㥥㔴晡敡愸㡢昸挴攴昲ぢ㘳㥥㍤戱㘴戸㜲㐶ㅥ㌷㈶愱敥㤴㕢㙡慥㝢㜹攷㝥㌹㜵㌹〲晢扣戲㜳㍤㤴㥣㌰摣㝡捤㤱捥㌵挳挵㌷捦攰㍤㥤敢挷昶愸戹捤戵㥤摢挸慤㙣慥慤昴㠶昴㉤㜷ㄴ㡢搱戳〴㍤〴㌹〲㈲㔰捦ㄳ昴ㄲ昴〱㈸㤹扦㠳㑢攲つ㔹愴ㄶつ戵戸愰ㄶ㑢㙡戱慣ㄶ㠵㕡㌴搵攲愲㕡㕣㔲㡢㤶㕡㍣愹ㄶ㑦愱㑥昴攴㝡㝡搴昰昹搵㑢改㝦㍦昸捤㠷愷㥦㤸㤹晡攷搴敦扥㜷㜷摦㌶㔴扡㌳㥣搴愴㙢㥣〶愹㌵愸㜸㑦㘱㌷晦慣捦ㄵ㘰ち㜳㥦㜹愳㌹㍡㕡摥户摢戸摥搰戸慣〴攴㌷ㄱ捡㈰敡昶㤹㜷㔹㑥戹㝡㕡攲敥搲㜱挳ㄳ㡤㡤ㅢ〹换挶慢㌵愷散㕤戲㜶攱㥣㙦昸攲攲搶戲㐶㈷㙤捤收挰㔶挲㤳攳㕤搶摡散㠴㔱愹㠹戱㌳㔶㔰晣㡥㤶㘲㝢搶慤㉥㜴㉥㥤㜲挵㝤昵搲戶ㄹ㡤㐱愸慤挸扥摢㔶ㄹㄴ〵昳ㅡ㥥㔸慡㝡挲㤱搳ㅢ戱㘷慤搲㈹攱捥〹㡡㐴㔱㤶㑢㍤㥦㐵㈱搷㡦ㅣ㜵戰㔰㜰㙢昹摤昱㕣昳戶㌳㍥㤸㔹㤴㌱摦㘵攱晡慢昳挶㐲㐵㕣搰㔴㈵ㄸㄳ〵㍢㥢戲愷慡愵㥡㌷㔱㜵㝣户㕡㘹㉥ㄹ㉢慦ㄸ㤰㌴攵挳搵戲挸㘴㔲㔲㈸㐰攰愶搳㡡㤲扡慥㌳㉦㐸㐴挴㔰㑣㐶扥愸㤹散ち挷戰㍡慣愲㈲㐸㤳敡ㄵ敢㜴挶昹㑡ㄹ㤳挰㠱戱㌵㔱㝦㜰搰㙢搶改戶㡥戹户戶戲慡づ㠵慢扦㙤㐵㌸晥㈱挳㈹㔷㠴㥢愸晤ㄴ捥㐸ㅦ〰搰捥㐱㈰㜴摣㍤慡㍡攵㡣戲慡㥤戶捡晥㔲㜶㐹㔸㡢㑢㍥昲愰㈱㜳㌹㙥㙤摢愳㥦㠷㉣㝤㍢挱㄰㐰㍥㥦捡敥㘰愵㙣ㅥ㑦㑡愳㜴㑡攰攵㈶㐱捥㜶㑤扣摣㘷㑥㔹ㄵ㕦〴㐲㜹挰〴㐶〲慤㈶搱搷㑦ㄲ㜵㡤㔲愰㌰㜶㤸ㄳ愰㔲挳㜲晣搵〶摦戶㜱㐹㐰㐴㕢戲㘰搳挹〲㡡㠲㘶㜹㤰挰㙢㈰㥡ㄶ㘹㤰㕣㌹㐶㐴㘴㠳〴捤㡥㥥㥢㠹㡣昵ㄳ㘴〴敡挷㠹㤰戵㜷㜷㤶ㄱ㈴昶㜶㈲㘵愳㡥晣戸㈵捤搶戲攵〳㘹㜶㍥㌶㑥扦㠰攰㐲㠲㡢〸㜶〲㈸㝦㠲㠴愳㤴㐳扡昹搱㉦挱扢㝥㈹挱㍢〰㈰㥦㜴捡㥣㔰㔴搱㠶摡㠸ㅤ挹㝡晤戰㤳愵㔱ㅣ㠸㈲㕡挶㜵㍢戳摦㤶㠸づ慤捥捤愱㙢㌳㔲挷㕥搵㤹㌶攳换㈱㐵㈶㔴㡤慦㜵㥤慡昱㡤㘰搵㉥昵搶㍢搱㔴ㅦ㈶㜸ㄷ㐰愰㔸㘸散㙥捣㥡愷㌹昹戶㌰㠹〲㐳愸㑢攵ㅥㄲ㌱捤晦〴〱搷㜶㜴搹戲㥦㘹ち㡥㤸㙦㝢晢㜹㔷㘷摥づ㤱摥愲㌳户㜴づ㝤㐵慦搳㠲㝥㌷搸㑢昹㙤㐷晤㜲〵㡡昵㉢〹慥〲㘸搱㉦㍣㜹扦㕥㉦㠱㌴㠹敤ㄸ收戶搳攳㈲㉤摣昹搵㘵㈱戵㑦㥦㌹㙦戸㡢挲㠷昷㘲㝡ㄲ㜶㜰搵㜵㐵〵〷摡戲捣攰搹攵挲收㑣㙦捡慤摡捣摦戲㡦扤户㠵㘲挸㘴搴㜴慡挵㍥㑥戰㌳㘳晥愶ㄸ攵㔰晦㕥摦㔹㐸挴ㅡ㌵㤳ㄷ摢㈵㥦㉤户㈴㐹ㄷ㤲攴ㅡ㙣慢㝥㉤〰愴㠴昲敢㡥ㄲ㘵㠴搵㜶挹㙡捤搶㉡扤㝢〹㈷㤳ㄶ晦㘱㥢ㅣ改つ㥣戵攳昰ㅤ㜸晤昶㥣㘵搷㠵㐵慦㍤㉢摣ㄲ晣ち㔶㐵攴〳㤷㉣㐵捤㤶慣㜸㥢挸㡡㜴扡敤㉣㥤攰㕢㤳㜴搲㈲㈵ㄲ戹㍤戱㌰攱ㅣ摥㈰㉡扡㈰㈹㔴ㄲ摣㐲㜵〹㐴捡㘳摤㉤ㄱ搳㠵㠸㈹㘰攳昴昷㄰散㈶ㄸ〵搰㝥〱㐹戳搱㡤㘷㈸慣㘷㠵敥散㘲㌱㤵㈳ㅡ愴㝢昰攷ㅤ㠵搵㕥づ戳㡦攰〶㠰ㄶ昳㠷捥挷〴㐲㤴㈸㡦ㄱ㈲慤㈵摤㍣㘱㠹搳愴㠱㙤㈶㠲㑡ㄳ㌵捦慦摡㡣㉡昵㥢㤳搵㈳㔵㝦搲昲㤶ㄱ㠵ㅡ㌲挳挴㕤㑢挲〱㜵戹戰㝤㕡昲慡换换愲慣㥢㜳搵ㅡ㐴摢昴攴㘶㌸㤴㘳㝤戰㈵攵戹㕣㔵昰㜴㜷㌶㐶ㄷ㡡㍣ㄱ挳搷㑡㑦散㠶㍣摦㍣昴つ㌴㜶㜴摥昲㉢愲搷っ㤸㡥改㥣㠹㕤㐴搴愰摣㘳捥㉦戹㐲㑣昶㥢〷㕤慢㕣戱ㅣ㐱㘴挰挶㘴愰㙥㐶㉣㈲㐲㌰㕢㘵晣慦敡昴㥢昳慥攱㜸换〶㠳㠹慢摢㥢摥㘴㐸㐴㌳挷㉤挷挳㌰ㄲ㡢㑣て㤸㜳㑢搵搳㠸搶搶㙣攷愰戱散㙤ち慣㤰攸㠳㐷愲㐶㔱ㄵ㔵㔵㜲㙡慥㕢晣昰㐰㥥㑡敤挱㉦㐳㈰㜱㤵搲攸㉦㑦搰摥戴敢挳昸っ敤㜴捥愹て㤱愳㝡㘶㍡㔱ち㤳㔳昵㥢搸收㘶㠰摢てㅥ㥦㙥㐴攵摥㔰扣㕡愳㠷㍦㐱挶㑢戲愸〷㐱攸㥦摢ㄶ㤰ち昳㐸㌹攰㐰㘰㥣㙦慤攴㤷㌷㘵ㅤ㔲摦戶㐶㜲ち㔱愴㍥㜳挶㔸㄰ㄵ挴愲㙤挳摦ㄶ扣搰㡣戵㡤㡡ㄷ㤶㑤㔴㙤摢㈰㘹㤱㉣攷㑡〶㈹㜸慣收㔷て㕢㡥㙥〲㐸晡ぢ戳㡣㌳挸㌲捥挸慣㍥昳ㄸ挳㠲㌲捤扥慡㡢㠶㙢昹㑢戶㔵捡昱㠵愱扢㑤㐱㤳㘰㜲㑡摥攸㠹㘴挶㜰㡢㌵㝦ㅣ㈶㥢㔷〰扡ぢ㤰愳摣㍡愲ㅦ㤴慢㉡㔹晣㔱扡㜴㉣㐱挰㐸㉦愹㝥ぢ㝡搳攴捤〸㠸ㅣ昹㥣㡢敥㕦㥣㝢㄰㌹㠱㕦㡥㔸㑦㈰ㄱ㜸〴㘳㐲㥥敥敤慣㜹摣戱㝣㘰㡦ㄸ㥢戲晣㐹て㈸〷㐰㔲ㅥ㙦㉦㤶㔸㡤㌵ㅡ愹㙢㠵㜷戶ㄷ㌵愹㠹换摡换攳㝡攳㡡㌵㡡〳㡤ㄲ㔳㈴敢㔵㤲㥡㘵㡤㌹㙥㈶㔵愳㐸挵ㅤ㘹ㅢ㈵挹㙤摡搸㜷㑡㤱㌷愰㤸㈴捤愴昴晤㤲㔰㄰攴㈵㜵㐰㐷搱㕦㥦㑣ㅥ戱㘸つ㙤㠰㍣昵㔴㤰搷ㅦ㠶〳愷㜱攵愴㉣昲攱ㅢ昸㝢㕢㤸㍣㕡昳㥢㑡㡣㌳㐳㘱挹㔸愵㜲搴㠱㤵㔰㌲摣昲㈶㘱㘹慣㉤搰㌰㤲㍢扢搵晥挱昶挶ㄸ㌱㘴㐳㠶㐴ㄲ晣挰㘰㐳㌰㔷㉣㥡㑡敢慣㥦㕢㕤捦捥昱敤戰㌰ㅣ㠹㠱㌹扦㍣㈹㔶愴ㄹ搶戰攴㠷㘴㠳晡㘹㔱捡㔱摤ㅣ㕢昰愰搲㝤捡昱㌰㈵ㄹ㕣㌷㡦搱㉤㠵ぢっ㄰扢㘱㙡戶攴㈳慣㕢敦㠰㈷㠳捤㠳ㅤ散㐸㄰㌶愱㜵㐶〹㥡㑤㈰摣收㐵㤰㜷扡挴㈸〴愹㈹㥦扦ㅤ㔰扥晣㈴㥦敦ㅣ㐸㐵㠹㤰㠹ㄸ敡㑡戰ㅥ㠰摣㜸㔴㤲㕣㌴ㄴ〵换〳挹㈶㠵㔶㕦㤴㐷ㄳ愳㥦㈶㥦敢攳〶て攳㔸〳㘴㥢ち敥戸昹ㄶ戴㘹㘵㜵㥢㌹敤㤴㉡戵戲㤰慡㌸㤲搵㔲㈳㙦ち㝣挹敢㝦〱㌷㈵散㑢戸㈹搳㌸㑡㜱挹㐴㔲昷㜶户晥㝥㌴㤷㐲づ㝤〴戲㡤挱挷〴户㥣っ㠶戵摤㔱愰㝤戸扤㜱㜹㐱㕥㥣㠳㐸㙢换愲㉣㥢挱㕤扣㝡〴㔹㜲㕢慣摡㑣㜵愶㑡㥢㍤㤶㜵挸ち戲㌶〵㡥戰捥㐰攰㘵戳㌰㐶扡攴づ㜶㤲㍡ㄷ㐶㜶捦㍤㈸㕦㔳攷づ㠴挶㠷挲昸㉥㑦㐱㈹散㉡ㄸ㠹〶户摡戰扡ㄵ㐶㝥㘹㜹敢户〲㈸っ〱搳愰㐵捤挰挰ㄹ㐷㝡㝤〳㠷挱挸㠴攸㘸㍣㤰捡ㄸ攵㄰ㅣ昶㐰ㅡ戸㠹〷改昹㉡㤴㤰扦㐳㕥ち㡢敥㈵㡥搸㌸〲㔵摤ぢ㕡㌲㘷つㅦ㔷㕦㥣㥤㉤搹㘳攵㌲捤㕤昸攷㌶〵㔶㜱㙤㈳㌰㐷㜷戴㕣挸㤲㙢愲㝤㜷㜹㑢㐱㜸㔱㜰捦㘴攱㤰攱㤷㤶收晣搵攰搲㔶户㈴愱晤〸晥㠸㌵㐷愷捤㥣㜱㜸〹㜵㠵㝢㥦㍦攵㔴㑦㍢㜲㕥㥡挷ㅢ㝦戴㘲昵㥥ㅥ㑥㌲㥦㝡つ㝦攴愳愶戴ㄷ搱攳㐶愶捤づㅡづㄲ昶㈳㥦㐰ㅡっ㈳㥤㐰㈷戰摤敢㌷〶㐸㈷㍢㕡攸㐴ち㠲㉤㐲㜱ㄶ摦㌴㐲㔱㝥〸戴㤲㔸㠲㈳㌹昶晣ㄹ戰扥昲〳攴㄰攱㜸て挵㠸昶㉥愴ㄲ㔰㈷〵㜹㜸扤㠳㤷㐱晥㝦戰ㄴ㜱昳㥡散昴㕦㘰㘶攵㠵㔶ㄴ㕤㐶ㄴ㍤摦㡥㈲〶㘲㕦㔷挸㥢戳摦㍡㙡扥攵搷㝡晦㠷㐷捤摢㠱㘱㍥搲ㅡ㐳㔰㡤挱昸扡㌱㤰㙥㌳〶慥㐴戱㌴〶敥㘰ㅢ挶敢〳㘳㈰昴㜶ㅣ㐶挶晡挶〰愳㜸〹㈶㕦㉣愸ㅡ㜳㘰昰慣㜵㠱㑤㑦搸㈱㕣慦ㄵㅥ㈲昷㔰㑦摥〴㝣㑦ㄷ戶㘷捦ㅡ慥㘱敦㤴昹〷㕤〱戵攵捥攳扥戶㙣挲ㄶㄷ慦㔹㈲ㅢ慤攱㤵㠸晣改㕢㥥㤳㡤摤㔲〷愶㠲㈷㜰搴㉢㌹㈵晢〶㝣㈲ち㑦〸愹㡦散昸敥挱摦摦晦挹〳扣㤷ㄶ搲慡挶㐰㜰㌷挱㜹㕡づ〸摦挶慥㠴㥣捦捦㙦づ攳㐳㈴㙢戹㈲挶つ㔷摡㍢㥥㙥㐷挹㠰昰㘲㠴ㄹ㄰摦㘶㌰㈶㜱挳㈱㌰㈶ぢ㉤㡥㑤昹昹㤲㜴〶ㄶ㘲ㄳ㤷摥扢㈸㐰愸㜴㔴㔹㕤摡㤵摡昷愱㜴㕥攷㐴㥡敤㐱㥥㉦昹㈸捡戳慤㕡㙤ㅦ戵㥡㌴ㄳ㤵ㄱ搴㠸愴ㄴ㈲つ愴㤰昸㤱㠵愱㝦㈹愵㘶㤱搰ち〰〹㌱戴搶㘰㉥㑦晥㕢㐲㐰搴慦昷㜵昹愹ち㜶ㄱ㔸㡣扣敥摤㥥㕤㘹㜵㐶慡㠹㐱㔹㜹晡戸ㄳ〹㜹㑣㘱〶愳戴㌲昷ㄸㄲ搱愳㡤㈲戵㘱挷ㄳ〷改户㠳㄰㕢挰搸㥡㑤慦㕡摥扥捤愹攱㡥〷昴㑣㔶㉡っ㘷㍢戳㜱昴㤴搱戸愰㙡㍥挸㈲ㅣ〸㤲昵㐶扤㘱ㄱ㜴㤶戳ㄳ攷㑦㠴昹昸㍤㄰换㐷ㅡ㕤㥦摦㕡㐲ㅤ攷昴㘰㠱晣挱晥扡㉣㠱戱㌱㉡㌹〶ㄲ㜶㐳戵㜲挱㈵昰㌹㌴㤱昶扣愲㌷㤲ㅣ㑢㔱ㄸ㡤㡥㌸㉢慤戶改㝦挶愹㈵㘷捤戳㌶〳搶㑤晡晦〴㌲搶搵晦ち愳㙣ㄲ㘵㜷㠵〹扥㘸㡣㤴慣ㅢ㥣攱㡥挰㠷㡤㌰㡤㍣〲敢㌲挹攰㜶㤰㥡挳㈷慡㐱戱㤴攰昰㜰㘵㕡㉦㐱搴摢搲戶敤敤㈸〰ㄹ〵搲扥つㄱ搴戱㍤㈷摤㝥㡥捤㝥㄰搹㍢づ㕢㈵户敡㔵㑤㝦㜸づ攱摤㘱㝥㘱㘶挲收ㄹ㔳㥥㘹ㄵ㙡㤷㘳㈷晡敥㐶㥢㈳㐷㈱戰㡦〸晦捤㡡㍡㌲㠶戰戱㤸〵扦㌶ㅡ㡣〵㤲愸ㅤ扣昳捣㍢㙢㐶〵ㅦ愸ㅥ㠵㔷搳㘷搶愶㔰㜶㠱㙦戹昵㉥〶户づ户戱敥㠰攷㐷㔴ち〸㠳挹㈵摣㝤て昷戵㜵て㥡敢㠶㙢昳㔸戳㍢敦㕡㕥晢ㄶ㜰扡戱㔱㥡㐹㠶㘳昲扢攳扣㝥て㈱攲㍣昴㡥㙥摣ㄵ换摥㠶㐰攷攱㘷摢㜴㜹㡤㔴攰㈸摢㐰㥣晢挳㘸慡摣㑡㠰㥦㕥っㄳ㝣㔱攸捦扢㠵㠹愷戰㉣㌲〰搲愹慣〱搰㤹慡扦扥ㄶ㔵㉢㍣㕡㤰ち昳捡搷㔰捥㕤ち㔶㕢㘶ㅥ㡥ㅡ昲〸㠱戴㉥〰愲㐷攱ㄱ㐲㡥晦㘵㌴愸㡦扦㠸摣捥攳㍦戱收昸㔴晥㜲㝤昱晥〷㈳攵愱㥦㐴戱㝥㡡愰㐲㘰〳っ㐶㍡㘴㠰㘲㤱戲㈶ㅢ〴ㄱ㕥㌸㠰㌴㥥㕦㠶晦扥㝡攰攷㉦昳昹敢〱㐵ち㐲ㄴ㌵慦㠲㠲㔰慥攲戱昸㉡㤶㤱摢㜹ㄵ㕦㔸㙢ㄵ㠳㤴㤱㥣㠹敥〲昴愷ㄵ搲㡡㕣㤵㠷〴㌷㤴㍦㐵㈲ㄴ㠹愶㔹っㄲ戱戲㙤つ〹戴攵捥换戶㉢㐸㐴㙤〷愳敤搱戸㈳〹摦昲㐸㐳㠹㜷ㅦ改扥挹〶晥搷㙣愰ㅥ㜳㜶攸㜸摤ㄴ㐲〲㙢攳挷戱ㅤ㘵㝢戶换愰扥昲㘸㠴愱㐳㠷愲て愵搴㌰捣〴ち〹㑣㔳㔲ㄴ㌷㔲昹㜴㔴昹搹攷ㅡ㕥㔲ㄴ攰〱ㄹ〵㤵㐹㜹戲昲㈳㔱攵㍤昸〸㑢搶㐹昱搲〰㥦㔷愳捡愴㔰㔹昹攱愸昲㕦昶散慣㔷㡥〸㌲攸㔹㈳戵㈴ㄸ扤昲ㄸ㄰晢㈰㥢愷㙢捤愴㈲敤㌵㠳㙣㡡㔰ㄹ㉤慥㐸㔵摡㠷晢ㅦ㉥㍥㠹㥥挱㜵㈶摣晡㠰戴つ晥㘷㠴㘹㕣㜳㥡㌴㝣〳㕦㍣慦㈰扥散敡昲㡤㡤戳收㔱ㄷㄹ㍤收戴㠷挳㔵㜹㔳㤱〸散㠲㑣戰扦敢昸攱ㄳ㙣挸挶㝥㐴㜱㌱㤵搷㐶扡搳㈲㌲㤶㤲㔱㍥ㄹ㘱㌶㜵戶㐱㌳晡㐷㠱ㅣ挸㑢㐰㈶昴㡦〱〶戱㤷ㅤ捣ㄸ愴㈰㤰㕣㝥ㄶ〹晤㈱㠲㡦〳攴ㄵ㜲㍤改㈰晢〹㠰㠱攸晦愵ㄸ㕥㤱㡥ㄳ㔵㜹㈰ㅡ㉣㑥㐶晡愷搸攰㘱㠰㌴㍣戶㑡㐸㠴㜹晤ㄱ攴挴〷愵〴㤱㠳㍥捡㠲捦㄰㝣ㄶ㈰慦㜱戲ㅢ摥㌵慥愹㑢ㄵ昶㌹㌴㔵戸ㄵ㔲愰㝤㍥㑣昰㐵㍢ぢ㜰㑢㘷愳㤹㘷攲攸㍢㝥㐴㌷㥢㍥搸扦つㅦ攰慦㜲搱㘹晣晦㈳㥡戴昰㌳敡㝢扢敢㡢㑣愰㜱㍥晣戹搸散㌷搰て搷搵㌰㌶搹攳晢昰换愹㔹攵㈱晣㝢ㄶ㍦攵㍥㡣挰㔱愸㜲㜳昰户㤰〶㘴挱㜲㔸㐰摤愵㍦〶愰㄰挷挴㤳晥㌸摦㠸㕡昶慦㝦㌱㑣昰㐵㈱㕥捦㌲㔱〹㥢㐷〳ㄲ搷戲攰㔴换㠰挴扦㉣㌸ㄹㅦ昰㑢挸㔵㈴戲㤰㘸㔶㑦㐴㕡㠶戹㑦〲昴愷〷㌸㌷慡㍢昵㡣㔲扡户㝣敦扤晦ㄸ挸っ㕦㥣昹挰慤㝤㑦扥晡戳㍦㍣晥捡㠷昶晦昹㕦㕦晤敡㉢㝦㝣晣攵㝦扤戸戰晦愷㑦㍦晤㤳摢扦昱昲ㅦ戶㥢㑦愹捦晤㘳收愹〷㐶㑦㍤㜰㥦㜹晣扡㠳て㝣昰攴㥤愳戳攷㡤愴搳㍤㍤㔷て扤㜴搱㌵㠳㘷敦㝢㕥昹昱㙦㉥㜴ㄴ戹㕣づ㈸〰愲㘷㤰换㤶搳昸ちㄲ㤸〶㘷晣㤶㑥㠳换㍤㡢㥦㔲づ㌷㙡ㅣ㉦㌹㌸㌷㌸〱㔹㔰㙡㉥攸晤て〰晦戴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</si>
</sst>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Red]\-&quot;£&quot;#,##0"/>
    <numFmt numFmtId="165" formatCode="&quot;$&quot;#,##0.00"/>
    <numFmt numFmtId="166" formatCode="_(* #,##0_);_(* \(#,##0\);_(* &quot;-&quot;??_);_(@_)"/>
    <numFmt numFmtId="167" formatCode="0.0%"/>
    <numFmt numFmtId="168" formatCode="_(&quot;$&quot;* #,##0_);_(&quot;$&quot;* \(#,##0\);_(&quot;$&quot;* &quot;-&quot;??_);_(@_)"/>
    <numFmt numFmtId="169" formatCode="0.0000%"/>
    <numFmt numFmtId="170" formatCode="0.000%"/>
    <numFmt numFmtId="171" formatCode="#,##0;\(#,##0\)"/>
    <numFmt numFmtId="172" formatCode="m/d/yy\ h:mm:ss"/>
    <numFmt numFmtId="173" formatCode="&quot;$&quot;#,##0"/>
  </numFmts>
  <fonts count="35" x14ac:knownFonts="1">
    <font>
      <sz val="10"/>
      <name val="Arial"/>
    </font>
    <font>
      <sz val="10"/>
      <name val="Arial"/>
      <family val="2"/>
    </font>
    <font>
      <sz val="16"/>
      <color indexed="9"/>
      <name val="Arial"/>
      <family val="2"/>
    </font>
    <font>
      <sz val="8"/>
      <name val="Arial"/>
      <family val="2"/>
    </font>
    <font>
      <sz val="10"/>
      <color indexed="10"/>
      <name val="Arial"/>
      <family val="2"/>
    </font>
    <font>
      <sz val="10"/>
      <color indexed="17"/>
      <name val="Arial"/>
      <family val="2"/>
    </font>
    <font>
      <sz val="10"/>
      <name val="Arial"/>
      <family val="2"/>
    </font>
    <font>
      <b/>
      <sz val="10"/>
      <name val="Arial"/>
      <family val="2"/>
    </font>
    <font>
      <sz val="10"/>
      <color indexed="10"/>
      <name val="Arial"/>
      <family val="2"/>
    </font>
    <font>
      <b/>
      <sz val="8"/>
      <name val="Arial"/>
      <family val="2"/>
    </font>
    <font>
      <sz val="11"/>
      <name val="Arial"/>
      <family val="2"/>
    </font>
    <font>
      <sz val="11"/>
      <name val="Times New Roman"/>
      <family val="1"/>
    </font>
    <font>
      <b/>
      <sz val="11"/>
      <name val="Times New Roman"/>
      <family val="1"/>
    </font>
    <font>
      <b/>
      <sz val="11"/>
      <color indexed="10"/>
      <name val="Times New Roman"/>
      <family val="1"/>
    </font>
    <font>
      <sz val="11"/>
      <color indexed="10"/>
      <name val="Times New Roman"/>
      <family val="1"/>
    </font>
    <font>
      <sz val="10"/>
      <color indexed="8"/>
      <name val="Arial"/>
      <family val="2"/>
    </font>
    <font>
      <sz val="14"/>
      <name val="Arial"/>
      <family val="2"/>
    </font>
    <font>
      <i/>
      <sz val="10"/>
      <name val="Arial"/>
      <family val="2"/>
    </font>
    <font>
      <b/>
      <sz val="9"/>
      <name val="Arial"/>
      <family val="2"/>
    </font>
    <font>
      <sz val="18"/>
      <name val="Arial"/>
      <family val="2"/>
    </font>
    <font>
      <sz val="8"/>
      <color indexed="12"/>
      <name val="Arial"/>
      <family val="2"/>
    </font>
    <font>
      <sz val="10"/>
      <color indexed="12"/>
      <name val="Arial"/>
      <family val="2"/>
    </font>
    <font>
      <sz val="8"/>
      <name val="Arial"/>
      <family val="2"/>
    </font>
    <font>
      <sz val="8"/>
      <color indexed="12"/>
      <name val="Arial"/>
      <family val="2"/>
    </font>
    <font>
      <vertAlign val="subscript"/>
      <sz val="8"/>
      <name val="Arial"/>
      <family val="2"/>
    </font>
    <font>
      <sz val="16"/>
      <name val="Arial"/>
      <family val="2"/>
    </font>
    <font>
      <sz val="12"/>
      <name val="Times New Roman"/>
      <family val="1"/>
    </font>
    <font>
      <i/>
      <sz val="11"/>
      <name val="Times New Roman"/>
      <family val="1"/>
    </font>
    <font>
      <sz val="11"/>
      <color indexed="12"/>
      <name val="Times New Roman"/>
      <family val="1"/>
    </font>
    <font>
      <b/>
      <sz val="10"/>
      <color indexed="10"/>
      <name val="Arial"/>
      <family val="2"/>
    </font>
    <font>
      <sz val="10"/>
      <name val="Times New Roman"/>
      <family val="1"/>
    </font>
    <font>
      <i/>
      <sz val="8"/>
      <name val="Arial"/>
      <family val="2"/>
    </font>
    <font>
      <b/>
      <sz val="10"/>
      <color indexed="10"/>
      <name val="Arial"/>
      <family val="2"/>
      <charset val="204"/>
    </font>
    <font>
      <b/>
      <sz val="8"/>
      <name val="Arial"/>
      <family val="2"/>
      <charset val="204"/>
    </font>
    <font>
      <b/>
      <sz val="10"/>
      <name val="Arial"/>
      <family val="2"/>
      <charset val="204"/>
    </font>
  </fonts>
  <fills count="9">
    <fill>
      <patternFill patternType="none"/>
    </fill>
    <fill>
      <patternFill patternType="gray125"/>
    </fill>
    <fill>
      <patternFill patternType="solid">
        <fgColor indexed="9"/>
      </patternFill>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s>
  <borders count="68">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top/>
      <bottom/>
      <diagonal/>
    </border>
    <border>
      <left style="thin">
        <color indexed="64"/>
      </left>
      <right/>
      <top/>
      <bottom style="dashed">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s>
  <cellStyleXfs count="36">
    <xf numFmtId="0" fontId="0" fillId="0" borderId="0"/>
    <xf numFmtId="43" fontId="1" fillId="0" borderId="0" applyFont="0" applyFill="0" applyBorder="0" applyAlignment="0" applyProtection="0"/>
    <xf numFmtId="44" fontId="1" fillId="0" borderId="0" applyFont="0" applyFill="0" applyBorder="0" applyAlignment="0" applyProtection="0"/>
    <xf numFmtId="0" fontId="11" fillId="0" borderId="0"/>
    <xf numFmtId="9" fontId="1" fillId="0" borderId="0" applyFont="0" applyFill="0" applyBorder="0" applyAlignment="0" applyProtection="0"/>
    <xf numFmtId="169" fontId="1" fillId="0" borderId="0" applyFont="0" applyFill="0" applyBorder="0" applyAlignment="0" applyProtection="0"/>
    <xf numFmtId="0" fontId="1" fillId="0" borderId="2" applyNumberFormat="0" applyFont="0" applyFill="0" applyAlignment="0" applyProtection="0"/>
    <xf numFmtId="0" fontId="1" fillId="0" borderId="3" applyNumberFormat="0" applyFont="0" applyFill="0" applyAlignment="0" applyProtection="0"/>
    <xf numFmtId="0" fontId="1" fillId="0" borderId="4" applyNumberFormat="0" applyFont="0" applyFill="0" applyAlignment="0" applyProtection="0"/>
    <xf numFmtId="0" fontId="1" fillId="0" borderId="5" applyNumberFormat="0" applyFont="0" applyFill="0" applyAlignment="0" applyProtection="0"/>
    <xf numFmtId="0" fontId="1" fillId="0" borderId="6" applyNumberFormat="0" applyFont="0" applyFill="0" applyAlignment="0" applyProtection="0"/>
    <xf numFmtId="0" fontId="1" fillId="2" borderId="0" applyNumberFormat="0" applyFont="0" applyBorder="0" applyAlignment="0" applyProtection="0"/>
    <xf numFmtId="0" fontId="1" fillId="0" borderId="7" applyNumberFormat="0" applyFont="0" applyFill="0" applyAlignment="0" applyProtection="0"/>
    <xf numFmtId="0" fontId="1" fillId="0" borderId="8" applyNumberFormat="0" applyFont="0" applyFill="0" applyAlignment="0" applyProtection="0"/>
    <xf numFmtId="46" fontId="1" fillId="0" borderId="0" applyFont="0" applyFill="0" applyBorder="0" applyAlignment="0" applyProtection="0"/>
    <xf numFmtId="0" fontId="15" fillId="0" borderId="0" applyNumberFormat="0" applyFill="0" applyBorder="0" applyAlignment="0" applyProtection="0"/>
    <xf numFmtId="0" fontId="1" fillId="0" borderId="9" applyNumberFormat="0" applyFont="0" applyFill="0" applyAlignment="0" applyProtection="0"/>
    <xf numFmtId="0" fontId="1" fillId="0" borderId="10" applyNumberFormat="0" applyFont="0" applyFill="0" applyAlignment="0" applyProtection="0"/>
    <xf numFmtId="0" fontId="1" fillId="0" borderId="1" applyNumberFormat="0" applyFont="0" applyFill="0" applyAlignment="0" applyProtection="0"/>
    <xf numFmtId="0" fontId="1" fillId="0" borderId="11" applyNumberFormat="0" applyFont="0" applyFill="0" applyAlignment="0" applyProtection="0"/>
    <xf numFmtId="0" fontId="1" fillId="0" borderId="1" applyNumberFormat="0" applyFont="0" applyFill="0" applyAlignment="0" applyProtection="0"/>
    <xf numFmtId="0" fontId="1" fillId="0" borderId="0" applyNumberFormat="0" applyFont="0" applyFill="0" applyBorder="0" applyProtection="0">
      <alignment horizontal="center"/>
    </xf>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Protection="0">
      <alignment horizontal="left"/>
    </xf>
    <xf numFmtId="0" fontId="1" fillId="2" borderId="0" applyNumberFormat="0" applyFont="0" applyBorder="0" applyAlignment="0" applyProtection="0"/>
    <xf numFmtId="0" fontId="19" fillId="0" borderId="0" applyNumberFormat="0" applyFill="0" applyBorder="0" applyAlignment="0" applyProtection="0"/>
    <xf numFmtId="0" fontId="15" fillId="0" borderId="0" applyNumberFormat="0" applyFill="0" applyBorder="0" applyAlignment="0" applyProtection="0"/>
    <xf numFmtId="0" fontId="1" fillId="0" borderId="12" applyNumberFormat="0" applyFont="0" applyFill="0" applyAlignment="0" applyProtection="0"/>
    <xf numFmtId="0" fontId="1" fillId="0" borderId="13" applyNumberFormat="0" applyFont="0" applyFill="0" applyAlignment="0" applyProtection="0"/>
    <xf numFmtId="172" fontId="1" fillId="0" borderId="0" applyFont="0" applyFill="0" applyBorder="0" applyAlignment="0" applyProtection="0"/>
    <xf numFmtId="0" fontId="1" fillId="0" borderId="14" applyNumberFormat="0" applyFont="0" applyFill="0" applyAlignment="0" applyProtection="0"/>
    <xf numFmtId="0" fontId="1" fillId="0" borderId="15" applyNumberFormat="0" applyFont="0" applyFill="0" applyAlignment="0" applyProtection="0"/>
    <xf numFmtId="0" fontId="1" fillId="0" borderId="16" applyNumberFormat="0" applyFont="0" applyFill="0" applyAlignment="0" applyProtection="0"/>
    <xf numFmtId="0" fontId="1" fillId="0" borderId="17" applyNumberFormat="0" applyFont="0" applyFill="0" applyAlignment="0" applyProtection="0"/>
    <xf numFmtId="0" fontId="1" fillId="0" borderId="18" applyNumberFormat="0" applyFont="0" applyFill="0" applyAlignment="0" applyProtection="0"/>
  </cellStyleXfs>
  <cellXfs count="198">
    <xf numFmtId="0" fontId="0" fillId="0" borderId="0" xfId="0"/>
    <xf numFmtId="0" fontId="2" fillId="0" borderId="0" xfId="0" applyFont="1" applyFill="1" applyBorder="1"/>
    <xf numFmtId="0" fontId="0" fillId="0" borderId="0" xfId="0" applyFill="1" applyBorder="1"/>
    <xf numFmtId="0" fontId="0" fillId="0" borderId="0" xfId="0" applyBorder="1"/>
    <xf numFmtId="0" fontId="0" fillId="0" borderId="0" xfId="0" applyBorder="1" applyAlignment="1">
      <alignment horizontal="center"/>
    </xf>
    <xf numFmtId="0" fontId="4" fillId="0" borderId="0" xfId="0" applyFont="1" applyFill="1" applyBorder="1" applyAlignment="1">
      <alignment horizontal="center"/>
    </xf>
    <xf numFmtId="0" fontId="5" fillId="0" borderId="0" xfId="0" applyFont="1" applyFill="1" applyBorder="1" applyAlignment="1">
      <alignment horizontal="center"/>
    </xf>
    <xf numFmtId="0" fontId="6" fillId="0" borderId="0" xfId="0" applyFont="1" applyFill="1" applyBorder="1"/>
    <xf numFmtId="0" fontId="0" fillId="0" borderId="0" xfId="0" applyBorder="1" applyAlignment="1"/>
    <xf numFmtId="44" fontId="3" fillId="0" borderId="19" xfId="0" applyNumberFormat="1" applyFont="1" applyFill="1" applyBorder="1" applyAlignment="1"/>
    <xf numFmtId="44" fontId="3" fillId="0" borderId="20" xfId="0" applyNumberFormat="1" applyFont="1" applyFill="1" applyBorder="1" applyAlignment="1"/>
    <xf numFmtId="0" fontId="3" fillId="0" borderId="19" xfId="0" applyFont="1" applyFill="1" applyBorder="1" applyAlignment="1">
      <alignment horizontal="center"/>
    </xf>
    <xf numFmtId="0" fontId="3" fillId="0" borderId="19" xfId="0" applyFont="1" applyBorder="1" applyAlignment="1">
      <alignment horizontal="center"/>
    </xf>
    <xf numFmtId="165" fontId="3" fillId="0" borderId="19" xfId="0" applyNumberFormat="1" applyFont="1" applyBorder="1" applyAlignment="1">
      <alignment horizontal="center"/>
    </xf>
    <xf numFmtId="9" fontId="3" fillId="0" borderId="19" xfId="0" applyNumberFormat="1" applyFont="1" applyFill="1" applyBorder="1" applyAlignment="1">
      <alignment horizontal="center"/>
    </xf>
    <xf numFmtId="9" fontId="3" fillId="0" borderId="19" xfId="0" applyNumberFormat="1" applyFont="1" applyBorder="1" applyAlignment="1">
      <alignment horizontal="center"/>
    </xf>
    <xf numFmtId="9" fontId="3" fillId="0" borderId="20" xfId="0" applyNumberFormat="1" applyFont="1" applyFill="1" applyBorder="1" applyAlignment="1">
      <alignment horizontal="center"/>
    </xf>
    <xf numFmtId="9" fontId="3" fillId="0" borderId="20" xfId="0" applyNumberFormat="1" applyFont="1" applyBorder="1" applyAlignment="1">
      <alignment horizontal="center"/>
    </xf>
    <xf numFmtId="7" fontId="3" fillId="0" borderId="19" xfId="0" applyNumberFormat="1" applyFont="1" applyFill="1" applyBorder="1" applyAlignment="1">
      <alignment horizontal="center"/>
    </xf>
    <xf numFmtId="7" fontId="3" fillId="0" borderId="19" xfId="0" applyNumberFormat="1" applyFont="1" applyBorder="1" applyAlignment="1">
      <alignment horizontal="center"/>
    </xf>
    <xf numFmtId="8" fontId="8" fillId="0" borderId="0" xfId="0" applyNumberFormat="1" applyFont="1" applyBorder="1"/>
    <xf numFmtId="0" fontId="9" fillId="0" borderId="19" xfId="0" applyFont="1" applyBorder="1" applyAlignment="1">
      <alignment horizontal="center"/>
    </xf>
    <xf numFmtId="0" fontId="3" fillId="0" borderId="20" xfId="0" applyFont="1" applyFill="1" applyBorder="1" applyAlignment="1">
      <alignment horizontal="center"/>
    </xf>
    <xf numFmtId="0" fontId="3" fillId="0" borderId="20" xfId="0" applyFont="1" applyBorder="1" applyAlignment="1">
      <alignment horizontal="center"/>
    </xf>
    <xf numFmtId="44" fontId="3" fillId="0" borderId="19" xfId="0" applyNumberFormat="1" applyFont="1" applyBorder="1" applyAlignment="1"/>
    <xf numFmtId="166" fontId="3" fillId="0" borderId="19" xfId="1" applyNumberFormat="1" applyFont="1" applyBorder="1" applyAlignment="1">
      <alignment horizontal="center"/>
    </xf>
    <xf numFmtId="166" fontId="3" fillId="0" borderId="20" xfId="1" applyNumberFormat="1" applyFont="1" applyBorder="1" applyAlignment="1">
      <alignment horizontal="center"/>
    </xf>
    <xf numFmtId="170" fontId="6" fillId="0" borderId="0" xfId="0" applyNumberFormat="1" applyFont="1" applyFill="1" applyBorder="1"/>
    <xf numFmtId="171" fontId="12" fillId="0" borderId="0" xfId="3" applyNumberFormat="1" applyFont="1" applyAlignment="1">
      <alignment vertical="top" wrapText="1"/>
    </xf>
    <xf numFmtId="171" fontId="11" fillId="0" borderId="0" xfId="3" applyNumberFormat="1" applyFont="1"/>
    <xf numFmtId="171" fontId="11" fillId="0" borderId="0" xfId="3" applyNumberFormat="1" applyFont="1" applyAlignment="1">
      <alignment vertical="top" wrapText="1"/>
    </xf>
    <xf numFmtId="171" fontId="14" fillId="0" borderId="0" xfId="3" applyNumberFormat="1" applyFont="1" applyAlignment="1">
      <alignment vertical="top" wrapText="1"/>
    </xf>
    <xf numFmtId="165" fontId="20" fillId="0" borderId="19" xfId="0" applyNumberFormat="1" applyFont="1" applyBorder="1" applyAlignment="1">
      <alignment horizontal="center"/>
    </xf>
    <xf numFmtId="167" fontId="20" fillId="0" borderId="19" xfId="0" applyNumberFormat="1" applyFont="1" applyBorder="1" applyAlignment="1">
      <alignment horizontal="center"/>
    </xf>
    <xf numFmtId="9" fontId="20" fillId="0" borderId="20" xfId="0" applyNumberFormat="1" applyFont="1" applyBorder="1" applyAlignment="1">
      <alignment horizontal="center"/>
    </xf>
    <xf numFmtId="170" fontId="21" fillId="0" borderId="0" xfId="0" applyNumberFormat="1" applyFont="1" applyFill="1" applyBorder="1"/>
    <xf numFmtId="0" fontId="0" fillId="0" borderId="21" xfId="0" applyBorder="1"/>
    <xf numFmtId="0" fontId="0" fillId="0" borderId="22" xfId="0" applyBorder="1" applyAlignment="1">
      <alignment horizontal="center"/>
    </xf>
    <xf numFmtId="0" fontId="6" fillId="0" borderId="23" xfId="0" applyFont="1" applyFill="1" applyBorder="1"/>
    <xf numFmtId="0" fontId="6" fillId="3" borderId="24" xfId="0" applyFont="1" applyFill="1" applyBorder="1"/>
    <xf numFmtId="0" fontId="0" fillId="0" borderId="25" xfId="0" applyBorder="1" applyAlignment="1">
      <alignment horizontal="center"/>
    </xf>
    <xf numFmtId="0" fontId="0" fillId="0" borderId="0" xfId="0" applyProtection="1">
      <protection locked="0"/>
    </xf>
    <xf numFmtId="0" fontId="25" fillId="0" borderId="0" xfId="0" applyFont="1" applyProtection="1">
      <protection locked="0"/>
    </xf>
    <xf numFmtId="0" fontId="26" fillId="0" borderId="0" xfId="0" applyFont="1"/>
    <xf numFmtId="10" fontId="28" fillId="0" borderId="26" xfId="4" applyNumberFormat="1" applyFont="1" applyBorder="1" applyAlignment="1">
      <alignment horizontal="center"/>
    </xf>
    <xf numFmtId="171" fontId="11" fillId="0" borderId="0" xfId="3" applyNumberFormat="1" applyFont="1" applyBorder="1" applyAlignment="1">
      <alignment horizontal="left" vertical="top" wrapText="1"/>
    </xf>
    <xf numFmtId="171" fontId="11" fillId="0" borderId="0" xfId="3" applyNumberFormat="1" applyFont="1" applyBorder="1" applyAlignment="1">
      <alignment vertical="top" wrapText="1"/>
    </xf>
    <xf numFmtId="10" fontId="28" fillId="0" borderId="27" xfId="4" applyNumberFormat="1" applyFont="1" applyBorder="1" applyAlignment="1">
      <alignment horizontal="center"/>
    </xf>
    <xf numFmtId="0" fontId="7" fillId="0" borderId="0" xfId="0" applyFont="1" applyFill="1" applyBorder="1"/>
    <xf numFmtId="6" fontId="29" fillId="0" borderId="0" xfId="0" applyNumberFormat="1" applyFont="1" applyBorder="1"/>
    <xf numFmtId="0" fontId="7" fillId="0" borderId="0" xfId="0" applyFont="1" applyBorder="1"/>
    <xf numFmtId="0" fontId="7" fillId="3" borderId="21" xfId="0" applyFont="1" applyFill="1" applyBorder="1" applyAlignment="1">
      <alignment horizontal="center"/>
    </xf>
    <xf numFmtId="0" fontId="7" fillId="3" borderId="28" xfId="0" applyFont="1" applyFill="1" applyBorder="1" applyAlignment="1">
      <alignment horizontal="center"/>
    </xf>
    <xf numFmtId="0" fontId="7" fillId="3" borderId="29" xfId="0" applyFont="1" applyFill="1" applyBorder="1" applyAlignment="1">
      <alignment horizontal="center"/>
    </xf>
    <xf numFmtId="0" fontId="0" fillId="0" borderId="23" xfId="0" applyFont="1" applyFill="1" applyBorder="1" applyAlignment="1"/>
    <xf numFmtId="168" fontId="3" fillId="0" borderId="19" xfId="0" applyNumberFormat="1" applyFont="1" applyFill="1" applyBorder="1" applyAlignment="1"/>
    <xf numFmtId="168" fontId="3" fillId="0" borderId="30" xfId="0" applyNumberFormat="1" applyFont="1" applyFill="1" applyBorder="1" applyAlignment="1"/>
    <xf numFmtId="0" fontId="0" fillId="0" borderId="23" xfId="0" applyFill="1" applyBorder="1" applyAlignment="1"/>
    <xf numFmtId="0" fontId="0" fillId="0" borderId="31" xfId="0" applyFill="1" applyBorder="1" applyAlignment="1"/>
    <xf numFmtId="168" fontId="3" fillId="0" borderId="20" xfId="0" applyNumberFormat="1" applyFont="1" applyFill="1" applyBorder="1" applyAlignment="1"/>
    <xf numFmtId="168" fontId="3" fillId="0" borderId="32" xfId="0" applyNumberFormat="1" applyFont="1" applyFill="1" applyBorder="1" applyAlignment="1"/>
    <xf numFmtId="0" fontId="9" fillId="0" borderId="30" xfId="0" applyFont="1" applyBorder="1" applyAlignment="1">
      <alignment horizontal="center"/>
    </xf>
    <xf numFmtId="173" fontId="3" fillId="0" borderId="19" xfId="0" applyNumberFormat="1" applyFont="1" applyBorder="1" applyAlignment="1">
      <alignment horizontal="center"/>
    </xf>
    <xf numFmtId="173" fontId="3" fillId="0" borderId="30" xfId="0" applyNumberFormat="1" applyFont="1" applyBorder="1" applyAlignment="1">
      <alignment horizontal="center"/>
    </xf>
    <xf numFmtId="9" fontId="3" fillId="0" borderId="19" xfId="4" applyFont="1" applyBorder="1" applyAlignment="1">
      <alignment horizontal="center"/>
    </xf>
    <xf numFmtId="9" fontId="3" fillId="0" borderId="30" xfId="0" applyNumberFormat="1" applyFont="1" applyBorder="1" applyAlignment="1">
      <alignment horizontal="center"/>
    </xf>
    <xf numFmtId="0" fontId="6" fillId="0" borderId="23" xfId="0" applyFont="1" applyBorder="1"/>
    <xf numFmtId="5" fontId="3" fillId="0" borderId="19" xfId="0" applyNumberFormat="1" applyFont="1" applyBorder="1" applyAlignment="1">
      <alignment horizontal="center"/>
    </xf>
    <xf numFmtId="5" fontId="3" fillId="0" borderId="30" xfId="0" applyNumberFormat="1" applyFont="1" applyBorder="1" applyAlignment="1">
      <alignment horizontal="center"/>
    </xf>
    <xf numFmtId="0" fontId="3" fillId="0" borderId="30" xfId="0" applyFont="1" applyFill="1" applyBorder="1" applyAlignment="1">
      <alignment horizontal="center"/>
    </xf>
    <xf numFmtId="0" fontId="6" fillId="0" borderId="23" xfId="0" applyFont="1" applyBorder="1" applyAlignment="1"/>
    <xf numFmtId="168" fontId="3" fillId="0" borderId="19" xfId="0" applyNumberFormat="1" applyFont="1" applyBorder="1" applyAlignment="1"/>
    <xf numFmtId="44" fontId="3" fillId="0" borderId="30" xfId="0" applyNumberFormat="1" applyFont="1" applyBorder="1" applyAlignment="1"/>
    <xf numFmtId="0" fontId="6" fillId="0" borderId="31" xfId="0" applyFont="1" applyFill="1" applyBorder="1" applyAlignment="1"/>
    <xf numFmtId="168" fontId="3" fillId="0" borderId="20" xfId="0" applyNumberFormat="1" applyFont="1" applyBorder="1" applyAlignment="1"/>
    <xf numFmtId="168" fontId="3" fillId="0" borderId="32" xfId="0" applyNumberFormat="1" applyFont="1" applyBorder="1" applyAlignment="1"/>
    <xf numFmtId="0" fontId="0" fillId="0" borderId="33" xfId="0" applyFill="1" applyBorder="1" applyAlignment="1"/>
    <xf numFmtId="168" fontId="3" fillId="0" borderId="34" xfId="0" applyNumberFormat="1" applyFont="1" applyFill="1" applyBorder="1" applyAlignment="1"/>
    <xf numFmtId="168" fontId="3" fillId="0" borderId="35" xfId="0" applyNumberFormat="1" applyFont="1" applyFill="1" applyBorder="1" applyAlignment="1"/>
    <xf numFmtId="0" fontId="7" fillId="3" borderId="36" xfId="0" applyFont="1" applyFill="1" applyBorder="1"/>
    <xf numFmtId="0" fontId="7" fillId="3" borderId="37" xfId="0" applyFont="1" applyFill="1" applyBorder="1" applyAlignment="1">
      <alignment horizontal="center"/>
    </xf>
    <xf numFmtId="0" fontId="7" fillId="3" borderId="38" xfId="0" applyFont="1" applyFill="1" applyBorder="1" applyAlignment="1">
      <alignment horizontal="center"/>
    </xf>
    <xf numFmtId="165" fontId="3" fillId="0" borderId="30" xfId="0" applyNumberFormat="1" applyFont="1" applyBorder="1" applyAlignment="1">
      <alignment horizontal="center"/>
    </xf>
    <xf numFmtId="167" fontId="20" fillId="0" borderId="30" xfId="0" applyNumberFormat="1" applyFont="1" applyBorder="1" applyAlignment="1">
      <alignment horizontal="center"/>
    </xf>
    <xf numFmtId="0" fontId="6" fillId="0" borderId="31" xfId="0" applyFont="1" applyFill="1" applyBorder="1"/>
    <xf numFmtId="9" fontId="3" fillId="0" borderId="32" xfId="0" applyNumberFormat="1" applyFont="1" applyBorder="1" applyAlignment="1">
      <alignment horizontal="center"/>
    </xf>
    <xf numFmtId="7" fontId="3" fillId="0" borderId="30" xfId="0" applyNumberFormat="1" applyFont="1" applyBorder="1" applyAlignment="1">
      <alignment horizontal="center"/>
    </xf>
    <xf numFmtId="166" fontId="3" fillId="0" borderId="30" xfId="1" applyNumberFormat="1" applyFont="1" applyFill="1" applyBorder="1" applyAlignment="1">
      <alignment horizontal="center"/>
    </xf>
    <xf numFmtId="0" fontId="6" fillId="0" borderId="31" xfId="0" applyFont="1" applyBorder="1"/>
    <xf numFmtId="166" fontId="3" fillId="0" borderId="32" xfId="1" applyNumberFormat="1" applyFont="1" applyFill="1" applyBorder="1" applyAlignment="1">
      <alignment horizontal="center"/>
    </xf>
    <xf numFmtId="168" fontId="3" fillId="0" borderId="30" xfId="0" applyNumberFormat="1" applyFont="1" applyBorder="1" applyAlignment="1"/>
    <xf numFmtId="6" fontId="8" fillId="0" borderId="0" xfId="0" applyNumberFormat="1" applyFont="1" applyBorder="1" applyAlignment="1">
      <alignment horizontal="center"/>
    </xf>
    <xf numFmtId="10" fontId="28" fillId="0" borderId="0" xfId="4" applyNumberFormat="1" applyFont="1" applyBorder="1" applyAlignment="1">
      <alignment horizontal="center"/>
    </xf>
    <xf numFmtId="0" fontId="22" fillId="0" borderId="39" xfId="0" applyFont="1" applyFill="1" applyBorder="1" applyAlignment="1"/>
    <xf numFmtId="0" fontId="22" fillId="0" borderId="19" xfId="0" applyFont="1" applyFill="1" applyBorder="1" applyAlignment="1"/>
    <xf numFmtId="168" fontId="23" fillId="0" borderId="40" xfId="2" applyNumberFormat="1" applyFont="1" applyFill="1" applyBorder="1" applyAlignment="1">
      <alignment horizontal="center"/>
    </xf>
    <xf numFmtId="0" fontId="22" fillId="0" borderId="41" xfId="0" applyFont="1" applyFill="1" applyBorder="1" applyAlignment="1"/>
    <xf numFmtId="0" fontId="22" fillId="0" borderId="19" xfId="0" applyFont="1" applyBorder="1"/>
    <xf numFmtId="9" fontId="23" fillId="0" borderId="40" xfId="4" applyFont="1" applyFill="1" applyBorder="1" applyAlignment="1">
      <alignment horizontal="center"/>
    </xf>
    <xf numFmtId="0" fontId="22" fillId="0" borderId="41" xfId="0" applyFont="1" applyBorder="1"/>
    <xf numFmtId="171" fontId="30" fillId="3" borderId="42" xfId="3" applyNumberFormat="1" applyFont="1" applyFill="1" applyBorder="1"/>
    <xf numFmtId="171" fontId="30" fillId="3" borderId="43" xfId="3" applyNumberFormat="1" applyFont="1" applyFill="1" applyBorder="1"/>
    <xf numFmtId="167" fontId="0" fillId="0" borderId="0" xfId="0" applyNumberFormat="1" applyFill="1" applyBorder="1"/>
    <xf numFmtId="6" fontId="0" fillId="0" borderId="0" xfId="0" applyNumberFormat="1" applyBorder="1"/>
    <xf numFmtId="171" fontId="11" fillId="0" borderId="44" xfId="3" applyNumberFormat="1" applyFont="1" applyBorder="1" applyAlignment="1">
      <alignment horizontal="center"/>
    </xf>
    <xf numFmtId="171" fontId="11" fillId="0" borderId="45" xfId="3" applyNumberFormat="1" applyFont="1" applyBorder="1" applyAlignment="1">
      <alignment horizontal="center"/>
    </xf>
    <xf numFmtId="171" fontId="11" fillId="0" borderId="46" xfId="3" applyNumberFormat="1" applyFont="1" applyBorder="1" applyAlignment="1">
      <alignment horizontal="center"/>
    </xf>
    <xf numFmtId="167" fontId="11" fillId="0" borderId="0" xfId="4" applyNumberFormat="1" applyFont="1" applyBorder="1" applyAlignment="1">
      <alignment horizontal="center"/>
    </xf>
    <xf numFmtId="0" fontId="0" fillId="0" borderId="0" xfId="0" applyBorder="1" applyProtection="1">
      <protection locked="0"/>
    </xf>
    <xf numFmtId="10" fontId="28" fillId="0" borderId="47" xfId="4" applyNumberFormat="1" applyFont="1" applyBorder="1" applyAlignment="1">
      <alignment horizontal="center"/>
    </xf>
    <xf numFmtId="10" fontId="28" fillId="0" borderId="19" xfId="4" applyNumberFormat="1" applyFont="1" applyBorder="1" applyAlignment="1">
      <alignment horizontal="center"/>
    </xf>
    <xf numFmtId="10" fontId="28" fillId="0" borderId="34" xfId="4" applyNumberFormat="1" applyFont="1" applyBorder="1" applyAlignment="1">
      <alignment horizontal="center"/>
    </xf>
    <xf numFmtId="167" fontId="11" fillId="0" borderId="48" xfId="4" applyNumberFormat="1" applyFont="1" applyBorder="1" applyAlignment="1">
      <alignment horizontal="center"/>
    </xf>
    <xf numFmtId="167" fontId="11" fillId="0" borderId="49" xfId="4" applyNumberFormat="1" applyFont="1" applyBorder="1" applyAlignment="1">
      <alignment horizontal="center"/>
    </xf>
    <xf numFmtId="0" fontId="17" fillId="0" borderId="0" xfId="0" applyFont="1" applyBorder="1"/>
    <xf numFmtId="167" fontId="20" fillId="4" borderId="19" xfId="0" applyNumberFormat="1" applyFont="1" applyFill="1" applyBorder="1" applyAlignment="1">
      <alignment horizontal="center"/>
    </xf>
    <xf numFmtId="0" fontId="3" fillId="0" borderId="19" xfId="0" quotePrefix="1" applyFont="1" applyBorder="1" applyAlignment="1">
      <alignment horizontal="center"/>
    </xf>
    <xf numFmtId="165" fontId="20" fillId="4" borderId="19" xfId="0" applyNumberFormat="1" applyFont="1" applyFill="1" applyBorder="1" applyAlignment="1">
      <alignment horizontal="center"/>
    </xf>
    <xf numFmtId="7" fontId="20" fillId="4" borderId="19" xfId="0" applyNumberFormat="1" applyFont="1" applyFill="1" applyBorder="1" applyAlignment="1">
      <alignment horizontal="center"/>
    </xf>
    <xf numFmtId="166" fontId="20" fillId="4" borderId="19" xfId="1" applyNumberFormat="1" applyFont="1" applyFill="1" applyBorder="1" applyAlignment="1">
      <alignment horizontal="center"/>
    </xf>
    <xf numFmtId="168" fontId="23" fillId="4" borderId="50" xfId="2" applyNumberFormat="1" applyFont="1" applyFill="1" applyBorder="1" applyAlignment="1">
      <alignment horizontal="center"/>
    </xf>
    <xf numFmtId="168" fontId="23" fillId="4" borderId="40" xfId="2" applyNumberFormat="1" applyFont="1" applyFill="1" applyBorder="1" applyAlignment="1">
      <alignment horizontal="center"/>
    </xf>
    <xf numFmtId="0" fontId="23" fillId="4" borderId="40" xfId="0" applyFont="1" applyFill="1" applyBorder="1" applyAlignment="1">
      <alignment horizontal="center"/>
    </xf>
    <xf numFmtId="9" fontId="23" fillId="4" borderId="51" xfId="4" applyFont="1" applyFill="1" applyBorder="1" applyAlignment="1">
      <alignment horizontal="center"/>
    </xf>
    <xf numFmtId="9" fontId="23" fillId="4" borderId="50" xfId="4" applyFont="1" applyFill="1" applyBorder="1" applyAlignment="1">
      <alignment horizontal="center"/>
    </xf>
    <xf numFmtId="0" fontId="31" fillId="0" borderId="0" xfId="0" applyFont="1"/>
    <xf numFmtId="167" fontId="20" fillId="4" borderId="30" xfId="0" applyNumberFormat="1" applyFont="1" applyFill="1" applyBorder="1" applyAlignment="1">
      <alignment horizontal="center"/>
    </xf>
    <xf numFmtId="6" fontId="1" fillId="5" borderId="0" xfId="0" applyNumberFormat="1" applyFont="1" applyFill="1" applyBorder="1" applyAlignment="1">
      <alignment horizontal="center"/>
    </xf>
    <xf numFmtId="6" fontId="1" fillId="5" borderId="52" xfId="0" applyNumberFormat="1" applyFont="1" applyFill="1" applyBorder="1" applyAlignment="1">
      <alignment horizontal="center"/>
    </xf>
    <xf numFmtId="6" fontId="32" fillId="0" borderId="49" xfId="0" applyNumberFormat="1" applyFont="1" applyBorder="1" applyAlignment="1">
      <alignment horizontal="center"/>
    </xf>
    <xf numFmtId="6" fontId="32" fillId="3" borderId="53" xfId="0" applyNumberFormat="1" applyFont="1" applyFill="1" applyBorder="1" applyAlignment="1">
      <alignment horizontal="center"/>
    </xf>
    <xf numFmtId="168" fontId="33" fillId="0" borderId="19" xfId="0" applyNumberFormat="1" applyFont="1" applyFill="1" applyBorder="1" applyAlignment="1"/>
    <xf numFmtId="168" fontId="33" fillId="0" borderId="30" xfId="0" applyNumberFormat="1" applyFont="1" applyFill="1" applyBorder="1" applyAlignment="1"/>
    <xf numFmtId="0" fontId="34" fillId="0" borderId="54" xfId="0" applyFont="1" applyBorder="1" applyAlignment="1">
      <alignment horizontal="center"/>
    </xf>
    <xf numFmtId="164" fontId="34" fillId="0" borderId="55" xfId="0" applyNumberFormat="1" applyFont="1" applyBorder="1" applyAlignment="1">
      <alignment horizontal="center"/>
    </xf>
    <xf numFmtId="10" fontId="22" fillId="0" borderId="51" xfId="4" applyNumberFormat="1" applyFont="1" applyFill="1" applyBorder="1" applyAlignment="1">
      <alignment horizontal="center"/>
    </xf>
    <xf numFmtId="10" fontId="23" fillId="4" borderId="0" xfId="0" applyNumberFormat="1" applyFont="1" applyFill="1"/>
    <xf numFmtId="0" fontId="23" fillId="4" borderId="0" xfId="0" applyFont="1" applyFill="1" applyAlignment="1">
      <alignment horizontal="center"/>
    </xf>
    <xf numFmtId="167" fontId="3" fillId="0" borderId="19" xfId="0" applyNumberFormat="1" applyFont="1" applyBorder="1" applyAlignment="1">
      <alignment horizontal="center"/>
    </xf>
    <xf numFmtId="167" fontId="3" fillId="0" borderId="30" xfId="0" applyNumberFormat="1" applyFont="1" applyBorder="1" applyAlignment="1">
      <alignment horizontal="center"/>
    </xf>
    <xf numFmtId="168" fontId="20" fillId="0" borderId="19" xfId="0" applyNumberFormat="1" applyFont="1" applyFill="1" applyBorder="1" applyAlignment="1"/>
    <xf numFmtId="168" fontId="20" fillId="0" borderId="19" xfId="0" applyNumberFormat="1" applyFont="1" applyBorder="1" applyAlignment="1"/>
    <xf numFmtId="168" fontId="20" fillId="0" borderId="30" xfId="0" applyNumberFormat="1" applyFont="1" applyBorder="1" applyAlignment="1"/>
    <xf numFmtId="168" fontId="20" fillId="0" borderId="20" xfId="0" applyNumberFormat="1" applyFont="1" applyFill="1" applyBorder="1" applyAlignment="1"/>
    <xf numFmtId="168" fontId="20" fillId="0" borderId="20" xfId="0" applyNumberFormat="1" applyFont="1" applyBorder="1" applyAlignment="1"/>
    <xf numFmtId="168" fontId="20" fillId="0" borderId="32" xfId="0" applyNumberFormat="1" applyFont="1" applyBorder="1" applyAlignment="1"/>
    <xf numFmtId="9" fontId="20" fillId="0" borderId="20" xfId="0" applyNumberFormat="1" applyFont="1" applyFill="1" applyBorder="1" applyAlignment="1">
      <alignment horizontal="center"/>
    </xf>
    <xf numFmtId="10" fontId="28" fillId="0" borderId="50" xfId="4" applyNumberFormat="1" applyFont="1" applyBorder="1" applyAlignment="1">
      <alignment horizontal="center"/>
    </xf>
    <xf numFmtId="10" fontId="28" fillId="0" borderId="55" xfId="4" applyNumberFormat="1" applyFont="1" applyBorder="1" applyAlignment="1">
      <alignment horizontal="center"/>
    </xf>
    <xf numFmtId="0" fontId="7" fillId="0" borderId="0" xfId="0" applyFont="1"/>
    <xf numFmtId="0" fontId="0" fillId="0" borderId="0" xfId="0" quotePrefix="1"/>
    <xf numFmtId="0" fontId="7" fillId="7" borderId="21" xfId="0" applyFont="1" applyFill="1" applyBorder="1" applyAlignment="1" applyProtection="1">
      <alignment horizontal="left" wrapText="1"/>
      <protection locked="0"/>
    </xf>
    <xf numFmtId="0" fontId="0" fillId="7" borderId="22" xfId="0" applyFill="1" applyBorder="1" applyAlignment="1" applyProtection="1">
      <alignment horizontal="left" wrapText="1"/>
      <protection locked="0"/>
    </xf>
    <xf numFmtId="0" fontId="0" fillId="7" borderId="59" xfId="0" applyFill="1" applyBorder="1" applyAlignment="1" applyProtection="1">
      <alignment horizontal="left" wrapText="1"/>
      <protection locked="0"/>
    </xf>
    <xf numFmtId="0" fontId="0" fillId="7" borderId="33" xfId="0" applyFill="1" applyBorder="1" applyAlignment="1" applyProtection="1">
      <alignment horizontal="left" wrapText="1"/>
      <protection locked="0"/>
    </xf>
    <xf numFmtId="0" fontId="0" fillId="7" borderId="60" xfId="0" applyFill="1" applyBorder="1" applyAlignment="1" applyProtection="1">
      <alignment horizontal="left" wrapText="1"/>
      <protection locked="0"/>
    </xf>
    <xf numFmtId="0" fontId="0" fillId="7" borderId="61" xfId="0" applyFill="1" applyBorder="1" applyAlignment="1" applyProtection="1">
      <alignment horizontal="left" wrapText="1"/>
      <protection locked="0"/>
    </xf>
    <xf numFmtId="171" fontId="11" fillId="0" borderId="39" xfId="3" applyNumberFormat="1" applyFont="1" applyBorder="1" applyAlignment="1">
      <alignment horizontal="left" vertical="top" wrapText="1"/>
    </xf>
    <xf numFmtId="171" fontId="11" fillId="0" borderId="56" xfId="3" applyNumberFormat="1" applyFont="1" applyBorder="1" applyAlignment="1">
      <alignment horizontal="left" vertical="top" wrapText="1"/>
    </xf>
    <xf numFmtId="171" fontId="11" fillId="0" borderId="50" xfId="3" applyNumberFormat="1" applyFont="1" applyBorder="1" applyAlignment="1">
      <alignment horizontal="left" vertical="top" wrapText="1"/>
    </xf>
    <xf numFmtId="171" fontId="11" fillId="0" borderId="19" xfId="3" applyNumberFormat="1" applyFont="1" applyBorder="1" applyAlignment="1">
      <alignment horizontal="left" vertical="top" wrapText="1"/>
    </xf>
    <xf numFmtId="171" fontId="11" fillId="0" borderId="0" xfId="3" applyNumberFormat="1" applyFont="1" applyBorder="1" applyAlignment="1">
      <alignment horizontal="left" vertical="top" wrapText="1"/>
    </xf>
    <xf numFmtId="171" fontId="11" fillId="0" borderId="40" xfId="3" applyNumberFormat="1" applyFont="1" applyBorder="1" applyAlignment="1">
      <alignment horizontal="left" vertical="top" wrapText="1"/>
    </xf>
    <xf numFmtId="171" fontId="11" fillId="0" borderId="41" xfId="3" applyNumberFormat="1" applyFont="1" applyBorder="1" applyAlignment="1">
      <alignment horizontal="left" vertical="top" wrapText="1"/>
    </xf>
    <xf numFmtId="171" fontId="11" fillId="0" borderId="57" xfId="3" applyNumberFormat="1" applyFont="1" applyBorder="1" applyAlignment="1">
      <alignment horizontal="left" vertical="top" wrapText="1"/>
    </xf>
    <xf numFmtId="171" fontId="11" fillId="0" borderId="51" xfId="3" applyNumberFormat="1" applyFont="1" applyBorder="1" applyAlignment="1">
      <alignment horizontal="left" vertical="top" wrapText="1"/>
    </xf>
    <xf numFmtId="171" fontId="13" fillId="6" borderId="54" xfId="3" applyNumberFormat="1" applyFont="1" applyFill="1" applyBorder="1" applyAlignment="1">
      <alignment horizontal="center" vertical="top" wrapText="1"/>
    </xf>
    <xf numFmtId="171" fontId="13" fillId="6" borderId="58" xfId="3" applyNumberFormat="1" applyFont="1" applyFill="1" applyBorder="1" applyAlignment="1">
      <alignment horizontal="center" vertical="top" wrapText="1"/>
    </xf>
    <xf numFmtId="171" fontId="13" fillId="6" borderId="55" xfId="3" applyNumberFormat="1" applyFont="1" applyFill="1" applyBorder="1" applyAlignment="1">
      <alignment horizontal="center" vertical="top" wrapText="1"/>
    </xf>
    <xf numFmtId="171" fontId="12" fillId="7" borderId="54" xfId="3" applyNumberFormat="1" applyFont="1" applyFill="1" applyBorder="1" applyAlignment="1">
      <alignment horizontal="center" vertical="top" wrapText="1"/>
    </xf>
    <xf numFmtId="171" fontId="12" fillId="7" borderId="58" xfId="3" applyNumberFormat="1" applyFont="1" applyFill="1" applyBorder="1" applyAlignment="1">
      <alignment horizontal="center" vertical="top" wrapText="1"/>
    </xf>
    <xf numFmtId="171" fontId="12" fillId="7" borderId="55" xfId="3" applyNumberFormat="1" applyFont="1" applyFill="1" applyBorder="1" applyAlignment="1">
      <alignment horizontal="center" vertical="top" wrapText="1"/>
    </xf>
    <xf numFmtId="171" fontId="14" fillId="0" borderId="39" xfId="3" applyNumberFormat="1" applyFont="1" applyBorder="1" applyAlignment="1">
      <alignment horizontal="left" vertical="top" wrapText="1"/>
    </xf>
    <xf numFmtId="171" fontId="14" fillId="0" borderId="56" xfId="3" applyNumberFormat="1" applyFont="1" applyBorder="1" applyAlignment="1">
      <alignment horizontal="left" vertical="top" wrapText="1"/>
    </xf>
    <xf numFmtId="171" fontId="14" fillId="0" borderId="50" xfId="3" applyNumberFormat="1" applyFont="1" applyBorder="1" applyAlignment="1">
      <alignment horizontal="left" vertical="top" wrapText="1"/>
    </xf>
    <xf numFmtId="171" fontId="14" fillId="0" borderId="41" xfId="3" applyNumberFormat="1" applyFont="1" applyBorder="1" applyAlignment="1">
      <alignment horizontal="left" vertical="top" wrapText="1"/>
    </xf>
    <xf numFmtId="171" fontId="14" fillId="0" borderId="57" xfId="3" applyNumberFormat="1" applyFont="1" applyBorder="1" applyAlignment="1">
      <alignment horizontal="left" vertical="top" wrapText="1"/>
    </xf>
    <xf numFmtId="171" fontId="14" fillId="0" borderId="51" xfId="3" applyNumberFormat="1" applyFont="1" applyBorder="1" applyAlignment="1">
      <alignment horizontal="left" vertical="top" wrapText="1"/>
    </xf>
    <xf numFmtId="171" fontId="11" fillId="3" borderId="42" xfId="3" applyNumberFormat="1" applyFont="1" applyFill="1" applyBorder="1" applyAlignment="1">
      <alignment horizontal="center" vertical="center" wrapText="1"/>
    </xf>
    <xf numFmtId="171" fontId="11" fillId="3" borderId="27" xfId="3" applyNumberFormat="1" applyFont="1" applyFill="1" applyBorder="1" applyAlignment="1">
      <alignment horizontal="center" vertical="center" wrapText="1"/>
    </xf>
    <xf numFmtId="171" fontId="12" fillId="6" borderId="54" xfId="3" applyNumberFormat="1" applyFont="1" applyFill="1" applyBorder="1" applyAlignment="1">
      <alignment horizontal="center" vertical="top" wrapText="1"/>
    </xf>
    <xf numFmtId="171" fontId="12" fillId="6" borderId="58" xfId="3" applyNumberFormat="1" applyFont="1" applyFill="1" applyBorder="1" applyAlignment="1">
      <alignment horizontal="center" vertical="top" wrapText="1"/>
    </xf>
    <xf numFmtId="171" fontId="12" fillId="6" borderId="55" xfId="3" applyNumberFormat="1" applyFont="1" applyFill="1" applyBorder="1" applyAlignment="1">
      <alignment horizontal="center" vertical="top" wrapText="1"/>
    </xf>
    <xf numFmtId="171" fontId="27" fillId="0" borderId="41" xfId="3" applyNumberFormat="1" applyFont="1" applyBorder="1" applyAlignment="1">
      <alignment horizontal="left" vertical="top" wrapText="1"/>
    </xf>
    <xf numFmtId="171" fontId="27" fillId="0" borderId="57" xfId="3" applyNumberFormat="1" applyFont="1" applyBorder="1" applyAlignment="1">
      <alignment horizontal="left" vertical="top" wrapText="1"/>
    </xf>
    <xf numFmtId="171" fontId="27" fillId="0" borderId="51" xfId="3" applyNumberFormat="1" applyFont="1" applyBorder="1" applyAlignment="1">
      <alignment horizontal="left" vertical="top" wrapText="1"/>
    </xf>
    <xf numFmtId="0" fontId="7" fillId="8" borderId="62" xfId="0" applyFont="1" applyFill="1" applyBorder="1" applyAlignment="1">
      <alignment horizontal="center" vertical="distributed"/>
    </xf>
    <xf numFmtId="0" fontId="7" fillId="8" borderId="56" xfId="0" applyFont="1" applyFill="1" applyBorder="1" applyAlignment="1">
      <alignment horizontal="center" vertical="distributed"/>
    </xf>
    <xf numFmtId="0" fontId="7" fillId="8" borderId="63" xfId="0" applyFont="1" applyFill="1" applyBorder="1" applyAlignment="1">
      <alignment horizontal="center" vertical="distributed"/>
    </xf>
    <xf numFmtId="0" fontId="7" fillId="8" borderId="64" xfId="0" applyFont="1" applyFill="1" applyBorder="1" applyAlignment="1">
      <alignment horizontal="center" vertical="distributed"/>
    </xf>
    <xf numFmtId="0" fontId="7" fillId="8" borderId="57" xfId="0" applyFont="1" applyFill="1" applyBorder="1" applyAlignment="1">
      <alignment horizontal="center" vertical="distributed"/>
    </xf>
    <xf numFmtId="0" fontId="7" fillId="8" borderId="65" xfId="0" applyFont="1" applyFill="1" applyBorder="1" applyAlignment="1">
      <alignment horizontal="center" vertical="distributed"/>
    </xf>
    <xf numFmtId="49" fontId="30" fillId="3" borderId="25" xfId="3" applyNumberFormat="1" applyFont="1" applyFill="1" applyBorder="1" applyAlignment="1">
      <alignment horizontal="center" vertical="center" wrapText="1"/>
    </xf>
    <xf numFmtId="49" fontId="30" fillId="3" borderId="66" xfId="3" applyNumberFormat="1" applyFont="1" applyFill="1" applyBorder="1" applyAlignment="1">
      <alignment horizontal="center" vertical="center" wrapText="1"/>
    </xf>
    <xf numFmtId="171" fontId="30" fillId="3" borderId="67" xfId="3" applyNumberFormat="1" applyFont="1" applyFill="1" applyBorder="1" applyAlignment="1">
      <alignment horizontal="center" vertical="center" wrapText="1"/>
    </xf>
    <xf numFmtId="171" fontId="30" fillId="3" borderId="45" xfId="3" applyNumberFormat="1" applyFont="1" applyFill="1" applyBorder="1" applyAlignment="1">
      <alignment horizontal="center" vertical="center" wrapText="1"/>
    </xf>
    <xf numFmtId="49" fontId="30" fillId="3" borderId="28" xfId="3" applyNumberFormat="1" applyFont="1" applyFill="1" applyBorder="1" applyAlignment="1">
      <alignment horizontal="center" vertical="center" wrapText="1"/>
    </xf>
    <xf numFmtId="49" fontId="30" fillId="3" borderId="19" xfId="3" applyNumberFormat="1" applyFont="1" applyFill="1" applyBorder="1" applyAlignment="1">
      <alignment horizontal="center" vertical="center" wrapText="1"/>
    </xf>
  </cellXfs>
  <cellStyles count="36">
    <cellStyle name="Comma" xfId="1" builtinId="3"/>
    <cellStyle name="Currency" xfId="2" builtinId="4"/>
    <cellStyle name="Normal" xfId="0" builtinId="0"/>
    <cellStyle name="Normal_@Risk example" xfId="3"/>
    <cellStyle name="Percent" xfId="4" builtinId="5"/>
    <cellStyle name="RISKbigPercent" xfId="5"/>
    <cellStyle name="RISKblandrEdge" xfId="6"/>
    <cellStyle name="RISKblCorner" xfId="7"/>
    <cellStyle name="RISKbottomEdge" xfId="8"/>
    <cellStyle name="RISKbrCorner" xfId="9"/>
    <cellStyle name="RISKdarkBoxed" xfId="10"/>
    <cellStyle name="RISKdarkShade" xfId="11"/>
    <cellStyle name="RISKdbottomEdge" xfId="12"/>
    <cellStyle name="RISKdrightEdge" xfId="13"/>
    <cellStyle name="RISKdurationTime" xfId="14"/>
    <cellStyle name="RISKinNumber" xfId="15"/>
    <cellStyle name="RISKlandrEdge" xfId="16"/>
    <cellStyle name="RISKleftEdge" xfId="17"/>
    <cellStyle name="RISKlightBoxed" xfId="18"/>
    <cellStyle name="RISKltandbEdge" xfId="19"/>
    <cellStyle name="RISKnormBoxed" xfId="20"/>
    <cellStyle name="RISKnormCenter" xfId="21"/>
    <cellStyle name="RISKnormHeading" xfId="22"/>
    <cellStyle name="RISKnormItal" xfId="23"/>
    <cellStyle name="RISKnormLabel" xfId="24"/>
    <cellStyle name="RISKnormShade" xfId="25"/>
    <cellStyle name="RISKnormTitle" xfId="26"/>
    <cellStyle name="RISKoutNumber" xfId="27"/>
    <cellStyle name="RISKrightEdge" xfId="28"/>
    <cellStyle name="RISKrtandbEdge" xfId="29"/>
    <cellStyle name="RISKssTime" xfId="30"/>
    <cellStyle name="RISKtandbEdge" xfId="31"/>
    <cellStyle name="RISKtlandrEdge" xfId="32"/>
    <cellStyle name="RISKtlCorner" xfId="33"/>
    <cellStyle name="RISKtopEdge" xfId="34"/>
    <cellStyle name="RISKtrCorner" xfId="3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epixanalytics.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2</xdr:col>
      <xdr:colOff>1244600</xdr:colOff>
      <xdr:row>30</xdr:row>
      <xdr:rowOff>114300</xdr:rowOff>
    </xdr:from>
    <xdr:to>
      <xdr:col>4</xdr:col>
      <xdr:colOff>876300</xdr:colOff>
      <xdr:row>30</xdr:row>
      <xdr:rowOff>114300</xdr:rowOff>
    </xdr:to>
    <xdr:sp macro="" textlink="">
      <xdr:nvSpPr>
        <xdr:cNvPr id="4114" name="Line 1">
          <a:extLst>
            <a:ext uri="{FF2B5EF4-FFF2-40B4-BE49-F238E27FC236}">
              <a16:creationId xmlns:a16="http://schemas.microsoft.com/office/drawing/2014/main" id="{45D58E47-8E5F-424C-9D91-9AB275DF2A31}"/>
            </a:ext>
          </a:extLst>
        </xdr:cNvPr>
        <xdr:cNvSpPr>
          <a:spLocks noChangeShapeType="1"/>
        </xdr:cNvSpPr>
      </xdr:nvSpPr>
      <xdr:spPr bwMode="auto">
        <a:xfrm flipV="1">
          <a:off x="3949700" y="6172200"/>
          <a:ext cx="4178300" cy="0"/>
        </a:xfrm>
        <a:prstGeom prst="line">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57150</xdr:rowOff>
    </xdr:from>
    <xdr:to>
      <xdr:col>1</xdr:col>
      <xdr:colOff>2393950</xdr:colOff>
      <xdr:row>2</xdr:row>
      <xdr:rowOff>133350</xdr:rowOff>
    </xdr:to>
    <xdr:pic>
      <xdr:nvPicPr>
        <xdr:cNvPr id="2" name="Picture 126">
          <a:hlinkClick xmlns:r="http://schemas.openxmlformats.org/officeDocument/2006/relationships" r:id="rId1"/>
          <a:extLst>
            <a:ext uri="{FF2B5EF4-FFF2-40B4-BE49-F238E27FC236}">
              <a16:creationId xmlns:a16="http://schemas.microsoft.com/office/drawing/2014/main" id="{C0EF8529-7D29-415D-87A3-34B984E113F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57150"/>
          <a:ext cx="2393950" cy="1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107950</xdr:colOff>
      <xdr:row>0</xdr:row>
      <xdr:rowOff>25400</xdr:rowOff>
    </xdr:from>
    <xdr:to>
      <xdr:col>3</xdr:col>
      <xdr:colOff>38100</xdr:colOff>
      <xdr:row>2</xdr:row>
      <xdr:rowOff>196850</xdr:rowOff>
    </xdr:to>
    <xdr:pic>
      <xdr:nvPicPr>
        <xdr:cNvPr id="3" name="Picture 126">
          <a:hlinkClick xmlns:r="http://schemas.openxmlformats.org/officeDocument/2006/relationships" r:id="rId1"/>
          <a:extLst>
            <a:ext uri="{FF2B5EF4-FFF2-40B4-BE49-F238E27FC236}">
              <a16:creationId xmlns:a16="http://schemas.microsoft.com/office/drawing/2014/main" id="{D5C81A8E-9648-4085-BE2A-F1ACF693412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950" y="25400"/>
          <a:ext cx="2108200" cy="901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146050</xdr:colOff>
      <xdr:row>0</xdr:row>
      <xdr:rowOff>0</xdr:rowOff>
    </xdr:from>
    <xdr:to>
      <xdr:col>2</xdr:col>
      <xdr:colOff>654050</xdr:colOff>
      <xdr:row>3</xdr:row>
      <xdr:rowOff>114300</xdr:rowOff>
    </xdr:to>
    <xdr:pic>
      <xdr:nvPicPr>
        <xdr:cNvPr id="3" name="Picture 126">
          <a:hlinkClick xmlns:r="http://schemas.openxmlformats.org/officeDocument/2006/relationships" r:id="rId1"/>
          <a:extLst>
            <a:ext uri="{FF2B5EF4-FFF2-40B4-BE49-F238E27FC236}">
              <a16:creationId xmlns:a16="http://schemas.microsoft.com/office/drawing/2014/main" id="{1F197776-52D1-4F8A-B614-88141FD7BE4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050" y="0"/>
          <a:ext cx="2387600" cy="990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Huybert%20Groenendaal/My%20Documents/Risk%20Media/Software/ModelAssist/Models/Real%20option/NPV%20of%20a%20capital%20invest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blem description"/>
      <sheetName val="Static model"/>
      <sheetName val="Solution"/>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5" x14ac:dyDescent="0.25"/>
  <cols>
    <col min="1" max="2" width="36.6328125" customWidth="1"/>
  </cols>
  <sheetData>
    <row r="1" spans="1:3" ht="13" x14ac:dyDescent="0.3">
      <c r="A1" s="149" t="s">
        <v>66</v>
      </c>
    </row>
    <row r="3" spans="1:3" x14ac:dyDescent="0.25">
      <c r="A3" t="s">
        <v>67</v>
      </c>
      <c r="B3" t="s">
        <v>68</v>
      </c>
      <c r="C3">
        <v>0</v>
      </c>
    </row>
    <row r="4" spans="1:3" x14ac:dyDescent="0.25">
      <c r="A4" t="s">
        <v>69</v>
      </c>
    </row>
    <row r="5" spans="1:3" x14ac:dyDescent="0.25">
      <c r="A5" t="s">
        <v>70</v>
      </c>
    </row>
    <row r="7" spans="1:3" ht="13" x14ac:dyDescent="0.3">
      <c r="A7" s="149" t="s">
        <v>71</v>
      </c>
      <c r="B7" t="s">
        <v>72</v>
      </c>
    </row>
    <row r="8" spans="1:3" x14ac:dyDescent="0.25">
      <c r="B8">
        <v>2</v>
      </c>
    </row>
    <row r="10" spans="1:3" x14ac:dyDescent="0.25">
      <c r="A10" t="s">
        <v>73</v>
      </c>
    </row>
    <row r="11" spans="1:3" x14ac:dyDescent="0.25">
      <c r="A11" t="e">
        <f>CB_DATA_!#REF!</f>
        <v>#REF!</v>
      </c>
      <c r="B11" t="e">
        <f>'Real Option Model'!#REF!</f>
        <v>#REF!</v>
      </c>
    </row>
    <row r="13" spans="1:3" x14ac:dyDescent="0.25">
      <c r="A13" t="s">
        <v>74</v>
      </c>
    </row>
    <row r="14" spans="1:3" x14ac:dyDescent="0.25">
      <c r="A14" t="s">
        <v>84</v>
      </c>
      <c r="B14" t="s">
        <v>78</v>
      </c>
    </row>
    <row r="16" spans="1:3" x14ac:dyDescent="0.25">
      <c r="A16" t="s">
        <v>75</v>
      </c>
    </row>
    <row r="19" spans="1:2" x14ac:dyDescent="0.25">
      <c r="A19" t="s">
        <v>76</v>
      </c>
    </row>
    <row r="20" spans="1:2" x14ac:dyDescent="0.25">
      <c r="A20">
        <v>28</v>
      </c>
      <c r="B20">
        <v>31</v>
      </c>
    </row>
    <row r="25" spans="1:2" ht="13" x14ac:dyDescent="0.3">
      <c r="A25" s="149" t="s">
        <v>77</v>
      </c>
    </row>
    <row r="26" spans="1:2" x14ac:dyDescent="0.25">
      <c r="A26" s="150" t="s">
        <v>79</v>
      </c>
      <c r="B26" s="150" t="s">
        <v>79</v>
      </c>
    </row>
    <row r="27" spans="1:2" x14ac:dyDescent="0.25">
      <c r="A27" t="s">
        <v>85</v>
      </c>
      <c r="B27" t="s">
        <v>80</v>
      </c>
    </row>
    <row r="28" spans="1:2" x14ac:dyDescent="0.25">
      <c r="A28" s="150" t="s">
        <v>81</v>
      </c>
      <c r="B28" s="150" t="s">
        <v>81</v>
      </c>
    </row>
    <row r="29" spans="1:2" x14ac:dyDescent="0.25">
      <c r="B29" s="150" t="s">
        <v>82</v>
      </c>
    </row>
    <row r="30" spans="1:2" x14ac:dyDescent="0.25">
      <c r="B30" t="s">
        <v>83</v>
      </c>
    </row>
    <row r="31" spans="1:2" x14ac:dyDescent="0.25">
      <c r="B31" s="150" t="s">
        <v>81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47"/>
  <sheetViews>
    <sheetView showGridLines="0" tabSelected="1" workbookViewId="0"/>
  </sheetViews>
  <sheetFormatPr defaultColWidth="12.7265625" defaultRowHeight="14" x14ac:dyDescent="0.3"/>
  <cols>
    <col min="1" max="1" width="2.7265625" style="29" customWidth="1"/>
    <col min="2" max="2" width="36" style="30" customWidth="1"/>
    <col min="3" max="4" width="32.54296875" style="29" customWidth="1"/>
    <col min="5" max="5" width="12.7265625" style="29" customWidth="1"/>
    <col min="6" max="6" width="16.1796875" style="29" customWidth="1"/>
    <col min="7" max="16384" width="12.7265625" style="29"/>
  </cols>
  <sheetData>
    <row r="1" spans="2:6" s="41" customFormat="1" ht="57" customHeight="1" x14ac:dyDescent="0.25"/>
    <row r="2" spans="2:6" s="41" customFormat="1" ht="17.25" customHeight="1" x14ac:dyDescent="0.4">
      <c r="C2" s="42" t="s">
        <v>60</v>
      </c>
    </row>
    <row r="3" spans="2:6" s="41" customFormat="1" ht="17.25" customHeight="1" x14ac:dyDescent="0.35">
      <c r="E3" s="43"/>
    </row>
    <row r="4" spans="2:6" s="41" customFormat="1" ht="14.25" customHeight="1" thickBot="1" x14ac:dyDescent="0.4">
      <c r="E4" s="43"/>
    </row>
    <row r="5" spans="2:6" s="41" customFormat="1" ht="15" customHeight="1" x14ac:dyDescent="0.35">
      <c r="B5" s="151" t="s">
        <v>51</v>
      </c>
      <c r="C5" s="152"/>
      <c r="D5" s="153"/>
      <c r="E5" s="43"/>
    </row>
    <row r="6" spans="2:6" s="41" customFormat="1" ht="14.25" customHeight="1" thickBot="1" x14ac:dyDescent="0.4">
      <c r="B6" s="154"/>
      <c r="C6" s="155"/>
      <c r="D6" s="156"/>
      <c r="E6" s="43"/>
    </row>
    <row r="7" spans="2:6" s="41" customFormat="1" ht="14.25" customHeight="1" x14ac:dyDescent="0.35">
      <c r="E7" s="43"/>
    </row>
    <row r="9" spans="2:6" x14ac:dyDescent="0.3">
      <c r="B9" s="180" t="s">
        <v>30</v>
      </c>
      <c r="C9" s="181"/>
      <c r="D9" s="182"/>
    </row>
    <row r="10" spans="2:6" x14ac:dyDescent="0.3">
      <c r="B10" s="29"/>
    </row>
    <row r="11" spans="2:6" x14ac:dyDescent="0.3">
      <c r="B11" s="157" t="s">
        <v>31</v>
      </c>
      <c r="C11" s="158"/>
      <c r="D11" s="159"/>
    </row>
    <row r="12" spans="2:6" ht="15" customHeight="1" x14ac:dyDescent="0.3">
      <c r="B12" s="183" t="s">
        <v>52</v>
      </c>
      <c r="C12" s="184"/>
      <c r="D12" s="185"/>
    </row>
    <row r="13" spans="2:6" ht="15" customHeight="1" x14ac:dyDescent="0.3">
      <c r="B13" s="29"/>
    </row>
    <row r="14" spans="2:6" ht="15" customHeight="1" x14ac:dyDescent="0.3">
      <c r="B14" s="169" t="s">
        <v>32</v>
      </c>
      <c r="C14" s="170"/>
      <c r="D14" s="171"/>
      <c r="F14" s="178" t="s">
        <v>33</v>
      </c>
    </row>
    <row r="15" spans="2:6" x14ac:dyDescent="0.3">
      <c r="B15" s="28"/>
      <c r="F15" s="179"/>
    </row>
    <row r="16" spans="2:6" ht="15" customHeight="1" x14ac:dyDescent="0.3">
      <c r="B16" s="157" t="str">
        <f ca="1">CONCATENATE("Product development cost have been estimated by F Gibbons to be  (70000, 80000, 120000) spread over ",YEAR(TODAY())+1," to ",YEAR(TODAY())+3," in the ratio 5:2:1. ","However P Gumbel considers the product development is (70000, 100000, 140000) in the same ratio and over the same period. ","Include these uncertainties in the model. Capital expenses and overheads are well defined and are not subject to change.")</f>
        <v>Product development cost have been estimated by F Gibbons to be  (70000, 80000, 120000) spread over 2018 to 2020 in the ratio 5:2:1. However P Gumbel considers the product development is (70000, 100000, 140000) in the same ratio and over the same period. Include these uncertainties in the model. Capital expenses and overheads are well defined and are not subject to change.</v>
      </c>
      <c r="C16" s="158"/>
      <c r="D16" s="159"/>
      <c r="F16" s="44">
        <v>1.5E-3</v>
      </c>
    </row>
    <row r="17" spans="2:6" ht="15" customHeight="1" x14ac:dyDescent="0.3">
      <c r="B17" s="160"/>
      <c r="C17" s="161"/>
      <c r="D17" s="162"/>
      <c r="F17" s="44">
        <v>1.9E-3</v>
      </c>
    </row>
    <row r="18" spans="2:6" x14ac:dyDescent="0.3">
      <c r="B18" s="160"/>
      <c r="C18" s="161"/>
      <c r="D18" s="162"/>
      <c r="F18" s="44">
        <v>-1.2999999999999999E-3</v>
      </c>
    </row>
    <row r="19" spans="2:6" x14ac:dyDescent="0.3">
      <c r="B19" s="163"/>
      <c r="C19" s="164"/>
      <c r="D19" s="165"/>
      <c r="F19" s="44">
        <v>-8.9999999999999998E-4</v>
      </c>
    </row>
    <row r="20" spans="2:6" x14ac:dyDescent="0.3">
      <c r="B20" s="46"/>
      <c r="C20" s="46"/>
      <c r="D20" s="46"/>
      <c r="F20" s="44">
        <v>4.3E-3</v>
      </c>
    </row>
    <row r="21" spans="2:6" x14ac:dyDescent="0.3">
      <c r="B21" s="169" t="s">
        <v>34</v>
      </c>
      <c r="C21" s="170"/>
      <c r="D21" s="171"/>
      <c r="F21" s="44">
        <v>3.0999999999999999E-3</v>
      </c>
    </row>
    <row r="22" spans="2:6" x14ac:dyDescent="0.3">
      <c r="B22" s="28"/>
      <c r="F22" s="44">
        <v>6.3E-3</v>
      </c>
    </row>
    <row r="23" spans="2:6" ht="15" customHeight="1" x14ac:dyDescent="0.3">
      <c r="B23" s="157" t="str">
        <f ca="1">CONCATENATE("Tax rate is fixed at 46% unless the Conservatives get in at the next election in ",YEAR(TODAY())+4," (20% chance) when the rate would drop to (32%, 35%, 46%). ", "Include this extra uncertainty in the model.")</f>
        <v>Tax rate is fixed at 46% unless the Conservatives get in at the next election in 2021 (20% chance) when the rate would drop to (32%, 35%, 46%). Include this extra uncertainty in the model.</v>
      </c>
      <c r="C23" s="158"/>
      <c r="D23" s="159"/>
      <c r="F23" s="44">
        <v>-2.7000000000000001E-3</v>
      </c>
    </row>
    <row r="24" spans="2:6" x14ac:dyDescent="0.3">
      <c r="B24" s="163"/>
      <c r="C24" s="164"/>
      <c r="D24" s="165"/>
      <c r="F24" s="44">
        <v>-5.4000000000000003E-3</v>
      </c>
    </row>
    <row r="25" spans="2:6" x14ac:dyDescent="0.3">
      <c r="B25" s="28"/>
      <c r="F25" s="44">
        <v>-5.5999999999999999E-3</v>
      </c>
    </row>
    <row r="26" spans="2:6" x14ac:dyDescent="0.3">
      <c r="B26" s="169" t="s">
        <v>35</v>
      </c>
      <c r="C26" s="170"/>
      <c r="D26" s="171"/>
      <c r="F26" s="44">
        <v>-1.6000000000000001E-3</v>
      </c>
    </row>
    <row r="27" spans="2:6" x14ac:dyDescent="0.3">
      <c r="B27" s="28"/>
      <c r="F27" s="44">
        <v>2.5000000000000001E-3</v>
      </c>
    </row>
    <row r="28" spans="2:6" ht="15" customHeight="1" x14ac:dyDescent="0.3">
      <c r="B28" s="157" t="str">
        <f ca="1">CONCATENATE("Market volume is expected to grow each year by (10%, 20%, 40%) beginning in ",YEAR(TODAY())+3," at (2500, 3000, 5000) up to a maximum of 20,000 units. ","Cost per unit in ",YEAR(TODAY())+3," is estimated at (22.75, 23.25, 24.5). ","Sales price per unit is estimated at (45, 58, 65) in ",YEAR(TODAY())+3,". Both the cost and sales price per unit are subject to inflation from ",YEAR(TODAY())+3," at a rate starting at  (3%, 4%, 6%) and varying yearly in a similar fashion to historic rates.")</f>
        <v>Market volume is expected to grow each year by (10%, 20%, 40%) beginning in 2020 at (2500, 3000, 5000) up to a maximum of 20,000 units. Cost per unit in 2020 is estimated at (22.75, 23.25, 24.5). Sales price per unit is estimated at (45, 58, 65) in 2020. Both the cost and sales price per unit are subject to inflation from 2020 at a rate starting at  (3%, 4%, 6%) and varying yearly in a similar fashion to historic rates.</v>
      </c>
      <c r="C28" s="158"/>
      <c r="D28" s="159"/>
      <c r="F28" s="44">
        <v>-4.1000000000000003E-3</v>
      </c>
    </row>
    <row r="29" spans="2:6" x14ac:dyDescent="0.3">
      <c r="B29" s="160"/>
      <c r="C29" s="161"/>
      <c r="D29" s="162"/>
      <c r="F29" s="44">
        <v>-2.5999999999999999E-3</v>
      </c>
    </row>
    <row r="30" spans="2:6" x14ac:dyDescent="0.3">
      <c r="B30" s="160"/>
      <c r="C30" s="161"/>
      <c r="D30" s="162"/>
      <c r="F30" s="44">
        <v>2.9999999999999997E-4</v>
      </c>
    </row>
    <row r="31" spans="2:6" ht="15" customHeight="1" x14ac:dyDescent="0.3">
      <c r="B31" s="163"/>
      <c r="C31" s="164"/>
      <c r="D31" s="165"/>
      <c r="F31" s="44">
        <v>2.8999999999999998E-3</v>
      </c>
    </row>
    <row r="32" spans="2:6" x14ac:dyDescent="0.3">
      <c r="F32" s="44">
        <v>-4.4000000000000003E-3</v>
      </c>
    </row>
    <row r="33" spans="2:6" x14ac:dyDescent="0.3">
      <c r="B33" s="169" t="s">
        <v>36</v>
      </c>
      <c r="C33" s="170"/>
      <c r="D33" s="171"/>
      <c r="F33" s="44">
        <v>7.1999999999999998E-3</v>
      </c>
    </row>
    <row r="34" spans="2:6" ht="15" customHeight="1" x14ac:dyDescent="0.3">
      <c r="F34" s="44">
        <v>-5.9999999999999995E-4</v>
      </c>
    </row>
    <row r="35" spans="2:6" ht="15" customHeight="1" x14ac:dyDescent="0.3">
      <c r="B35" s="157" t="s">
        <v>53</v>
      </c>
      <c r="C35" s="158"/>
      <c r="D35" s="159"/>
      <c r="F35" s="44">
        <v>-2E-3</v>
      </c>
    </row>
    <row r="36" spans="2:6" x14ac:dyDescent="0.3">
      <c r="B36" s="160"/>
      <c r="C36" s="161"/>
      <c r="D36" s="162"/>
      <c r="F36" s="44">
        <v>-3.2000000000000002E-3</v>
      </c>
    </row>
    <row r="37" spans="2:6" x14ac:dyDescent="0.3">
      <c r="B37" s="163"/>
      <c r="C37" s="164"/>
      <c r="D37" s="165"/>
      <c r="F37" s="47">
        <v>-3.3E-3</v>
      </c>
    </row>
    <row r="38" spans="2:6" x14ac:dyDescent="0.3">
      <c r="B38" s="45"/>
      <c r="C38" s="45"/>
      <c r="D38" s="45"/>
      <c r="F38" s="92"/>
    </row>
    <row r="39" spans="2:6" x14ac:dyDescent="0.3">
      <c r="B39" s="169" t="s">
        <v>55</v>
      </c>
      <c r="C39" s="170"/>
      <c r="D39" s="171"/>
      <c r="F39" s="92"/>
    </row>
    <row r="40" spans="2:6" x14ac:dyDescent="0.3">
      <c r="F40" s="92"/>
    </row>
    <row r="41" spans="2:6" ht="15" customHeight="1" x14ac:dyDescent="0.3">
      <c r="B41" s="157" t="s">
        <v>56</v>
      </c>
      <c r="C41" s="158"/>
      <c r="D41" s="159"/>
      <c r="F41" s="92"/>
    </row>
    <row r="42" spans="2:6" x14ac:dyDescent="0.3">
      <c r="B42" s="163"/>
      <c r="C42" s="164"/>
      <c r="D42" s="165"/>
      <c r="F42" s="92"/>
    </row>
    <row r="43" spans="2:6" x14ac:dyDescent="0.3">
      <c r="B43" s="29"/>
    </row>
    <row r="44" spans="2:6" x14ac:dyDescent="0.3">
      <c r="B44" s="166" t="s">
        <v>37</v>
      </c>
      <c r="C44" s="167"/>
      <c r="D44" s="168"/>
    </row>
    <row r="45" spans="2:6" x14ac:dyDescent="0.3">
      <c r="B45" s="31"/>
    </row>
    <row r="46" spans="2:6" x14ac:dyDescent="0.3">
      <c r="B46" s="172" t="s">
        <v>57</v>
      </c>
      <c r="C46" s="173"/>
      <c r="D46" s="174"/>
    </row>
    <row r="47" spans="2:6" x14ac:dyDescent="0.3">
      <c r="B47" s="175"/>
      <c r="C47" s="176"/>
      <c r="D47" s="177"/>
    </row>
  </sheetData>
  <mergeCells count="17">
    <mergeCell ref="B46:D47"/>
    <mergeCell ref="F14:F15"/>
    <mergeCell ref="B9:D9"/>
    <mergeCell ref="B11:D11"/>
    <mergeCell ref="B12:D12"/>
    <mergeCell ref="B14:D14"/>
    <mergeCell ref="B39:D39"/>
    <mergeCell ref="B41:D42"/>
    <mergeCell ref="B5:D6"/>
    <mergeCell ref="B35:D37"/>
    <mergeCell ref="B44:D44"/>
    <mergeCell ref="B26:D26"/>
    <mergeCell ref="B33:D33"/>
    <mergeCell ref="B23:D24"/>
    <mergeCell ref="B28:D31"/>
    <mergeCell ref="B21:D21"/>
    <mergeCell ref="B16:D19"/>
  </mergeCells>
  <phoneticPr fontId="0"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O44"/>
  <sheetViews>
    <sheetView showGridLines="0" workbookViewId="0"/>
  </sheetViews>
  <sheetFormatPr defaultColWidth="9.1796875" defaultRowHeight="12.5" x14ac:dyDescent="0.25"/>
  <cols>
    <col min="1" max="1" width="2.1796875" style="2" customWidth="1"/>
    <col min="2" max="2" width="20.26953125" bestFit="1" customWidth="1"/>
    <col min="3" max="4" width="8.7265625" customWidth="1"/>
    <col min="5" max="5" width="9" customWidth="1"/>
    <col min="6" max="8" width="8.7265625" customWidth="1"/>
    <col min="9" max="11" width="8.54296875" bestFit="1" customWidth="1"/>
    <col min="12" max="12" width="9.54296875" bestFit="1" customWidth="1"/>
    <col min="13" max="16384" width="9.1796875" style="2"/>
  </cols>
  <sheetData>
    <row r="1" spans="2:15" s="41" customFormat="1" ht="40.5" customHeight="1" x14ac:dyDescent="0.25"/>
    <row r="2" spans="2:15" s="41" customFormat="1" ht="17.25" customHeight="1" x14ac:dyDescent="0.4">
      <c r="C2" s="42"/>
      <c r="E2" s="42" t="s">
        <v>58</v>
      </c>
    </row>
    <row r="3" spans="2:15" s="41" customFormat="1" ht="17.25" customHeight="1" x14ac:dyDescent="0.35">
      <c r="E3" s="43"/>
    </row>
    <row r="4" spans="2:15" ht="13" x14ac:dyDescent="0.3">
      <c r="B4" s="48" t="s">
        <v>0</v>
      </c>
      <c r="C4" s="49">
        <f>NPV(0.1,C16:L16)</f>
        <v>-37134.151256459903</v>
      </c>
      <c r="D4" s="3"/>
      <c r="E4" s="50" t="s">
        <v>54</v>
      </c>
      <c r="F4" s="3"/>
      <c r="I4" s="49">
        <v>-37134.151256459903</v>
      </c>
      <c r="J4" s="3"/>
      <c r="K4" s="3"/>
      <c r="L4" s="3"/>
    </row>
    <row r="5" spans="2:15" ht="13" thickBot="1" x14ac:dyDescent="0.3">
      <c r="B5" s="3"/>
      <c r="C5" s="3"/>
      <c r="D5" s="3"/>
      <c r="E5" s="3"/>
      <c r="F5" s="3"/>
      <c r="G5" s="3"/>
      <c r="H5" s="3"/>
      <c r="I5" s="3"/>
      <c r="J5" s="3"/>
      <c r="K5" s="3"/>
      <c r="L5" s="3"/>
    </row>
    <row r="6" spans="2:15" ht="13" x14ac:dyDescent="0.3">
      <c r="B6" s="51" t="s">
        <v>1</v>
      </c>
      <c r="C6" s="52">
        <f ca="1">YEAR(TODAY())+1</f>
        <v>2018</v>
      </c>
      <c r="D6" s="52">
        <f t="shared" ref="D6:L6" ca="1" si="0">C6+1</f>
        <v>2019</v>
      </c>
      <c r="E6" s="52">
        <f t="shared" ca="1" si="0"/>
        <v>2020</v>
      </c>
      <c r="F6" s="52">
        <f t="shared" ca="1" si="0"/>
        <v>2021</v>
      </c>
      <c r="G6" s="52">
        <f t="shared" ca="1" si="0"/>
        <v>2022</v>
      </c>
      <c r="H6" s="52">
        <f t="shared" ca="1" si="0"/>
        <v>2023</v>
      </c>
      <c r="I6" s="52">
        <f t="shared" ca="1" si="0"/>
        <v>2024</v>
      </c>
      <c r="J6" s="52">
        <f t="shared" ca="1" si="0"/>
        <v>2025</v>
      </c>
      <c r="K6" s="52">
        <f t="shared" ca="1" si="0"/>
        <v>2026</v>
      </c>
      <c r="L6" s="53">
        <f t="shared" ca="1" si="0"/>
        <v>2027</v>
      </c>
      <c r="M6" s="5"/>
      <c r="N6" s="5"/>
      <c r="O6" s="5"/>
    </row>
    <row r="7" spans="2:15" x14ac:dyDescent="0.25">
      <c r="B7" s="186" t="s">
        <v>2</v>
      </c>
      <c r="C7" s="187"/>
      <c r="D7" s="187"/>
      <c r="E7" s="187"/>
      <c r="F7" s="187"/>
      <c r="G7" s="187"/>
      <c r="H7" s="187"/>
      <c r="I7" s="187"/>
      <c r="J7" s="187"/>
      <c r="K7" s="187"/>
      <c r="L7" s="188"/>
    </row>
    <row r="8" spans="2:15" x14ac:dyDescent="0.25">
      <c r="B8" s="189"/>
      <c r="C8" s="190"/>
      <c r="D8" s="190"/>
      <c r="E8" s="190"/>
      <c r="F8" s="190"/>
      <c r="G8" s="190"/>
      <c r="H8" s="190"/>
      <c r="I8" s="190"/>
      <c r="J8" s="190"/>
      <c r="K8" s="190"/>
      <c r="L8" s="191"/>
    </row>
    <row r="9" spans="2:15" x14ac:dyDescent="0.25">
      <c r="B9" s="54" t="s">
        <v>3</v>
      </c>
      <c r="C9" s="9">
        <f t="shared" ref="C9:L9" si="1">C25*C27</f>
        <v>0</v>
      </c>
      <c r="D9" s="9">
        <f t="shared" si="1"/>
        <v>0</v>
      </c>
      <c r="E9" s="55">
        <f t="shared" si="1"/>
        <v>174000</v>
      </c>
      <c r="F9" s="55">
        <f t="shared" si="1"/>
        <v>217152</v>
      </c>
      <c r="G9" s="55">
        <f t="shared" si="1"/>
        <v>135502.848</v>
      </c>
      <c r="H9" s="55">
        <f t="shared" si="1"/>
        <v>169107.55430400002</v>
      </c>
      <c r="I9" s="55">
        <f t="shared" si="1"/>
        <v>140697.48518092799</v>
      </c>
      <c r="J9" s="55">
        <f t="shared" si="1"/>
        <v>175590.46150579819</v>
      </c>
      <c r="K9" s="55">
        <f t="shared" si="1"/>
        <v>219136.89595923614</v>
      </c>
      <c r="L9" s="56">
        <f t="shared" si="1"/>
        <v>273482.84615712665</v>
      </c>
    </row>
    <row r="10" spans="2:15" x14ac:dyDescent="0.25">
      <c r="B10" s="54" t="s">
        <v>4</v>
      </c>
      <c r="C10" s="9">
        <f t="shared" ref="C10:L10" si="2">C20*C27</f>
        <v>0</v>
      </c>
      <c r="D10" s="9">
        <f t="shared" si="2"/>
        <v>0</v>
      </c>
      <c r="E10" s="55">
        <f t="shared" si="2"/>
        <v>69750</v>
      </c>
      <c r="F10" s="55">
        <f t="shared" si="2"/>
        <v>87048</v>
      </c>
      <c r="G10" s="55">
        <f t="shared" si="2"/>
        <v>54317.952000000005</v>
      </c>
      <c r="H10" s="55">
        <f t="shared" si="2"/>
        <v>67788.804096000007</v>
      </c>
      <c r="I10" s="55">
        <f t="shared" si="2"/>
        <v>56400.285007872008</v>
      </c>
      <c r="J10" s="55">
        <f t="shared" si="2"/>
        <v>70387.555689824279</v>
      </c>
      <c r="K10" s="55">
        <f t="shared" si="2"/>
        <v>87843.669500900694</v>
      </c>
      <c r="L10" s="56">
        <f t="shared" si="2"/>
        <v>109628.89953712406</v>
      </c>
    </row>
    <row r="11" spans="2:15" x14ac:dyDescent="0.25">
      <c r="B11" s="54" t="s">
        <v>5</v>
      </c>
      <c r="C11" s="9">
        <f t="shared" ref="C11:L11" si="3">C9-C10</f>
        <v>0</v>
      </c>
      <c r="D11" s="9">
        <f t="shared" si="3"/>
        <v>0</v>
      </c>
      <c r="E11" s="55">
        <f t="shared" si="3"/>
        <v>104250</v>
      </c>
      <c r="F11" s="55">
        <f t="shared" si="3"/>
        <v>130104</v>
      </c>
      <c r="G11" s="55">
        <f t="shared" si="3"/>
        <v>81184.895999999993</v>
      </c>
      <c r="H11" s="55">
        <f t="shared" si="3"/>
        <v>101318.75020800001</v>
      </c>
      <c r="I11" s="55">
        <f t="shared" si="3"/>
        <v>84297.200173055986</v>
      </c>
      <c r="J11" s="55">
        <f t="shared" si="3"/>
        <v>105202.90581597391</v>
      </c>
      <c r="K11" s="55">
        <f t="shared" si="3"/>
        <v>131293.22645833544</v>
      </c>
      <c r="L11" s="56">
        <f t="shared" si="3"/>
        <v>163853.94662000259</v>
      </c>
    </row>
    <row r="12" spans="2:15" x14ac:dyDescent="0.25">
      <c r="B12" s="54" t="s">
        <v>6</v>
      </c>
      <c r="C12" s="55">
        <f t="shared" ref="C12:L12" si="4">C33</f>
        <v>175000</v>
      </c>
      <c r="D12" s="55">
        <f t="shared" si="4"/>
        <v>175000</v>
      </c>
      <c r="E12" s="55">
        <f t="shared" si="4"/>
        <v>85000</v>
      </c>
      <c r="F12" s="55">
        <f t="shared" si="4"/>
        <v>55000</v>
      </c>
      <c r="G12" s="55">
        <f t="shared" si="4"/>
        <v>20000</v>
      </c>
      <c r="H12" s="55">
        <f t="shared" si="4"/>
        <v>20000</v>
      </c>
      <c r="I12" s="55">
        <f t="shared" si="4"/>
        <v>20000</v>
      </c>
      <c r="J12" s="55">
        <f t="shared" si="4"/>
        <v>25000</v>
      </c>
      <c r="K12" s="55">
        <f t="shared" si="4"/>
        <v>25000</v>
      </c>
      <c r="L12" s="56">
        <f t="shared" si="4"/>
        <v>25000</v>
      </c>
    </row>
    <row r="13" spans="2:15" x14ac:dyDescent="0.25">
      <c r="B13" s="57" t="s">
        <v>7</v>
      </c>
      <c r="C13" s="55">
        <f t="shared" ref="C13:L13" si="5">C11-C12</f>
        <v>-175000</v>
      </c>
      <c r="D13" s="55">
        <f t="shared" si="5"/>
        <v>-175000</v>
      </c>
      <c r="E13" s="55">
        <f t="shared" si="5"/>
        <v>19250</v>
      </c>
      <c r="F13" s="55">
        <f t="shared" si="5"/>
        <v>75104</v>
      </c>
      <c r="G13" s="55">
        <f t="shared" si="5"/>
        <v>61184.895999999993</v>
      </c>
      <c r="H13" s="55">
        <f t="shared" si="5"/>
        <v>81318.750208000012</v>
      </c>
      <c r="I13" s="55">
        <f t="shared" si="5"/>
        <v>64297.200173055986</v>
      </c>
      <c r="J13" s="55">
        <f t="shared" si="5"/>
        <v>80202.905815973907</v>
      </c>
      <c r="K13" s="55">
        <f t="shared" si="5"/>
        <v>106293.22645833544</v>
      </c>
      <c r="L13" s="56">
        <f t="shared" si="5"/>
        <v>138853.94662000259</v>
      </c>
    </row>
    <row r="14" spans="2:15" x14ac:dyDescent="0.25">
      <c r="B14" s="57" t="s">
        <v>8</v>
      </c>
      <c r="C14" s="55">
        <f>C13</f>
        <v>-175000</v>
      </c>
      <c r="D14" s="55">
        <f t="shared" ref="D14:L14" si="6">C14+D13-MAX((C15/C22),0)</f>
        <v>-350000</v>
      </c>
      <c r="E14" s="55">
        <f t="shared" si="6"/>
        <v>-330750</v>
      </c>
      <c r="F14" s="55">
        <f t="shared" si="6"/>
        <v>-255646</v>
      </c>
      <c r="G14" s="55">
        <f t="shared" si="6"/>
        <v>-194461.10399999999</v>
      </c>
      <c r="H14" s="55">
        <f t="shared" si="6"/>
        <v>-113142.35379199998</v>
      </c>
      <c r="I14" s="55">
        <f t="shared" si="6"/>
        <v>-48845.153618943994</v>
      </c>
      <c r="J14" s="55">
        <f t="shared" si="6"/>
        <v>31357.752197029913</v>
      </c>
      <c r="K14" s="55">
        <f t="shared" si="6"/>
        <v>106293.22645833544</v>
      </c>
      <c r="L14" s="56">
        <f t="shared" si="6"/>
        <v>138853.94662000259</v>
      </c>
    </row>
    <row r="15" spans="2:15" x14ac:dyDescent="0.25">
      <c r="B15" s="58" t="s">
        <v>9</v>
      </c>
      <c r="C15" s="10">
        <f t="shared" ref="C15:L15" si="7">MAX(C22*C14,0)</f>
        <v>0</v>
      </c>
      <c r="D15" s="10">
        <f t="shared" si="7"/>
        <v>0</v>
      </c>
      <c r="E15" s="10">
        <f t="shared" si="7"/>
        <v>0</v>
      </c>
      <c r="F15" s="10">
        <f t="shared" si="7"/>
        <v>0</v>
      </c>
      <c r="G15" s="10">
        <f t="shared" si="7"/>
        <v>0</v>
      </c>
      <c r="H15" s="10">
        <f t="shared" si="7"/>
        <v>0</v>
      </c>
      <c r="I15" s="10">
        <f t="shared" si="7"/>
        <v>0</v>
      </c>
      <c r="J15" s="59">
        <f t="shared" si="7"/>
        <v>14424.56601063376</v>
      </c>
      <c r="K15" s="59">
        <f t="shared" si="7"/>
        <v>48894.884170834302</v>
      </c>
      <c r="L15" s="60">
        <f t="shared" si="7"/>
        <v>63872.815445201195</v>
      </c>
    </row>
    <row r="16" spans="2:15" x14ac:dyDescent="0.25">
      <c r="B16" s="57" t="s">
        <v>10</v>
      </c>
      <c r="C16" s="131">
        <f t="shared" ref="C16:L16" si="8">C13-C15</f>
        <v>-175000</v>
      </c>
      <c r="D16" s="131">
        <f t="shared" si="8"/>
        <v>-175000</v>
      </c>
      <c r="E16" s="131">
        <f t="shared" si="8"/>
        <v>19250</v>
      </c>
      <c r="F16" s="131">
        <f t="shared" si="8"/>
        <v>75104</v>
      </c>
      <c r="G16" s="131">
        <f t="shared" si="8"/>
        <v>61184.895999999993</v>
      </c>
      <c r="H16" s="131">
        <f t="shared" si="8"/>
        <v>81318.750208000012</v>
      </c>
      <c r="I16" s="131">
        <f t="shared" si="8"/>
        <v>64297.200173055986</v>
      </c>
      <c r="J16" s="131">
        <f t="shared" si="8"/>
        <v>65778.339805340147</v>
      </c>
      <c r="K16" s="131">
        <f t="shared" si="8"/>
        <v>57398.342287501138</v>
      </c>
      <c r="L16" s="132">
        <f t="shared" si="8"/>
        <v>74981.131174801398</v>
      </c>
    </row>
    <row r="17" spans="2:12" x14ac:dyDescent="0.25">
      <c r="B17" s="186" t="s">
        <v>11</v>
      </c>
      <c r="C17" s="187"/>
      <c r="D17" s="187"/>
      <c r="E17" s="187"/>
      <c r="F17" s="187"/>
      <c r="G17" s="187"/>
      <c r="H17" s="187"/>
      <c r="I17" s="187"/>
      <c r="J17" s="187"/>
      <c r="K17" s="187"/>
      <c r="L17" s="188"/>
    </row>
    <row r="18" spans="2:12" x14ac:dyDescent="0.25">
      <c r="B18" s="189"/>
      <c r="C18" s="190"/>
      <c r="D18" s="190"/>
      <c r="E18" s="190"/>
      <c r="F18" s="190"/>
      <c r="G18" s="190"/>
      <c r="H18" s="190"/>
      <c r="I18" s="190"/>
      <c r="J18" s="190"/>
      <c r="K18" s="190"/>
      <c r="L18" s="191"/>
    </row>
    <row r="19" spans="2:12" s="7" customFormat="1" x14ac:dyDescent="0.25">
      <c r="B19" s="38" t="s">
        <v>12</v>
      </c>
      <c r="C19" s="11"/>
      <c r="D19" s="12"/>
      <c r="E19" s="12">
        <v>0</v>
      </c>
      <c r="F19" s="21">
        <v>0</v>
      </c>
      <c r="G19" s="21">
        <v>1</v>
      </c>
      <c r="H19" s="21">
        <v>1</v>
      </c>
      <c r="I19" s="21">
        <v>2</v>
      </c>
      <c r="J19" s="21">
        <v>2</v>
      </c>
      <c r="K19" s="21">
        <v>2</v>
      </c>
      <c r="L19" s="61">
        <v>2</v>
      </c>
    </row>
    <row r="20" spans="2:12" s="7" customFormat="1" x14ac:dyDescent="0.25">
      <c r="B20" s="38" t="s">
        <v>13</v>
      </c>
      <c r="C20" s="11"/>
      <c r="D20" s="12"/>
      <c r="E20" s="62">
        <v>23.25</v>
      </c>
      <c r="F20" s="62">
        <f t="shared" ref="F20:L20" si="9">E20*(1+F21)</f>
        <v>24.18</v>
      </c>
      <c r="G20" s="62">
        <f t="shared" si="9"/>
        <v>25.147200000000002</v>
      </c>
      <c r="H20" s="62">
        <f t="shared" si="9"/>
        <v>26.153088000000004</v>
      </c>
      <c r="I20" s="62">
        <f t="shared" si="9"/>
        <v>27.199211520000006</v>
      </c>
      <c r="J20" s="62">
        <f t="shared" si="9"/>
        <v>28.287179980800008</v>
      </c>
      <c r="K20" s="62">
        <f t="shared" si="9"/>
        <v>29.41866718003201</v>
      </c>
      <c r="L20" s="63">
        <f t="shared" si="9"/>
        <v>30.59541386723329</v>
      </c>
    </row>
    <row r="21" spans="2:12" s="7" customFormat="1" x14ac:dyDescent="0.25">
      <c r="B21" s="38" t="s">
        <v>14</v>
      </c>
      <c r="C21" s="14"/>
      <c r="D21" s="15"/>
      <c r="E21" s="15"/>
      <c r="F21" s="15">
        <v>0.04</v>
      </c>
      <c r="G21" s="15">
        <v>0.04</v>
      </c>
      <c r="H21" s="15">
        <v>0.04</v>
      </c>
      <c r="I21" s="15">
        <v>0.04</v>
      </c>
      <c r="J21" s="15">
        <v>0.04</v>
      </c>
      <c r="K21" s="64">
        <v>0.04</v>
      </c>
      <c r="L21" s="65">
        <v>0.04</v>
      </c>
    </row>
    <row r="22" spans="2:12" s="7" customFormat="1" x14ac:dyDescent="0.25">
      <c r="B22" s="38" t="s">
        <v>15</v>
      </c>
      <c r="C22" s="14">
        <v>0.46</v>
      </c>
      <c r="D22" s="15">
        <v>0.46</v>
      </c>
      <c r="E22" s="15">
        <v>0.46</v>
      </c>
      <c r="F22" s="15">
        <v>0.46</v>
      </c>
      <c r="G22" s="15">
        <v>0.46</v>
      </c>
      <c r="H22" s="15">
        <v>0.46</v>
      </c>
      <c r="I22" s="15">
        <v>0.46</v>
      </c>
      <c r="J22" s="15">
        <v>0.46</v>
      </c>
      <c r="K22" s="64">
        <v>0.46</v>
      </c>
      <c r="L22" s="65">
        <v>0.46</v>
      </c>
    </row>
    <row r="23" spans="2:12" x14ac:dyDescent="0.25">
      <c r="B23" s="186" t="s">
        <v>16</v>
      </c>
      <c r="C23" s="187"/>
      <c r="D23" s="187"/>
      <c r="E23" s="187"/>
      <c r="F23" s="187"/>
      <c r="G23" s="187"/>
      <c r="H23" s="187"/>
      <c r="I23" s="187"/>
      <c r="J23" s="187"/>
      <c r="K23" s="187"/>
      <c r="L23" s="188"/>
    </row>
    <row r="24" spans="2:12" x14ac:dyDescent="0.25">
      <c r="B24" s="189"/>
      <c r="C24" s="190"/>
      <c r="D24" s="190"/>
      <c r="E24" s="190"/>
      <c r="F24" s="190"/>
      <c r="G24" s="190"/>
      <c r="H24" s="190"/>
      <c r="I24" s="190"/>
      <c r="J24" s="190"/>
      <c r="K24" s="190"/>
      <c r="L24" s="191"/>
    </row>
    <row r="25" spans="2:12" s="7" customFormat="1" x14ac:dyDescent="0.25">
      <c r="B25" s="66" t="s">
        <v>17</v>
      </c>
      <c r="C25" s="18"/>
      <c r="D25" s="19"/>
      <c r="E25" s="67">
        <v>58</v>
      </c>
      <c r="F25" s="67">
        <f t="shared" ref="F25:L25" si="10">E25*(1+F21)</f>
        <v>60.32</v>
      </c>
      <c r="G25" s="67">
        <f t="shared" si="10"/>
        <v>62.732800000000005</v>
      </c>
      <c r="H25" s="67">
        <f t="shared" si="10"/>
        <v>65.242112000000006</v>
      </c>
      <c r="I25" s="67">
        <f t="shared" si="10"/>
        <v>67.851796480000004</v>
      </c>
      <c r="J25" s="67">
        <f t="shared" si="10"/>
        <v>70.565868339200009</v>
      </c>
      <c r="K25" s="67">
        <f t="shared" si="10"/>
        <v>73.388503072768017</v>
      </c>
      <c r="L25" s="68">
        <f t="shared" si="10"/>
        <v>76.32404319567874</v>
      </c>
    </row>
    <row r="26" spans="2:12" s="7" customFormat="1" x14ac:dyDescent="0.25">
      <c r="B26" s="66" t="s">
        <v>24</v>
      </c>
      <c r="C26" s="18"/>
      <c r="D26" s="19"/>
      <c r="E26" s="12">
        <v>3000</v>
      </c>
      <c r="F26" s="12">
        <f t="shared" ref="F26:L26" si="11">E26*120%</f>
        <v>3600</v>
      </c>
      <c r="G26" s="12">
        <f t="shared" si="11"/>
        <v>4320</v>
      </c>
      <c r="H26" s="12">
        <f t="shared" si="11"/>
        <v>5184</v>
      </c>
      <c r="I26" s="12">
        <f t="shared" si="11"/>
        <v>6220.8</v>
      </c>
      <c r="J26" s="12">
        <f t="shared" si="11"/>
        <v>7464.96</v>
      </c>
      <c r="K26" s="67">
        <f t="shared" si="11"/>
        <v>8957.9519999999993</v>
      </c>
      <c r="L26" s="69">
        <f t="shared" si="11"/>
        <v>10749.542399999998</v>
      </c>
    </row>
    <row r="27" spans="2:12" s="7" customFormat="1" x14ac:dyDescent="0.25">
      <c r="B27" s="66" t="s">
        <v>18</v>
      </c>
      <c r="C27" s="11"/>
      <c r="D27" s="12"/>
      <c r="E27" s="12">
        <f t="shared" ref="E27:L27" si="12">E26/(E19+1)</f>
        <v>3000</v>
      </c>
      <c r="F27" s="12">
        <f t="shared" si="12"/>
        <v>3600</v>
      </c>
      <c r="G27" s="12">
        <f t="shared" si="12"/>
        <v>2160</v>
      </c>
      <c r="H27" s="12">
        <f t="shared" si="12"/>
        <v>2592</v>
      </c>
      <c r="I27" s="12">
        <f t="shared" si="12"/>
        <v>2073.6</v>
      </c>
      <c r="J27" s="12">
        <f t="shared" si="12"/>
        <v>2488.3200000000002</v>
      </c>
      <c r="K27" s="67">
        <f t="shared" si="12"/>
        <v>2985.9839999999999</v>
      </c>
      <c r="L27" s="69">
        <f t="shared" si="12"/>
        <v>3583.1807999999996</v>
      </c>
    </row>
    <row r="28" spans="2:12" x14ac:dyDescent="0.25">
      <c r="B28" s="186" t="s">
        <v>19</v>
      </c>
      <c r="C28" s="187"/>
      <c r="D28" s="187"/>
      <c r="E28" s="187"/>
      <c r="F28" s="187"/>
      <c r="G28" s="187"/>
      <c r="H28" s="187"/>
      <c r="I28" s="187"/>
      <c r="J28" s="187"/>
      <c r="K28" s="187"/>
      <c r="L28" s="188"/>
    </row>
    <row r="29" spans="2:12" x14ac:dyDescent="0.25">
      <c r="B29" s="189"/>
      <c r="C29" s="190"/>
      <c r="D29" s="190"/>
      <c r="E29" s="190"/>
      <c r="F29" s="190"/>
      <c r="G29" s="190"/>
      <c r="H29" s="190"/>
      <c r="I29" s="190"/>
      <c r="J29" s="190"/>
      <c r="K29" s="190"/>
      <c r="L29" s="191"/>
    </row>
    <row r="30" spans="2:12" s="7" customFormat="1" x14ac:dyDescent="0.25">
      <c r="B30" s="70" t="s">
        <v>20</v>
      </c>
      <c r="C30" s="55">
        <v>50000</v>
      </c>
      <c r="D30" s="71">
        <v>20000</v>
      </c>
      <c r="E30" s="71">
        <v>10000</v>
      </c>
      <c r="F30" s="24">
        <v>0</v>
      </c>
      <c r="G30" s="24">
        <v>0</v>
      </c>
      <c r="H30" s="24">
        <v>0</v>
      </c>
      <c r="I30" s="24">
        <v>0</v>
      </c>
      <c r="J30" s="24">
        <v>0</v>
      </c>
      <c r="K30" s="24">
        <v>0</v>
      </c>
      <c r="L30" s="72">
        <v>0</v>
      </c>
    </row>
    <row r="31" spans="2:12" s="7" customFormat="1" x14ac:dyDescent="0.25">
      <c r="B31" s="70" t="s">
        <v>21</v>
      </c>
      <c r="C31" s="55">
        <v>125000</v>
      </c>
      <c r="D31" s="71">
        <v>145000</v>
      </c>
      <c r="E31" s="71">
        <v>55000</v>
      </c>
      <c r="F31" s="55">
        <v>35000</v>
      </c>
      <c r="G31" s="9">
        <v>0</v>
      </c>
      <c r="H31" s="9">
        <v>0</v>
      </c>
      <c r="I31" s="9">
        <v>0</v>
      </c>
      <c r="J31" s="9">
        <v>0</v>
      </c>
      <c r="K31" s="9">
        <v>0</v>
      </c>
      <c r="L31" s="72">
        <v>0</v>
      </c>
    </row>
    <row r="32" spans="2:12" s="7" customFormat="1" x14ac:dyDescent="0.25">
      <c r="B32" s="73" t="s">
        <v>22</v>
      </c>
      <c r="C32" s="10">
        <v>0</v>
      </c>
      <c r="D32" s="74">
        <v>10000</v>
      </c>
      <c r="E32" s="74">
        <v>20000</v>
      </c>
      <c r="F32" s="74">
        <v>20000</v>
      </c>
      <c r="G32" s="74">
        <v>20000</v>
      </c>
      <c r="H32" s="74">
        <v>20000</v>
      </c>
      <c r="I32" s="74">
        <v>20000</v>
      </c>
      <c r="J32" s="74">
        <v>25000</v>
      </c>
      <c r="K32" s="74">
        <v>25000</v>
      </c>
      <c r="L32" s="75">
        <v>25000</v>
      </c>
    </row>
    <row r="33" spans="2:12" ht="13" thickBot="1" x14ac:dyDescent="0.3">
      <c r="B33" s="76" t="s">
        <v>23</v>
      </c>
      <c r="C33" s="77">
        <f t="shared" ref="C33:L33" si="13">SUM(C30:C32)</f>
        <v>175000</v>
      </c>
      <c r="D33" s="77">
        <f t="shared" si="13"/>
        <v>175000</v>
      </c>
      <c r="E33" s="77">
        <f t="shared" si="13"/>
        <v>85000</v>
      </c>
      <c r="F33" s="77">
        <f t="shared" si="13"/>
        <v>55000</v>
      </c>
      <c r="G33" s="77">
        <f t="shared" si="13"/>
        <v>20000</v>
      </c>
      <c r="H33" s="77">
        <f t="shared" si="13"/>
        <v>20000</v>
      </c>
      <c r="I33" s="77">
        <f t="shared" si="13"/>
        <v>20000</v>
      </c>
      <c r="J33" s="77">
        <f t="shared" si="13"/>
        <v>25000</v>
      </c>
      <c r="K33" s="77">
        <f t="shared" si="13"/>
        <v>25000</v>
      </c>
      <c r="L33" s="78">
        <f t="shared" si="13"/>
        <v>25000</v>
      </c>
    </row>
    <row r="34" spans="2:12" x14ac:dyDescent="0.25">
      <c r="B34" s="8"/>
      <c r="C34" s="6"/>
      <c r="D34" s="3"/>
      <c r="E34" s="3"/>
      <c r="F34" s="3"/>
      <c r="G34" s="3"/>
      <c r="H34" s="3"/>
      <c r="I34" s="3"/>
      <c r="J34" s="3"/>
      <c r="K34" s="3"/>
      <c r="L34" s="3"/>
    </row>
    <row r="35" spans="2:12" x14ac:dyDescent="0.25">
      <c r="B35" s="8"/>
      <c r="C35" s="6"/>
      <c r="D35" s="3"/>
      <c r="E35" s="3"/>
      <c r="F35" s="3"/>
      <c r="G35" s="3"/>
      <c r="H35" s="3"/>
      <c r="I35" s="3"/>
      <c r="J35" s="3"/>
      <c r="K35" s="3"/>
      <c r="L35" s="3"/>
    </row>
    <row r="36" spans="2:12" x14ac:dyDescent="0.25">
      <c r="B36" s="8"/>
      <c r="C36" s="6"/>
      <c r="D36" s="3"/>
      <c r="E36" s="3"/>
      <c r="F36" s="3"/>
      <c r="G36" s="3"/>
      <c r="H36" s="3"/>
      <c r="I36" s="3"/>
      <c r="J36" s="3"/>
      <c r="K36" s="3"/>
      <c r="L36" s="3"/>
    </row>
    <row r="37" spans="2:12" x14ac:dyDescent="0.25">
      <c r="B37" s="8"/>
      <c r="C37" s="6"/>
      <c r="D37" s="3"/>
      <c r="E37" s="3"/>
      <c r="F37" s="3"/>
      <c r="G37" s="3"/>
      <c r="H37" s="3"/>
      <c r="I37" s="3"/>
      <c r="J37" s="3"/>
      <c r="K37" s="3"/>
      <c r="L37" s="3"/>
    </row>
    <row r="38" spans="2:12" x14ac:dyDescent="0.25">
      <c r="B38" s="8"/>
      <c r="C38" s="6"/>
      <c r="D38" s="3"/>
      <c r="E38" s="3"/>
      <c r="F38" s="3"/>
      <c r="G38" s="3"/>
      <c r="H38" s="3"/>
      <c r="I38" s="3"/>
      <c r="J38" s="3"/>
      <c r="K38" s="3"/>
      <c r="L38" s="3"/>
    </row>
    <row r="39" spans="2:12" x14ac:dyDescent="0.25">
      <c r="B39" s="8"/>
      <c r="C39" s="6"/>
      <c r="D39" s="3"/>
      <c r="E39" s="3"/>
      <c r="F39" s="3"/>
      <c r="G39" s="3"/>
      <c r="H39" s="3"/>
      <c r="I39" s="3"/>
      <c r="J39" s="3"/>
      <c r="K39" s="3"/>
      <c r="L39" s="3"/>
    </row>
    <row r="40" spans="2:12" x14ac:dyDescent="0.25">
      <c r="B40" s="8"/>
      <c r="C40" s="6"/>
      <c r="D40" s="3"/>
      <c r="E40" s="3"/>
      <c r="F40" s="3"/>
      <c r="G40" s="3"/>
      <c r="H40" s="3"/>
      <c r="I40" s="3"/>
      <c r="J40" s="3"/>
      <c r="K40" s="3"/>
      <c r="L40" s="3"/>
    </row>
    <row r="41" spans="2:12" x14ac:dyDescent="0.25">
      <c r="B41" s="4"/>
      <c r="C41" s="6"/>
      <c r="D41" s="3"/>
      <c r="E41" s="3"/>
      <c r="F41" s="3"/>
      <c r="G41" s="3"/>
      <c r="H41" s="3"/>
      <c r="I41" s="3"/>
      <c r="J41" s="3"/>
      <c r="K41" s="3"/>
      <c r="L41" s="3"/>
    </row>
    <row r="42" spans="2:12" x14ac:dyDescent="0.25">
      <c r="B42" s="4"/>
      <c r="C42" s="6"/>
      <c r="D42" s="3"/>
      <c r="E42" s="3"/>
      <c r="F42" s="3"/>
      <c r="G42" s="3"/>
      <c r="H42" s="3"/>
      <c r="I42" s="3"/>
      <c r="J42" s="3"/>
      <c r="K42" s="3"/>
      <c r="L42" s="3"/>
    </row>
    <row r="43" spans="2:12" x14ac:dyDescent="0.25">
      <c r="B43" s="4"/>
      <c r="C43" s="6"/>
      <c r="D43" s="3"/>
      <c r="E43" s="3"/>
      <c r="F43" s="3"/>
      <c r="G43" s="3"/>
      <c r="H43" s="3"/>
      <c r="I43" s="3"/>
      <c r="J43" s="3"/>
      <c r="K43" s="3"/>
      <c r="L43" s="3"/>
    </row>
    <row r="44" spans="2:12" x14ac:dyDescent="0.25">
      <c r="B44" s="3"/>
      <c r="C44" s="3"/>
      <c r="D44" s="3"/>
      <c r="E44" s="3"/>
      <c r="F44" s="3"/>
      <c r="G44" s="3"/>
      <c r="H44" s="3"/>
      <c r="I44" s="3"/>
      <c r="J44" s="3"/>
      <c r="K44" s="3"/>
      <c r="L44" s="3"/>
    </row>
  </sheetData>
  <mergeCells count="4">
    <mergeCell ref="B7:L8"/>
    <mergeCell ref="B17:L18"/>
    <mergeCell ref="B23:L24"/>
    <mergeCell ref="B28:L29"/>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R80"/>
  <sheetViews>
    <sheetView showGridLines="0" workbookViewId="0"/>
  </sheetViews>
  <sheetFormatPr defaultColWidth="9.1796875" defaultRowHeight="12.5" x14ac:dyDescent="0.25"/>
  <cols>
    <col min="1" max="1" width="3.1796875" style="2" customWidth="1"/>
    <col min="2" max="2" width="23.7265625" customWidth="1"/>
    <col min="3" max="3" width="10.81640625" bestFit="1" customWidth="1"/>
    <col min="4" max="4" width="14.7265625" bestFit="1" customWidth="1"/>
    <col min="5" max="5" width="17.1796875" customWidth="1"/>
    <col min="6" max="6" width="9.26953125" bestFit="1" customWidth="1"/>
    <col min="7" max="7" width="9.54296875" customWidth="1"/>
    <col min="8" max="8" width="9" customWidth="1"/>
    <col min="9" max="9" width="8.7265625" customWidth="1"/>
    <col min="10" max="10" width="9.453125" customWidth="1"/>
    <col min="11" max="12" width="9" bestFit="1" customWidth="1"/>
    <col min="13" max="13" width="6" style="2" customWidth="1"/>
    <col min="14" max="14" width="9.1796875" style="2"/>
    <col min="15" max="15" width="15.26953125" style="2" customWidth="1"/>
    <col min="16" max="16" width="10.26953125" style="2" customWidth="1"/>
    <col min="17" max="16384" width="9.1796875" style="2"/>
  </cols>
  <sheetData>
    <row r="1" spans="2:18" s="41" customFormat="1" ht="35.25" customHeight="1" x14ac:dyDescent="0.25">
      <c r="Q1" s="108"/>
      <c r="R1" s="108"/>
    </row>
    <row r="2" spans="2:18" s="41" customFormat="1" ht="17.25" customHeight="1" x14ac:dyDescent="0.4">
      <c r="C2" s="42"/>
      <c r="E2" s="42" t="s">
        <v>60</v>
      </c>
      <c r="Q2" s="108"/>
      <c r="R2" s="108"/>
    </row>
    <row r="3" spans="2:18" s="41" customFormat="1" ht="17.25" customHeight="1" x14ac:dyDescent="0.35">
      <c r="E3" s="43"/>
      <c r="Q3" s="108"/>
      <c r="R3" s="108"/>
    </row>
    <row r="4" spans="2:18" s="1" customFormat="1" ht="15.75" customHeight="1" thickBot="1" x14ac:dyDescent="0.45">
      <c r="C4" s="91"/>
      <c r="F4" s="41"/>
      <c r="G4" s="41"/>
      <c r="H4" s="41"/>
      <c r="I4" s="41"/>
      <c r="J4" s="41"/>
      <c r="K4" s="41"/>
      <c r="L4" s="41"/>
      <c r="M4" s="41"/>
    </row>
    <row r="5" spans="2:18" x14ac:dyDescent="0.25">
      <c r="B5" s="36"/>
      <c r="C5" s="37"/>
      <c r="D5" s="40" t="s">
        <v>50</v>
      </c>
      <c r="E5" s="3"/>
      <c r="F5" s="41"/>
      <c r="G5" s="41"/>
      <c r="H5" s="41"/>
      <c r="I5" s="41"/>
      <c r="J5" s="41"/>
      <c r="K5" s="41"/>
      <c r="L5" s="41"/>
      <c r="M5" s="41"/>
    </row>
    <row r="6" spans="2:18" ht="13" x14ac:dyDescent="0.3">
      <c r="B6" s="38" t="s">
        <v>0</v>
      </c>
      <c r="C6" s="127">
        <f>NPV(0.1,C21:L21)</f>
        <v>105781.22354100096</v>
      </c>
      <c r="D6" s="129" t="e">
        <f ca="1">_xll.CB.GetForeStatFN(C6,2)</f>
        <v>#NUM!</v>
      </c>
      <c r="E6" s="114" t="s">
        <v>65</v>
      </c>
      <c r="F6" s="41"/>
      <c r="G6" s="41"/>
      <c r="H6" s="41"/>
      <c r="I6" s="41"/>
      <c r="J6" s="41"/>
      <c r="K6" s="41"/>
      <c r="L6" s="41"/>
      <c r="M6" s="41"/>
    </row>
    <row r="7" spans="2:18" ht="13" x14ac:dyDescent="0.3">
      <c r="B7" s="38" t="s">
        <v>59</v>
      </c>
      <c r="C7" s="127">
        <f>F45*(1+rf)^-3</f>
        <v>2016.9035977631893</v>
      </c>
      <c r="D7" s="129" t="e">
        <f ca="1">_xll.CB.GetForeStatFN(C7,2)</f>
        <v>#NUM!</v>
      </c>
      <c r="E7" s="103"/>
      <c r="F7" s="41"/>
      <c r="G7" s="41"/>
      <c r="H7" s="41"/>
      <c r="I7" s="41"/>
      <c r="J7" s="41"/>
      <c r="K7" s="41"/>
      <c r="L7" s="41"/>
      <c r="M7" s="41"/>
    </row>
    <row r="8" spans="2:18" ht="13.5" thickBot="1" x14ac:dyDescent="0.35">
      <c r="B8" s="39" t="s">
        <v>49</v>
      </c>
      <c r="C8" s="128">
        <f>C7+C6</f>
        <v>107798.12713876415</v>
      </c>
      <c r="D8" s="130" t="e">
        <f ca="1">_xll.CB.GetForeStatFN(C8,2)</f>
        <v>#NUM!</v>
      </c>
      <c r="E8" s="103"/>
      <c r="F8" s="41"/>
      <c r="G8" s="41"/>
      <c r="H8" s="41"/>
      <c r="I8" s="41"/>
      <c r="J8" s="41"/>
      <c r="K8" s="41"/>
      <c r="L8" s="41"/>
      <c r="M8" s="41"/>
    </row>
    <row r="9" spans="2:18" x14ac:dyDescent="0.25">
      <c r="B9" s="7"/>
      <c r="C9" s="20"/>
      <c r="D9" s="3"/>
      <c r="E9" s="3"/>
      <c r="F9" s="41"/>
      <c r="G9" s="41"/>
      <c r="H9" s="41"/>
      <c r="I9" s="41"/>
      <c r="J9" s="41"/>
      <c r="K9" s="41"/>
      <c r="L9" s="41"/>
      <c r="M9" s="41"/>
    </row>
    <row r="10" spans="2:18" ht="13" thickBot="1" x14ac:dyDescent="0.3">
      <c r="B10" s="3"/>
      <c r="C10" s="3"/>
      <c r="D10" s="3"/>
      <c r="E10" s="3"/>
      <c r="F10" s="3"/>
      <c r="G10" s="3"/>
      <c r="H10" s="3"/>
      <c r="I10" s="3"/>
      <c r="J10" s="3"/>
      <c r="K10" s="3"/>
      <c r="L10" s="3"/>
    </row>
    <row r="11" spans="2:18" ht="14.5" thickBot="1" x14ac:dyDescent="0.35">
      <c r="B11" s="79" t="s">
        <v>1</v>
      </c>
      <c r="C11" s="80">
        <f ca="1">YEAR(TODAY())+1</f>
        <v>2018</v>
      </c>
      <c r="D11" s="80">
        <f ca="1">C11+1</f>
        <v>2019</v>
      </c>
      <c r="E11" s="80">
        <f t="shared" ref="E11:L11" ca="1" si="0">D11+1</f>
        <v>2020</v>
      </c>
      <c r="F11" s="80">
        <f t="shared" ca="1" si="0"/>
        <v>2021</v>
      </c>
      <c r="G11" s="80">
        <f ca="1">F11+1</f>
        <v>2022</v>
      </c>
      <c r="H11" s="80">
        <f ca="1">G11+1</f>
        <v>2023</v>
      </c>
      <c r="I11" s="80">
        <f t="shared" ca="1" si="0"/>
        <v>2024</v>
      </c>
      <c r="J11" s="80">
        <f t="shared" ca="1" si="0"/>
        <v>2025</v>
      </c>
      <c r="K11" s="80">
        <f t="shared" ca="1" si="0"/>
        <v>2026</v>
      </c>
      <c r="L11" s="81">
        <f t="shared" ca="1" si="0"/>
        <v>2027</v>
      </c>
      <c r="M11" s="5"/>
      <c r="N11" s="100" t="s">
        <v>40</v>
      </c>
      <c r="O11" s="147">
        <v>-0.01</v>
      </c>
      <c r="P11" s="29"/>
    </row>
    <row r="12" spans="2:18" ht="14.5" thickTop="1" x14ac:dyDescent="0.3">
      <c r="B12" s="186" t="s">
        <v>2</v>
      </c>
      <c r="C12" s="187"/>
      <c r="D12" s="187"/>
      <c r="E12" s="187"/>
      <c r="F12" s="187"/>
      <c r="G12" s="187"/>
      <c r="H12" s="187"/>
      <c r="I12" s="187"/>
      <c r="J12" s="187"/>
      <c r="K12" s="187"/>
      <c r="L12" s="188"/>
      <c r="N12" s="101" t="s">
        <v>41</v>
      </c>
      <c r="O12" s="148">
        <v>0.01</v>
      </c>
      <c r="P12" s="29"/>
    </row>
    <row r="13" spans="2:18" ht="14.5" thickBot="1" x14ac:dyDescent="0.35">
      <c r="B13" s="189"/>
      <c r="C13" s="190"/>
      <c r="D13" s="190"/>
      <c r="E13" s="190"/>
      <c r="F13" s="190"/>
      <c r="G13" s="190"/>
      <c r="H13" s="190"/>
      <c r="I13" s="190"/>
      <c r="J13" s="190"/>
      <c r="K13" s="190"/>
      <c r="L13" s="191"/>
      <c r="N13" s="29"/>
      <c r="O13" s="29"/>
      <c r="P13" s="29"/>
    </row>
    <row r="14" spans="2:18" ht="12.65" customHeight="1" x14ac:dyDescent="0.25">
      <c r="B14" s="54" t="s">
        <v>3</v>
      </c>
      <c r="C14" s="55">
        <f>C31*C33</f>
        <v>0</v>
      </c>
      <c r="D14" s="55">
        <f t="shared" ref="D14:L14" si="1">D31*D33</f>
        <v>0</v>
      </c>
      <c r="E14" s="55">
        <f t="shared" si="1"/>
        <v>223138.18693582772</v>
      </c>
      <c r="F14" s="55">
        <f t="shared" si="1"/>
        <v>190119.89804329356</v>
      </c>
      <c r="G14" s="55">
        <f t="shared" si="1"/>
        <v>217788.35012420523</v>
      </c>
      <c r="H14" s="55">
        <f t="shared" si="1"/>
        <v>230883.8331953767</v>
      </c>
      <c r="I14" s="55">
        <f t="shared" si="1"/>
        <v>292396.45233814325</v>
      </c>
      <c r="J14" s="55">
        <f t="shared" si="1"/>
        <v>370964.54380836588</v>
      </c>
      <c r="K14" s="55">
        <f t="shared" si="1"/>
        <v>404158.97808811878</v>
      </c>
      <c r="L14" s="56">
        <f t="shared" si="1"/>
        <v>448354.09854384494</v>
      </c>
      <c r="N14" s="194" t="s">
        <v>39</v>
      </c>
      <c r="O14" s="196" t="s">
        <v>33</v>
      </c>
      <c r="P14" s="192" t="s">
        <v>38</v>
      </c>
    </row>
    <row r="15" spans="2:18" ht="12.65" customHeight="1" thickBot="1" x14ac:dyDescent="0.3">
      <c r="B15" s="54" t="s">
        <v>4</v>
      </c>
      <c r="C15" s="55">
        <f t="shared" ref="C15:L15" si="2">C25*C33</f>
        <v>0</v>
      </c>
      <c r="D15" s="55">
        <f t="shared" si="2"/>
        <v>0</v>
      </c>
      <c r="E15" s="55">
        <f t="shared" si="2"/>
        <v>88788.055456359827</v>
      </c>
      <c r="F15" s="55">
        <f t="shared" si="2"/>
        <v>75649.87545444227</v>
      </c>
      <c r="G15" s="55">
        <f t="shared" si="2"/>
        <v>86659.322521689974</v>
      </c>
      <c r="H15" s="55">
        <f t="shared" si="2"/>
        <v>91870.095689284906</v>
      </c>
      <c r="I15" s="55">
        <f t="shared" si="2"/>
        <v>116346.34475589845</v>
      </c>
      <c r="J15" s="55">
        <f t="shared" si="2"/>
        <v>147609.0710438228</v>
      </c>
      <c r="K15" s="55">
        <f t="shared" si="2"/>
        <v>160817.34037748369</v>
      </c>
      <c r="L15" s="56">
        <f t="shared" si="2"/>
        <v>178402.85032451942</v>
      </c>
      <c r="N15" s="195"/>
      <c r="O15" s="197"/>
      <c r="P15" s="193"/>
    </row>
    <row r="16" spans="2:18" ht="14.5" thickBot="1" x14ac:dyDescent="0.35">
      <c r="B16" s="54" t="s">
        <v>5</v>
      </c>
      <c r="C16" s="55">
        <f>C14-C15</f>
        <v>0</v>
      </c>
      <c r="D16" s="55">
        <f t="shared" ref="D16:L16" si="3">D14-D15</f>
        <v>0</v>
      </c>
      <c r="E16" s="55">
        <f t="shared" si="3"/>
        <v>134350.13147946791</v>
      </c>
      <c r="F16" s="55">
        <f t="shared" si="3"/>
        <v>114470.02258885129</v>
      </c>
      <c r="G16" s="55">
        <f t="shared" si="3"/>
        <v>131129.02760251524</v>
      </c>
      <c r="H16" s="55">
        <f t="shared" si="3"/>
        <v>139013.7375060918</v>
      </c>
      <c r="I16" s="55">
        <f t="shared" si="3"/>
        <v>176050.10758224479</v>
      </c>
      <c r="J16" s="55">
        <f t="shared" si="3"/>
        <v>223355.47276454308</v>
      </c>
      <c r="K16" s="55">
        <f t="shared" si="3"/>
        <v>243341.63771063508</v>
      </c>
      <c r="L16" s="56">
        <f t="shared" si="3"/>
        <v>269951.24821932556</v>
      </c>
      <c r="N16" s="104" t="s">
        <v>61</v>
      </c>
      <c r="O16" s="109">
        <f>O11</f>
        <v>-0.01</v>
      </c>
      <c r="P16" s="112">
        <v>0</v>
      </c>
    </row>
    <row r="17" spans="2:18" ht="14" x14ac:dyDescent="0.3">
      <c r="B17" s="54" t="s">
        <v>6</v>
      </c>
      <c r="C17" s="55">
        <f>C39</f>
        <v>176180.56754026061</v>
      </c>
      <c r="D17" s="55">
        <f t="shared" ref="D17:L17" si="4">D39</f>
        <v>175472.22701610424</v>
      </c>
      <c r="E17" s="55">
        <f t="shared" si="4"/>
        <v>85236.11350805212</v>
      </c>
      <c r="F17" s="55">
        <f t="shared" si="4"/>
        <v>55000</v>
      </c>
      <c r="G17" s="55">
        <f t="shared" si="4"/>
        <v>20000</v>
      </c>
      <c r="H17" s="55">
        <f t="shared" si="4"/>
        <v>20000</v>
      </c>
      <c r="I17" s="55">
        <f t="shared" si="4"/>
        <v>20000</v>
      </c>
      <c r="J17" s="55">
        <f t="shared" si="4"/>
        <v>25000</v>
      </c>
      <c r="K17" s="55">
        <f t="shared" si="4"/>
        <v>25000</v>
      </c>
      <c r="L17" s="56">
        <f t="shared" si="4"/>
        <v>25000</v>
      </c>
      <c r="N17" s="105">
        <v>1</v>
      </c>
      <c r="O17" s="110">
        <v>-5.5999999999999999E-3</v>
      </c>
      <c r="P17" s="113">
        <f>N17/($N$38+1)</f>
        <v>4.3478260869565216E-2</v>
      </c>
    </row>
    <row r="18" spans="2:18" ht="14" x14ac:dyDescent="0.3">
      <c r="B18" s="57" t="s">
        <v>7</v>
      </c>
      <c r="C18" s="55">
        <f>C16-C17</f>
        <v>-176180.56754026061</v>
      </c>
      <c r="D18" s="55">
        <f t="shared" ref="D18:L18" si="5">D16-D17</f>
        <v>-175472.22701610424</v>
      </c>
      <c r="E18" s="55">
        <f t="shared" si="5"/>
        <v>49114.017971415786</v>
      </c>
      <c r="F18" s="55">
        <f t="shared" si="5"/>
        <v>59470.022588851294</v>
      </c>
      <c r="G18" s="55">
        <f t="shared" si="5"/>
        <v>111129.02760251524</v>
      </c>
      <c r="H18" s="55">
        <f t="shared" si="5"/>
        <v>119013.7375060918</v>
      </c>
      <c r="I18" s="55">
        <f t="shared" si="5"/>
        <v>156050.10758224479</v>
      </c>
      <c r="J18" s="55">
        <f t="shared" si="5"/>
        <v>198355.47276454308</v>
      </c>
      <c r="K18" s="55">
        <f t="shared" si="5"/>
        <v>218341.63771063508</v>
      </c>
      <c r="L18" s="56">
        <f t="shared" si="5"/>
        <v>244951.24821932556</v>
      </c>
      <c r="N18" s="105">
        <v>2</v>
      </c>
      <c r="O18" s="110">
        <v>-5.4000000000000003E-3</v>
      </c>
      <c r="P18" s="113">
        <f t="shared" ref="P18:P38" si="6">N18/($N$38+1)</f>
        <v>8.6956521739130432E-2</v>
      </c>
      <c r="Q18" s="102"/>
      <c r="R18" s="107"/>
    </row>
    <row r="19" spans="2:18" ht="14" x14ac:dyDescent="0.3">
      <c r="B19" s="57" t="s">
        <v>8</v>
      </c>
      <c r="C19" s="55">
        <f>C18</f>
        <v>-176180.56754026061</v>
      </c>
      <c r="D19" s="55">
        <f t="shared" ref="D19:L19" si="7">C19+D18-MAX((C20/C28),0)</f>
        <v>-351652.79455636488</v>
      </c>
      <c r="E19" s="55">
        <f t="shared" si="7"/>
        <v>-302538.77658494911</v>
      </c>
      <c r="F19" s="55">
        <f t="shared" si="7"/>
        <v>-243068.75399609783</v>
      </c>
      <c r="G19" s="55">
        <f t="shared" si="7"/>
        <v>-131939.72639358259</v>
      </c>
      <c r="H19" s="55">
        <f t="shared" si="7"/>
        <v>-12925.988887490792</v>
      </c>
      <c r="I19" s="55">
        <f t="shared" si="7"/>
        <v>143124.118694754</v>
      </c>
      <c r="J19" s="55">
        <f t="shared" si="7"/>
        <v>198355.47276454311</v>
      </c>
      <c r="K19" s="55">
        <f t="shared" si="7"/>
        <v>218341.63771063511</v>
      </c>
      <c r="L19" s="56">
        <f t="shared" si="7"/>
        <v>244951.24821932553</v>
      </c>
      <c r="N19" s="105">
        <v>3</v>
      </c>
      <c r="O19" s="110">
        <v>-4.4000000000000003E-3</v>
      </c>
      <c r="P19" s="113">
        <f t="shared" si="6"/>
        <v>0.13043478260869565</v>
      </c>
      <c r="Q19" s="102"/>
      <c r="R19" s="107"/>
    </row>
    <row r="20" spans="2:18" ht="14" x14ac:dyDescent="0.3">
      <c r="B20" s="58" t="s">
        <v>9</v>
      </c>
      <c r="C20" s="59">
        <f t="shared" ref="C20:L20" si="8">MAX(C28*C19,0)</f>
        <v>0</v>
      </c>
      <c r="D20" s="59">
        <f t="shared" si="8"/>
        <v>0</v>
      </c>
      <c r="E20" s="59">
        <f t="shared" si="8"/>
        <v>0</v>
      </c>
      <c r="F20" s="59">
        <f t="shared" si="8"/>
        <v>0</v>
      </c>
      <c r="G20" s="59">
        <f t="shared" si="8"/>
        <v>0</v>
      </c>
      <c r="H20" s="59">
        <f t="shared" si="8"/>
        <v>0</v>
      </c>
      <c r="I20" s="59">
        <f t="shared" si="8"/>
        <v>65837.094599586839</v>
      </c>
      <c r="J20" s="59">
        <f t="shared" si="8"/>
        <v>91243.517471689833</v>
      </c>
      <c r="K20" s="59">
        <f t="shared" si="8"/>
        <v>100437.15334689216</v>
      </c>
      <c r="L20" s="60">
        <f t="shared" si="8"/>
        <v>112677.57418088974</v>
      </c>
      <c r="N20" s="105">
        <v>4</v>
      </c>
      <c r="O20" s="110">
        <v>-4.1000000000000003E-3</v>
      </c>
      <c r="P20" s="113">
        <f t="shared" si="6"/>
        <v>0.17391304347826086</v>
      </c>
      <c r="Q20" s="102"/>
      <c r="R20" s="107"/>
    </row>
    <row r="21" spans="2:18" ht="14" x14ac:dyDescent="0.3">
      <c r="B21" s="57" t="s">
        <v>10</v>
      </c>
      <c r="C21" s="131">
        <f>C18-C20</f>
        <v>-176180.56754026061</v>
      </c>
      <c r="D21" s="131">
        <f t="shared" ref="D21:L21" si="9">D18-D20</f>
        <v>-175472.22701610424</v>
      </c>
      <c r="E21" s="131">
        <f t="shared" si="9"/>
        <v>49114.017971415786</v>
      </c>
      <c r="F21" s="131">
        <f t="shared" si="9"/>
        <v>59470.022588851294</v>
      </c>
      <c r="G21" s="131">
        <f t="shared" si="9"/>
        <v>111129.02760251524</v>
      </c>
      <c r="H21" s="131">
        <f t="shared" si="9"/>
        <v>119013.7375060918</v>
      </c>
      <c r="I21" s="131">
        <f t="shared" si="9"/>
        <v>90213.01298265795</v>
      </c>
      <c r="J21" s="131">
        <f t="shared" si="9"/>
        <v>107111.95529285325</v>
      </c>
      <c r="K21" s="131">
        <f t="shared" si="9"/>
        <v>117904.48436374293</v>
      </c>
      <c r="L21" s="132">
        <f t="shared" si="9"/>
        <v>132273.6740384358</v>
      </c>
      <c r="N21" s="105">
        <v>5</v>
      </c>
      <c r="O21" s="110">
        <v>-3.3E-3</v>
      </c>
      <c r="P21" s="113">
        <f t="shared" si="6"/>
        <v>0.21739130434782608</v>
      </c>
      <c r="Q21" s="102"/>
      <c r="R21" s="107"/>
    </row>
    <row r="22" spans="2:18" ht="14" x14ac:dyDescent="0.3">
      <c r="B22" s="186" t="s">
        <v>11</v>
      </c>
      <c r="C22" s="187"/>
      <c r="D22" s="187"/>
      <c r="E22" s="187"/>
      <c r="F22" s="187"/>
      <c r="G22" s="187"/>
      <c r="H22" s="187"/>
      <c r="I22" s="187"/>
      <c r="J22" s="187"/>
      <c r="K22" s="187"/>
      <c r="L22" s="188"/>
      <c r="N22" s="105">
        <v>6</v>
      </c>
      <c r="O22" s="110">
        <v>-3.2000000000000002E-3</v>
      </c>
      <c r="P22" s="113">
        <f t="shared" si="6"/>
        <v>0.2608695652173913</v>
      </c>
      <c r="Q22" s="102"/>
      <c r="R22" s="107"/>
    </row>
    <row r="23" spans="2:18" ht="14" x14ac:dyDescent="0.3">
      <c r="B23" s="189"/>
      <c r="C23" s="190"/>
      <c r="D23" s="190"/>
      <c r="E23" s="190"/>
      <c r="F23" s="190"/>
      <c r="G23" s="190"/>
      <c r="H23" s="190"/>
      <c r="I23" s="190"/>
      <c r="J23" s="190"/>
      <c r="K23" s="190"/>
      <c r="L23" s="191"/>
      <c r="N23" s="105">
        <v>7</v>
      </c>
      <c r="O23" s="110">
        <v>-2.7000000000000001E-3</v>
      </c>
      <c r="P23" s="113">
        <f t="shared" si="6"/>
        <v>0.30434782608695654</v>
      </c>
      <c r="Q23" s="102"/>
      <c r="R23" s="107"/>
    </row>
    <row r="24" spans="2:18" s="7" customFormat="1" ht="14" x14ac:dyDescent="0.3">
      <c r="B24" s="38" t="s">
        <v>12</v>
      </c>
      <c r="C24" s="11"/>
      <c r="D24" s="12"/>
      <c r="E24" s="12">
        <v>0</v>
      </c>
      <c r="F24" s="21">
        <f>IF(E32&gt;8500,2,IF(E32&gt;3500,1,0))</f>
        <v>1</v>
      </c>
      <c r="G24" s="21">
        <f t="shared" ref="G24:L24" si="10">IF(F32&gt;8500,2,IF(F32&gt;3500,1,0))</f>
        <v>1</v>
      </c>
      <c r="H24" s="21">
        <f t="shared" si="10"/>
        <v>1</v>
      </c>
      <c r="I24" s="21">
        <f t="shared" si="10"/>
        <v>1</v>
      </c>
      <c r="J24" s="21">
        <f t="shared" si="10"/>
        <v>1</v>
      </c>
      <c r="K24" s="21">
        <f t="shared" si="10"/>
        <v>2</v>
      </c>
      <c r="L24" s="61">
        <f t="shared" si="10"/>
        <v>2</v>
      </c>
      <c r="N24" s="105">
        <v>8</v>
      </c>
      <c r="O24" s="110">
        <v>-2.5999999999999999E-3</v>
      </c>
      <c r="P24" s="113">
        <f t="shared" si="6"/>
        <v>0.34782608695652173</v>
      </c>
      <c r="Q24" s="102"/>
      <c r="R24" s="107"/>
    </row>
    <row r="25" spans="2:18" s="7" customFormat="1" ht="14" x14ac:dyDescent="0.3">
      <c r="B25" s="38" t="s">
        <v>13</v>
      </c>
      <c r="C25" s="11"/>
      <c r="D25" s="116"/>
      <c r="E25" s="117">
        <v>23.343818274336389</v>
      </c>
      <c r="F25" s="13">
        <f t="shared" ref="F25:L25" si="11">E25*(1+F27)</f>
        <v>24.53404685881171</v>
      </c>
      <c r="G25" s="13">
        <f t="shared" si="11"/>
        <v>25.679473666732115</v>
      </c>
      <c r="H25" s="13">
        <f t="shared" si="11"/>
        <v>26.864490494875263</v>
      </c>
      <c r="I25" s="13">
        <f t="shared" si="11"/>
        <v>27.977541467897915</v>
      </c>
      <c r="J25" s="13">
        <f t="shared" si="11"/>
        <v>29.189201627764582</v>
      </c>
      <c r="K25" s="13">
        <f t="shared" si="11"/>
        <v>30.509929168449109</v>
      </c>
      <c r="L25" s="82">
        <f t="shared" si="11"/>
        <v>31.809322896297829</v>
      </c>
      <c r="N25" s="105">
        <v>9</v>
      </c>
      <c r="O25" s="110">
        <v>-2E-3</v>
      </c>
      <c r="P25" s="113">
        <f t="shared" si="6"/>
        <v>0.39130434782608697</v>
      </c>
      <c r="Q25" s="102"/>
      <c r="R25" s="107"/>
    </row>
    <row r="26" spans="2:18" s="7" customFormat="1" ht="14" x14ac:dyDescent="0.3">
      <c r="B26" s="38" t="s">
        <v>63</v>
      </c>
      <c r="C26" s="11"/>
      <c r="D26" s="12"/>
      <c r="E26" s="32"/>
      <c r="F26" s="13"/>
      <c r="G26" s="115">
        <v>-4.299650418944494E-3</v>
      </c>
      <c r="H26" s="115">
        <v>-5.4077394112980563E-4</v>
      </c>
      <c r="I26" s="115">
        <v>-4.7144087061818732E-3</v>
      </c>
      <c r="J26" s="115">
        <v>1.8762621035688847E-3</v>
      </c>
      <c r="K26" s="115">
        <v>1.9388136230589889E-3</v>
      </c>
      <c r="L26" s="126">
        <v>-2.6579196694576741E-3</v>
      </c>
      <c r="M26" s="27"/>
      <c r="N26" s="105">
        <v>10</v>
      </c>
      <c r="O26" s="110">
        <v>-1.6000000000000001E-3</v>
      </c>
      <c r="P26" s="113">
        <f t="shared" si="6"/>
        <v>0.43478260869565216</v>
      </c>
      <c r="Q26" s="102"/>
      <c r="R26" s="107"/>
    </row>
    <row r="27" spans="2:18" s="7" customFormat="1" ht="14" x14ac:dyDescent="0.3">
      <c r="B27" s="38" t="s">
        <v>14</v>
      </c>
      <c r="C27" s="14"/>
      <c r="D27" s="15"/>
      <c r="E27" s="15"/>
      <c r="F27" s="115">
        <v>5.0986885285336223E-2</v>
      </c>
      <c r="G27" s="33">
        <f t="shared" ref="G27:L27" si="12">G26+F27</f>
        <v>4.668723486639173E-2</v>
      </c>
      <c r="H27" s="33">
        <f t="shared" si="12"/>
        <v>4.6146460925261923E-2</v>
      </c>
      <c r="I27" s="33">
        <f t="shared" si="12"/>
        <v>4.143205221908005E-2</v>
      </c>
      <c r="J27" s="33">
        <f t="shared" si="12"/>
        <v>4.3308314322648936E-2</v>
      </c>
      <c r="K27" s="33">
        <f t="shared" si="12"/>
        <v>4.5247127945707927E-2</v>
      </c>
      <c r="L27" s="83">
        <f t="shared" si="12"/>
        <v>4.2589208276250255E-2</v>
      </c>
      <c r="M27" s="35"/>
      <c r="N27" s="105">
        <v>11</v>
      </c>
      <c r="O27" s="110">
        <v>-1.2999999999999999E-3</v>
      </c>
      <c r="P27" s="113">
        <f t="shared" si="6"/>
        <v>0.47826086956521741</v>
      </c>
      <c r="Q27" s="102"/>
      <c r="R27" s="107"/>
    </row>
    <row r="28" spans="2:18" ht="14" x14ac:dyDescent="0.3">
      <c r="B28" s="84" t="s">
        <v>15</v>
      </c>
      <c r="C28" s="146">
        <v>0.46</v>
      </c>
      <c r="D28" s="34">
        <v>0.46</v>
      </c>
      <c r="E28" s="34">
        <v>0.46</v>
      </c>
      <c r="F28" s="34">
        <v>0.46</v>
      </c>
      <c r="G28" s="34">
        <f>IF(conservatives=1,$D$44,46%)</f>
        <v>0.46</v>
      </c>
      <c r="H28" s="17">
        <f>G28</f>
        <v>0.46</v>
      </c>
      <c r="I28" s="17">
        <f>H28</f>
        <v>0.46</v>
      </c>
      <c r="J28" s="17">
        <f>I28</f>
        <v>0.46</v>
      </c>
      <c r="K28" s="17">
        <f>J28</f>
        <v>0.46</v>
      </c>
      <c r="L28" s="85">
        <f>K28</f>
        <v>0.46</v>
      </c>
      <c r="N28" s="105">
        <v>12</v>
      </c>
      <c r="O28" s="110">
        <v>-8.9999999999999998E-4</v>
      </c>
      <c r="P28" s="113">
        <f t="shared" si="6"/>
        <v>0.52173913043478259</v>
      </c>
      <c r="Q28" s="102"/>
      <c r="R28" s="107"/>
    </row>
    <row r="29" spans="2:18" ht="14" x14ac:dyDescent="0.3">
      <c r="B29" s="186" t="s">
        <v>16</v>
      </c>
      <c r="C29" s="187"/>
      <c r="D29" s="187"/>
      <c r="E29" s="187"/>
      <c r="F29" s="187"/>
      <c r="G29" s="187"/>
      <c r="H29" s="187"/>
      <c r="I29" s="187"/>
      <c r="J29" s="187"/>
      <c r="K29" s="187"/>
      <c r="L29" s="188"/>
      <c r="N29" s="105">
        <v>13</v>
      </c>
      <c r="O29" s="110">
        <v>-5.9999999999999995E-4</v>
      </c>
      <c r="P29" s="113">
        <f t="shared" si="6"/>
        <v>0.56521739130434778</v>
      </c>
      <c r="Q29" s="102"/>
      <c r="R29" s="107"/>
    </row>
    <row r="30" spans="2:18" s="7" customFormat="1" ht="14" x14ac:dyDescent="0.3">
      <c r="B30" s="189"/>
      <c r="C30" s="190"/>
      <c r="D30" s="190"/>
      <c r="E30" s="190"/>
      <c r="F30" s="190"/>
      <c r="G30" s="190"/>
      <c r="H30" s="190"/>
      <c r="I30" s="190"/>
      <c r="J30" s="190"/>
      <c r="K30" s="190"/>
      <c r="L30" s="191"/>
      <c r="N30" s="105">
        <v>14</v>
      </c>
      <c r="O30" s="110">
        <v>2.9999999999999997E-4</v>
      </c>
      <c r="P30" s="113">
        <f t="shared" si="6"/>
        <v>0.60869565217391308</v>
      </c>
      <c r="Q30" s="102"/>
      <c r="R30" s="107"/>
    </row>
    <row r="31" spans="2:18" s="7" customFormat="1" ht="14" x14ac:dyDescent="0.3">
      <c r="B31" s="66" t="s">
        <v>17</v>
      </c>
      <c r="C31" s="18"/>
      <c r="D31" s="19"/>
      <c r="E31" s="118">
        <v>58.666644506648609</v>
      </c>
      <c r="F31" s="19">
        <f>E31*(1+F27)</f>
        <v>61.657873980184696</v>
      </c>
      <c r="G31" s="19">
        <f t="shared" ref="G31:L31" si="13">F31*(1+G27)</f>
        <v>64.536509624059974</v>
      </c>
      <c r="H31" s="19">
        <f t="shared" si="13"/>
        <v>67.514641143679455</v>
      </c>
      <c r="I31" s="19">
        <f t="shared" si="13"/>
        <v>70.31191128109684</v>
      </c>
      <c r="J31" s="19">
        <f t="shared" si="13"/>
        <v>73.357001635484792</v>
      </c>
      <c r="K31" s="19">
        <f t="shared" si="13"/>
        <v>76.676195274199074</v>
      </c>
      <c r="L31" s="86">
        <f t="shared" si="13"/>
        <v>79.941773724562367</v>
      </c>
      <c r="N31" s="105">
        <v>15</v>
      </c>
      <c r="O31" s="110">
        <v>1.5E-3</v>
      </c>
      <c r="P31" s="113">
        <f t="shared" si="6"/>
        <v>0.65217391304347827</v>
      </c>
      <c r="Q31" s="102"/>
      <c r="R31" s="107"/>
    </row>
    <row r="32" spans="2:18" s="7" customFormat="1" ht="14" x14ac:dyDescent="0.3">
      <c r="B32" s="66" t="s">
        <v>24</v>
      </c>
      <c r="C32" s="18"/>
      <c r="D32" s="19"/>
      <c r="E32" s="119">
        <v>3803.4932594540969</v>
      </c>
      <c r="F32" s="25">
        <f>MIN(20000,E32*(1+growth))</f>
        <v>4625.1975401647815</v>
      </c>
      <c r="G32" s="25">
        <f t="shared" ref="G32:L32" si="14">MIN(20000,F32*(1+growth))</f>
        <v>5624.4222945242545</v>
      </c>
      <c r="H32" s="25">
        <f t="shared" si="14"/>
        <v>6839.5189335014766</v>
      </c>
      <c r="I32" s="25">
        <f t="shared" si="14"/>
        <v>8317.124282660574</v>
      </c>
      <c r="J32" s="25">
        <f t="shared" si="14"/>
        <v>10113.950557895218</v>
      </c>
      <c r="K32" s="25">
        <f t="shared" si="14"/>
        <v>12298.962046389752</v>
      </c>
      <c r="L32" s="87">
        <f t="shared" si="14"/>
        <v>14956.02203635992</v>
      </c>
      <c r="N32" s="105">
        <v>16</v>
      </c>
      <c r="O32" s="110">
        <v>1.9E-3</v>
      </c>
      <c r="P32" s="113">
        <f t="shared" si="6"/>
        <v>0.69565217391304346</v>
      </c>
      <c r="Q32" s="102"/>
      <c r="R32" s="107"/>
    </row>
    <row r="33" spans="2:18" ht="14" x14ac:dyDescent="0.3">
      <c r="B33" s="88" t="s">
        <v>18</v>
      </c>
      <c r="C33" s="22"/>
      <c r="D33" s="23"/>
      <c r="E33" s="26">
        <f t="shared" ref="E33:L33" si="15">E32/(AVERAGE(C24:E24)+1)</f>
        <v>3803.4932594540969</v>
      </c>
      <c r="F33" s="26">
        <f t="shared" si="15"/>
        <v>3083.465026776521</v>
      </c>
      <c r="G33" s="26">
        <f t="shared" si="15"/>
        <v>3374.6533767145529</v>
      </c>
      <c r="H33" s="26">
        <f t="shared" si="15"/>
        <v>3419.7594667507383</v>
      </c>
      <c r="I33" s="26">
        <f t="shared" si="15"/>
        <v>4158.562141330287</v>
      </c>
      <c r="J33" s="26">
        <f t="shared" si="15"/>
        <v>5056.9752789476088</v>
      </c>
      <c r="K33" s="26">
        <f t="shared" si="15"/>
        <v>5270.9837341670373</v>
      </c>
      <c r="L33" s="89">
        <f t="shared" si="15"/>
        <v>5608.5082636349698</v>
      </c>
      <c r="N33" s="105">
        <v>17</v>
      </c>
      <c r="O33" s="110">
        <v>2.5000000000000001E-3</v>
      </c>
      <c r="P33" s="113">
        <f t="shared" si="6"/>
        <v>0.73913043478260865</v>
      </c>
      <c r="Q33" s="102"/>
      <c r="R33" s="107"/>
    </row>
    <row r="34" spans="2:18" ht="14" x14ac:dyDescent="0.3">
      <c r="B34" s="186" t="s">
        <v>19</v>
      </c>
      <c r="C34" s="187"/>
      <c r="D34" s="187"/>
      <c r="E34" s="187"/>
      <c r="F34" s="187"/>
      <c r="G34" s="187"/>
      <c r="H34" s="187"/>
      <c r="I34" s="187"/>
      <c r="J34" s="187"/>
      <c r="K34" s="187"/>
      <c r="L34" s="188"/>
      <c r="N34" s="105">
        <v>18</v>
      </c>
      <c r="O34" s="110">
        <v>2.8999999999999998E-3</v>
      </c>
      <c r="P34" s="113">
        <f t="shared" si="6"/>
        <v>0.78260869565217395</v>
      </c>
      <c r="Q34" s="102"/>
      <c r="R34" s="107"/>
    </row>
    <row r="35" spans="2:18" s="7" customFormat="1" ht="14" x14ac:dyDescent="0.3">
      <c r="B35" s="189"/>
      <c r="C35" s="190"/>
      <c r="D35" s="190"/>
      <c r="E35" s="190"/>
      <c r="F35" s="190"/>
      <c r="G35" s="190"/>
      <c r="H35" s="190"/>
      <c r="I35" s="190"/>
      <c r="J35" s="190"/>
      <c r="K35" s="190"/>
      <c r="L35" s="191"/>
      <c r="N35" s="105">
        <v>19</v>
      </c>
      <c r="O35" s="110">
        <v>3.0999999999999999E-3</v>
      </c>
      <c r="P35" s="113">
        <f t="shared" si="6"/>
        <v>0.82608695652173914</v>
      </c>
      <c r="Q35" s="102"/>
      <c r="R35" s="107"/>
    </row>
    <row r="36" spans="2:18" s="7" customFormat="1" ht="14" x14ac:dyDescent="0.3">
      <c r="B36" s="70" t="s">
        <v>20</v>
      </c>
      <c r="C36" s="55">
        <f>5/8*combined</f>
        <v>51180.567540260607</v>
      </c>
      <c r="D36" s="71">
        <f>2/8*combined</f>
        <v>20472.227016104243</v>
      </c>
      <c r="E36" s="71">
        <f>combined/8</f>
        <v>10236.113508052122</v>
      </c>
      <c r="F36" s="141">
        <v>0</v>
      </c>
      <c r="G36" s="141">
        <v>0</v>
      </c>
      <c r="H36" s="141">
        <v>0</v>
      </c>
      <c r="I36" s="141">
        <v>0</v>
      </c>
      <c r="J36" s="141">
        <v>0</v>
      </c>
      <c r="K36" s="141">
        <v>0</v>
      </c>
      <c r="L36" s="142">
        <v>0</v>
      </c>
      <c r="N36" s="105">
        <v>20</v>
      </c>
      <c r="O36" s="110">
        <v>4.3E-3</v>
      </c>
      <c r="P36" s="113">
        <f t="shared" si="6"/>
        <v>0.86956521739130432</v>
      </c>
      <c r="Q36" s="102"/>
      <c r="R36" s="107"/>
    </row>
    <row r="37" spans="2:18" s="7" customFormat="1" ht="14" x14ac:dyDescent="0.3">
      <c r="B37" s="70" t="s">
        <v>21</v>
      </c>
      <c r="C37" s="140">
        <v>125000</v>
      </c>
      <c r="D37" s="141">
        <v>145000</v>
      </c>
      <c r="E37" s="141">
        <v>55000</v>
      </c>
      <c r="F37" s="140">
        <v>35000</v>
      </c>
      <c r="G37" s="140">
        <v>0</v>
      </c>
      <c r="H37" s="140">
        <v>0</v>
      </c>
      <c r="I37" s="140">
        <v>0</v>
      </c>
      <c r="J37" s="140">
        <v>0</v>
      </c>
      <c r="K37" s="140">
        <v>0</v>
      </c>
      <c r="L37" s="142">
        <v>0</v>
      </c>
      <c r="N37" s="105">
        <v>21</v>
      </c>
      <c r="O37" s="110">
        <v>6.3E-3</v>
      </c>
      <c r="P37" s="113">
        <f t="shared" si="6"/>
        <v>0.91304347826086951</v>
      </c>
      <c r="Q37" s="102"/>
      <c r="R37" s="107"/>
    </row>
    <row r="38" spans="2:18" ht="14.5" thickBot="1" x14ac:dyDescent="0.35">
      <c r="B38" s="73" t="s">
        <v>22</v>
      </c>
      <c r="C38" s="143">
        <v>0</v>
      </c>
      <c r="D38" s="144">
        <v>10000</v>
      </c>
      <c r="E38" s="144">
        <v>20000</v>
      </c>
      <c r="F38" s="144">
        <v>20000</v>
      </c>
      <c r="G38" s="144">
        <v>20000</v>
      </c>
      <c r="H38" s="144">
        <v>20000</v>
      </c>
      <c r="I38" s="144">
        <v>20000</v>
      </c>
      <c r="J38" s="144">
        <v>25000</v>
      </c>
      <c r="K38" s="144">
        <v>25000</v>
      </c>
      <c r="L38" s="145">
        <v>25000</v>
      </c>
      <c r="N38" s="106">
        <v>22</v>
      </c>
      <c r="O38" s="111">
        <v>7.1999999999999998E-3</v>
      </c>
      <c r="P38" s="113">
        <f t="shared" si="6"/>
        <v>0.95652173913043481</v>
      </c>
      <c r="Q38" s="102"/>
      <c r="R38" s="107"/>
    </row>
    <row r="39" spans="2:18" ht="14.5" thickBot="1" x14ac:dyDescent="0.35">
      <c r="B39" s="76" t="s">
        <v>23</v>
      </c>
      <c r="C39" s="77">
        <f>SUM(C36:C38)</f>
        <v>176180.56754026061</v>
      </c>
      <c r="D39" s="77">
        <f t="shared" ref="D39:L39" si="16">SUM(D36:D38)</f>
        <v>175472.22701610424</v>
      </c>
      <c r="E39" s="77">
        <f t="shared" si="16"/>
        <v>85236.11350805212</v>
      </c>
      <c r="F39" s="77">
        <f t="shared" si="16"/>
        <v>55000</v>
      </c>
      <c r="G39" s="77">
        <f t="shared" si="16"/>
        <v>20000</v>
      </c>
      <c r="H39" s="77">
        <f t="shared" si="16"/>
        <v>20000</v>
      </c>
      <c r="I39" s="77">
        <f t="shared" si="16"/>
        <v>20000</v>
      </c>
      <c r="J39" s="77">
        <f t="shared" si="16"/>
        <v>25000</v>
      </c>
      <c r="K39" s="77">
        <f t="shared" si="16"/>
        <v>25000</v>
      </c>
      <c r="L39" s="78">
        <f t="shared" si="16"/>
        <v>25000</v>
      </c>
      <c r="N39" s="104" t="s">
        <v>62</v>
      </c>
      <c r="O39" s="109">
        <f>O12</f>
        <v>0.01</v>
      </c>
      <c r="P39" s="112">
        <v>1</v>
      </c>
      <c r="R39" s="107"/>
    </row>
    <row r="40" spans="2:18" x14ac:dyDescent="0.25">
      <c r="B40" s="8"/>
      <c r="C40" s="6"/>
      <c r="D40" s="3"/>
      <c r="E40" s="3"/>
      <c r="F40" s="3"/>
      <c r="G40" s="3"/>
      <c r="H40" s="3"/>
      <c r="I40" s="3"/>
      <c r="J40" s="3"/>
      <c r="K40" s="3"/>
      <c r="L40" s="3"/>
    </row>
    <row r="41" spans="2:18" x14ac:dyDescent="0.25">
      <c r="B41" s="93" t="s">
        <v>25</v>
      </c>
      <c r="C41" s="120">
        <v>81888.908064416974</v>
      </c>
      <c r="D41" s="137">
        <v>1</v>
      </c>
      <c r="E41" s="93" t="s">
        <v>44</v>
      </c>
      <c r="F41" s="124">
        <v>0.1115708195651489</v>
      </c>
      <c r="G41" s="3"/>
      <c r="H41" s="3"/>
      <c r="I41" s="3"/>
      <c r="J41" s="3"/>
      <c r="K41" s="3"/>
      <c r="L41" s="3"/>
    </row>
    <row r="42" spans="2:18" ht="13.5" x14ac:dyDescent="0.35">
      <c r="B42" s="94" t="s">
        <v>26</v>
      </c>
      <c r="C42" s="121">
        <v>126681.35746852927</v>
      </c>
      <c r="E42" s="97" t="s">
        <v>47</v>
      </c>
      <c r="F42" s="98">
        <v>0.02</v>
      </c>
      <c r="G42" s="3"/>
      <c r="H42" s="3"/>
      <c r="I42" s="3"/>
      <c r="J42" s="3"/>
      <c r="K42" s="3"/>
      <c r="L42" s="3"/>
    </row>
    <row r="43" spans="2:18" ht="13.5" x14ac:dyDescent="0.35">
      <c r="B43" s="94" t="s">
        <v>27</v>
      </c>
      <c r="C43" s="95">
        <f>C41*D41+C42*(1-D41)</f>
        <v>81888.908064416974</v>
      </c>
      <c r="D43" s="125" t="s">
        <v>64</v>
      </c>
      <c r="E43" s="99" t="s">
        <v>48</v>
      </c>
      <c r="F43" s="135">
        <f>LN(1+rf)</f>
        <v>1.980262729617973E-2</v>
      </c>
      <c r="G43" s="3"/>
      <c r="H43" s="3"/>
      <c r="I43" s="3"/>
      <c r="J43" s="3"/>
      <c r="K43" s="3"/>
      <c r="L43" s="3"/>
    </row>
    <row r="44" spans="2:18" x14ac:dyDescent="0.25">
      <c r="B44" s="94" t="s">
        <v>28</v>
      </c>
      <c r="C44" s="122">
        <v>0</v>
      </c>
      <c r="D44" s="136">
        <v>0.35258034314421521</v>
      </c>
      <c r="E44" s="3"/>
      <c r="F44" s="3"/>
      <c r="G44" s="3"/>
      <c r="H44" s="3"/>
      <c r="I44" s="3"/>
      <c r="J44" s="3"/>
      <c r="K44" s="3"/>
      <c r="L44" s="3"/>
    </row>
    <row r="45" spans="2:18" ht="13" x14ac:dyDescent="0.3">
      <c r="B45" s="96" t="s">
        <v>29</v>
      </c>
      <c r="C45" s="123">
        <v>0.21603936819612543</v>
      </c>
      <c r="E45" s="133" t="s">
        <v>45</v>
      </c>
      <c r="F45" s="134">
        <f>NPV(0.02,F58:L58)+E58</f>
        <v>2140.3542331750782</v>
      </c>
      <c r="G45" s="3"/>
      <c r="H45" s="3"/>
      <c r="I45" s="3"/>
      <c r="J45" s="3"/>
      <c r="K45" s="3"/>
      <c r="L45" s="3"/>
    </row>
    <row r="46" spans="2:18" x14ac:dyDescent="0.25">
      <c r="B46" s="8"/>
      <c r="C46" s="6"/>
      <c r="D46" s="3"/>
      <c r="E46" s="3"/>
      <c r="F46" s="3"/>
      <c r="G46" s="3"/>
      <c r="H46" s="3"/>
      <c r="I46" s="3"/>
      <c r="J46" s="3"/>
      <c r="K46" s="3"/>
      <c r="L46" s="3"/>
    </row>
    <row r="47" spans="2:18" ht="13" thickBot="1" x14ac:dyDescent="0.3">
      <c r="B47" s="4" t="s">
        <v>42</v>
      </c>
      <c r="C47" s="6"/>
      <c r="D47" s="3"/>
      <c r="E47" s="3"/>
      <c r="F47" s="3"/>
      <c r="G47" s="3"/>
      <c r="H47" s="3"/>
      <c r="I47" s="3"/>
      <c r="J47" s="3"/>
      <c r="K47" s="3"/>
      <c r="L47" s="3"/>
    </row>
    <row r="48" spans="2:18" ht="13.5" thickBot="1" x14ac:dyDescent="0.35">
      <c r="B48" s="79" t="s">
        <v>1</v>
      </c>
      <c r="C48" s="80">
        <f ca="1">YEAR(TODAY())+1</f>
        <v>2018</v>
      </c>
      <c r="D48" s="80">
        <f t="shared" ref="D48:L48" ca="1" si="17">C48+1</f>
        <v>2019</v>
      </c>
      <c r="E48" s="80">
        <f t="shared" ca="1" si="17"/>
        <v>2020</v>
      </c>
      <c r="F48" s="80">
        <f t="shared" ca="1" si="17"/>
        <v>2021</v>
      </c>
      <c r="G48" s="80">
        <f t="shared" ca="1" si="17"/>
        <v>2022</v>
      </c>
      <c r="H48" s="80">
        <f t="shared" ca="1" si="17"/>
        <v>2023</v>
      </c>
      <c r="I48" s="80">
        <f t="shared" ca="1" si="17"/>
        <v>2024</v>
      </c>
      <c r="J48" s="80">
        <f t="shared" ca="1" si="17"/>
        <v>2025</v>
      </c>
      <c r="K48" s="80">
        <f t="shared" ca="1" si="17"/>
        <v>2026</v>
      </c>
      <c r="L48" s="81">
        <f t="shared" ca="1" si="17"/>
        <v>2027</v>
      </c>
    </row>
    <row r="49" spans="2:12" ht="13" thickTop="1" x14ac:dyDescent="0.25">
      <c r="B49" s="186" t="s">
        <v>2</v>
      </c>
      <c r="C49" s="187"/>
      <c r="D49" s="187"/>
      <c r="E49" s="187"/>
      <c r="F49" s="187"/>
      <c r="G49" s="187"/>
      <c r="H49" s="187"/>
      <c r="I49" s="187"/>
      <c r="J49" s="187"/>
      <c r="K49" s="187"/>
      <c r="L49" s="188"/>
    </row>
    <row r="50" spans="2:12" x14ac:dyDescent="0.25">
      <c r="B50" s="189"/>
      <c r="C50" s="190"/>
      <c r="D50" s="190"/>
      <c r="E50" s="190"/>
      <c r="F50" s="190"/>
      <c r="G50" s="190"/>
      <c r="H50" s="190"/>
      <c r="I50" s="190"/>
      <c r="J50" s="190"/>
      <c r="K50" s="190"/>
      <c r="L50" s="191"/>
    </row>
    <row r="51" spans="2:12" x14ac:dyDescent="0.25">
      <c r="B51" s="54" t="s">
        <v>3</v>
      </c>
      <c r="C51" s="55">
        <f>C67*C69</f>
        <v>0</v>
      </c>
      <c r="D51" s="55">
        <f t="shared" ref="D51:L51" si="18">D67*D69</f>
        <v>0</v>
      </c>
      <c r="E51" s="55">
        <f t="shared" si="18"/>
        <v>0</v>
      </c>
      <c r="F51" s="55">
        <f t="shared" si="18"/>
        <v>0</v>
      </c>
      <c r="G51" s="55">
        <f t="shared" si="18"/>
        <v>0</v>
      </c>
      <c r="H51" s="55">
        <f t="shared" si="18"/>
        <v>0</v>
      </c>
      <c r="I51" s="55">
        <f t="shared" si="18"/>
        <v>0</v>
      </c>
      <c r="J51" s="55">
        <f t="shared" si="18"/>
        <v>0</v>
      </c>
      <c r="K51" s="55">
        <f t="shared" si="18"/>
        <v>0</v>
      </c>
      <c r="L51" s="56">
        <f t="shared" si="18"/>
        <v>36233.259731967788</v>
      </c>
    </row>
    <row r="52" spans="2:12" x14ac:dyDescent="0.25">
      <c r="B52" s="54" t="s">
        <v>4</v>
      </c>
      <c r="C52" s="55">
        <f>C62*C69</f>
        <v>0</v>
      </c>
      <c r="D52" s="55">
        <f t="shared" ref="D52:L52" si="19">D62*D69</f>
        <v>0</v>
      </c>
      <c r="E52" s="55">
        <f t="shared" si="19"/>
        <v>0</v>
      </c>
      <c r="F52" s="55">
        <f t="shared" si="19"/>
        <v>0</v>
      </c>
      <c r="G52" s="55">
        <f t="shared" si="19"/>
        <v>0</v>
      </c>
      <c r="H52" s="55">
        <f t="shared" si="19"/>
        <v>0</v>
      </c>
      <c r="I52" s="55">
        <f t="shared" si="19"/>
        <v>0</v>
      </c>
      <c r="J52" s="55">
        <f t="shared" si="19"/>
        <v>0</v>
      </c>
      <c r="K52" s="55">
        <f t="shared" si="19"/>
        <v>0</v>
      </c>
      <c r="L52" s="56">
        <f t="shared" si="19"/>
        <v>31680.307451707275</v>
      </c>
    </row>
    <row r="53" spans="2:12" x14ac:dyDescent="0.25">
      <c r="B53" s="54" t="s">
        <v>5</v>
      </c>
      <c r="C53" s="55">
        <f t="shared" ref="C53:L53" si="20">C51-C52</f>
        <v>0</v>
      </c>
      <c r="D53" s="55">
        <f t="shared" si="20"/>
        <v>0</v>
      </c>
      <c r="E53" s="55">
        <f t="shared" si="20"/>
        <v>0</v>
      </c>
      <c r="F53" s="55">
        <f t="shared" si="20"/>
        <v>0</v>
      </c>
      <c r="G53" s="55">
        <f t="shared" si="20"/>
        <v>0</v>
      </c>
      <c r="H53" s="55">
        <f t="shared" si="20"/>
        <v>0</v>
      </c>
      <c r="I53" s="55">
        <f t="shared" si="20"/>
        <v>0</v>
      </c>
      <c r="J53" s="55">
        <f t="shared" si="20"/>
        <v>0</v>
      </c>
      <c r="K53" s="55">
        <f t="shared" si="20"/>
        <v>0</v>
      </c>
      <c r="L53" s="56">
        <f t="shared" si="20"/>
        <v>4552.9522802605134</v>
      </c>
    </row>
    <row r="54" spans="2:12" x14ac:dyDescent="0.25">
      <c r="B54" s="54" t="s">
        <v>6</v>
      </c>
      <c r="C54" s="55">
        <f>C75</f>
        <v>0</v>
      </c>
      <c r="D54" s="55">
        <f t="shared" ref="D54:L54" si="21">D75</f>
        <v>0</v>
      </c>
      <c r="E54" s="55">
        <f t="shared" si="21"/>
        <v>0</v>
      </c>
      <c r="F54" s="55">
        <f t="shared" si="21"/>
        <v>0</v>
      </c>
      <c r="G54" s="55">
        <f t="shared" si="21"/>
        <v>0</v>
      </c>
      <c r="H54" s="55">
        <f t="shared" si="21"/>
        <v>0</v>
      </c>
      <c r="I54" s="55">
        <f t="shared" si="21"/>
        <v>0</v>
      </c>
      <c r="J54" s="55">
        <f t="shared" si="21"/>
        <v>0</v>
      </c>
      <c r="K54" s="55">
        <f t="shared" si="21"/>
        <v>0</v>
      </c>
      <c r="L54" s="56">
        <f t="shared" si="21"/>
        <v>0</v>
      </c>
    </row>
    <row r="55" spans="2:12" x14ac:dyDescent="0.25">
      <c r="B55" s="57" t="s">
        <v>7</v>
      </c>
      <c r="C55" s="55">
        <f t="shared" ref="C55:L55" si="22">C53-C54</f>
        <v>0</v>
      </c>
      <c r="D55" s="55">
        <f t="shared" si="22"/>
        <v>0</v>
      </c>
      <c r="E55" s="55">
        <f t="shared" si="22"/>
        <v>0</v>
      </c>
      <c r="F55" s="55">
        <f t="shared" si="22"/>
        <v>0</v>
      </c>
      <c r="G55" s="55">
        <f t="shared" si="22"/>
        <v>0</v>
      </c>
      <c r="H55" s="55">
        <f t="shared" si="22"/>
        <v>0</v>
      </c>
      <c r="I55" s="55">
        <f t="shared" si="22"/>
        <v>0</v>
      </c>
      <c r="J55" s="55">
        <f t="shared" si="22"/>
        <v>0</v>
      </c>
      <c r="K55" s="55">
        <f t="shared" si="22"/>
        <v>0</v>
      </c>
      <c r="L55" s="56">
        <f t="shared" si="22"/>
        <v>4552.9522802605134</v>
      </c>
    </row>
    <row r="56" spans="2:12" x14ac:dyDescent="0.25">
      <c r="B56" s="57" t="s">
        <v>8</v>
      </c>
      <c r="C56" s="55">
        <f>C55</f>
        <v>0</v>
      </c>
      <c r="D56" s="55">
        <f t="shared" ref="D56:L56" si="23">C56+D55-MAX((C57/C64),0)</f>
        <v>0</v>
      </c>
      <c r="E56" s="55">
        <f t="shared" si="23"/>
        <v>0</v>
      </c>
      <c r="F56" s="55">
        <f t="shared" si="23"/>
        <v>0</v>
      </c>
      <c r="G56" s="55">
        <f t="shared" si="23"/>
        <v>0</v>
      </c>
      <c r="H56" s="55">
        <f t="shared" si="23"/>
        <v>0</v>
      </c>
      <c r="I56" s="55">
        <f t="shared" si="23"/>
        <v>0</v>
      </c>
      <c r="J56" s="55">
        <f t="shared" si="23"/>
        <v>0</v>
      </c>
      <c r="K56" s="55">
        <f t="shared" si="23"/>
        <v>0</v>
      </c>
      <c r="L56" s="56">
        <f t="shared" si="23"/>
        <v>4552.9522802605134</v>
      </c>
    </row>
    <row r="57" spans="2:12" x14ac:dyDescent="0.25">
      <c r="B57" s="58" t="s">
        <v>9</v>
      </c>
      <c r="C57" s="59">
        <f t="shared" ref="C57:L57" si="24">MAX(C64*C56,0)</f>
        <v>0</v>
      </c>
      <c r="D57" s="59">
        <f t="shared" si="24"/>
        <v>0</v>
      </c>
      <c r="E57" s="59">
        <f t="shared" si="24"/>
        <v>0</v>
      </c>
      <c r="F57" s="59">
        <f t="shared" si="24"/>
        <v>0</v>
      </c>
      <c r="G57" s="59">
        <f t="shared" si="24"/>
        <v>0</v>
      </c>
      <c r="H57" s="59">
        <f t="shared" si="24"/>
        <v>0</v>
      </c>
      <c r="I57" s="59">
        <f t="shared" si="24"/>
        <v>0</v>
      </c>
      <c r="J57" s="59">
        <f t="shared" si="24"/>
        <v>0</v>
      </c>
      <c r="K57" s="59">
        <f t="shared" si="24"/>
        <v>0</v>
      </c>
      <c r="L57" s="60">
        <f t="shared" si="24"/>
        <v>2094.3580489198362</v>
      </c>
    </row>
    <row r="58" spans="2:12" x14ac:dyDescent="0.25">
      <c r="B58" s="57" t="s">
        <v>10</v>
      </c>
      <c r="C58" s="131">
        <f t="shared" ref="C58:L58" si="25">C55-C57</f>
        <v>0</v>
      </c>
      <c r="D58" s="131">
        <f t="shared" si="25"/>
        <v>0</v>
      </c>
      <c r="E58" s="131">
        <f t="shared" si="25"/>
        <v>0</v>
      </c>
      <c r="F58" s="131">
        <f t="shared" si="25"/>
        <v>0</v>
      </c>
      <c r="G58" s="131">
        <f t="shared" si="25"/>
        <v>0</v>
      </c>
      <c r="H58" s="131">
        <f t="shared" si="25"/>
        <v>0</v>
      </c>
      <c r="I58" s="131">
        <f t="shared" si="25"/>
        <v>0</v>
      </c>
      <c r="J58" s="131">
        <f t="shared" si="25"/>
        <v>0</v>
      </c>
      <c r="K58" s="131">
        <f t="shared" si="25"/>
        <v>0</v>
      </c>
      <c r="L58" s="132">
        <f t="shared" si="25"/>
        <v>2458.5942313406772</v>
      </c>
    </row>
    <row r="59" spans="2:12" x14ac:dyDescent="0.25">
      <c r="B59" s="186" t="s">
        <v>11</v>
      </c>
      <c r="C59" s="187"/>
      <c r="D59" s="187"/>
      <c r="E59" s="187"/>
      <c r="F59" s="187"/>
      <c r="G59" s="187"/>
      <c r="H59" s="187"/>
      <c r="I59" s="187"/>
      <c r="J59" s="187"/>
      <c r="K59" s="187"/>
      <c r="L59" s="188"/>
    </row>
    <row r="60" spans="2:12" x14ac:dyDescent="0.25">
      <c r="B60" s="189"/>
      <c r="C60" s="190"/>
      <c r="D60" s="190"/>
      <c r="E60" s="190"/>
      <c r="F60" s="190"/>
      <c r="G60" s="190"/>
      <c r="H60" s="190"/>
      <c r="I60" s="190"/>
      <c r="J60" s="190"/>
      <c r="K60" s="190"/>
      <c r="L60" s="191"/>
    </row>
    <row r="61" spans="2:12" x14ac:dyDescent="0.25">
      <c r="B61" s="38" t="s">
        <v>46</v>
      </c>
      <c r="C61" s="11"/>
      <c r="D61" s="12"/>
      <c r="E61" s="12">
        <f>IF(E67&lt;63,0,1)</f>
        <v>0</v>
      </c>
      <c r="F61" s="21">
        <f t="shared" ref="F61:L61" si="26">IF(F67&lt;63,0,1)</f>
        <v>0</v>
      </c>
      <c r="G61" s="21">
        <f t="shared" si="26"/>
        <v>0</v>
      </c>
      <c r="H61" s="21">
        <f t="shared" si="26"/>
        <v>0</v>
      </c>
      <c r="I61" s="21">
        <f t="shared" si="26"/>
        <v>0</v>
      </c>
      <c r="J61" s="21">
        <f t="shared" si="26"/>
        <v>0</v>
      </c>
      <c r="K61" s="21">
        <f t="shared" si="26"/>
        <v>0</v>
      </c>
      <c r="L61" s="61">
        <f t="shared" si="26"/>
        <v>1</v>
      </c>
    </row>
    <row r="62" spans="2:12" x14ac:dyDescent="0.25">
      <c r="B62" s="38" t="s">
        <v>13</v>
      </c>
      <c r="C62" s="11"/>
      <c r="D62" s="12"/>
      <c r="E62" s="117">
        <v>48.770927481563653</v>
      </c>
      <c r="F62" s="13">
        <f>E62*(1+F63)</f>
        <v>49.746346031194925</v>
      </c>
      <c r="G62" s="13">
        <f t="shared" ref="G62:L62" si="27">F62*(1+G63)</f>
        <v>50.741272951818821</v>
      </c>
      <c r="H62" s="13">
        <f t="shared" si="27"/>
        <v>51.756098410855202</v>
      </c>
      <c r="I62" s="13">
        <f t="shared" si="27"/>
        <v>52.791220379072307</v>
      </c>
      <c r="J62" s="13">
        <f t="shared" si="27"/>
        <v>53.847044786653754</v>
      </c>
      <c r="K62" s="13">
        <f t="shared" si="27"/>
        <v>54.923985682386828</v>
      </c>
      <c r="L62" s="82">
        <f t="shared" si="27"/>
        <v>56.022465396034562</v>
      </c>
    </row>
    <row r="63" spans="2:12" x14ac:dyDescent="0.25">
      <c r="B63" s="38" t="s">
        <v>43</v>
      </c>
      <c r="C63" s="14"/>
      <c r="D63" s="15"/>
      <c r="E63" s="15"/>
      <c r="F63" s="138">
        <f t="shared" ref="F63:L63" si="28">rf</f>
        <v>0.02</v>
      </c>
      <c r="G63" s="138">
        <f t="shared" si="28"/>
        <v>0.02</v>
      </c>
      <c r="H63" s="138">
        <f t="shared" si="28"/>
        <v>0.02</v>
      </c>
      <c r="I63" s="138">
        <f t="shared" si="28"/>
        <v>0.02</v>
      </c>
      <c r="J63" s="138">
        <f t="shared" si="28"/>
        <v>0.02</v>
      </c>
      <c r="K63" s="138">
        <f t="shared" si="28"/>
        <v>0.02</v>
      </c>
      <c r="L63" s="139">
        <f t="shared" si="28"/>
        <v>0.02</v>
      </c>
    </row>
    <row r="64" spans="2:12" x14ac:dyDescent="0.25">
      <c r="B64" s="84" t="s">
        <v>15</v>
      </c>
      <c r="C64" s="16">
        <f>C28</f>
        <v>0.46</v>
      </c>
      <c r="D64" s="17">
        <f t="shared" ref="D64:L64" si="29">D28</f>
        <v>0.46</v>
      </c>
      <c r="E64" s="17">
        <f t="shared" si="29"/>
        <v>0.46</v>
      </c>
      <c r="F64" s="17">
        <f t="shared" si="29"/>
        <v>0.46</v>
      </c>
      <c r="G64" s="17">
        <f t="shared" si="29"/>
        <v>0.46</v>
      </c>
      <c r="H64" s="17">
        <f t="shared" si="29"/>
        <v>0.46</v>
      </c>
      <c r="I64" s="17">
        <f t="shared" si="29"/>
        <v>0.46</v>
      </c>
      <c r="J64" s="17">
        <f t="shared" si="29"/>
        <v>0.46</v>
      </c>
      <c r="K64" s="17">
        <f t="shared" si="29"/>
        <v>0.46</v>
      </c>
      <c r="L64" s="85">
        <f t="shared" si="29"/>
        <v>0.46</v>
      </c>
    </row>
    <row r="65" spans="2:12" x14ac:dyDescent="0.25">
      <c r="B65" s="186" t="s">
        <v>16</v>
      </c>
      <c r="C65" s="187"/>
      <c r="D65" s="187"/>
      <c r="E65" s="187"/>
      <c r="F65" s="187"/>
      <c r="G65" s="187"/>
      <c r="H65" s="187"/>
      <c r="I65" s="187"/>
      <c r="J65" s="187"/>
      <c r="K65" s="187"/>
      <c r="L65" s="188"/>
    </row>
    <row r="66" spans="2:12" x14ac:dyDescent="0.25">
      <c r="B66" s="189"/>
      <c r="C66" s="190"/>
      <c r="D66" s="190"/>
      <c r="E66" s="190"/>
      <c r="F66" s="190"/>
      <c r="G66" s="190"/>
      <c r="H66" s="190"/>
      <c r="I66" s="190"/>
      <c r="J66" s="190"/>
      <c r="K66" s="190"/>
      <c r="L66" s="191"/>
    </row>
    <row r="67" spans="2:12" x14ac:dyDescent="0.25">
      <c r="B67" s="66" t="s">
        <v>17</v>
      </c>
      <c r="C67" s="18"/>
      <c r="D67" s="19"/>
      <c r="E67" s="118">
        <v>55.780067333697197</v>
      </c>
      <c r="F67" s="19">
        <f>E67*(1+F63)</f>
        <v>56.895668680371145</v>
      </c>
      <c r="G67" s="19">
        <f t="shared" ref="G67:L67" si="30">F67*(1+G63)</f>
        <v>58.03358205397857</v>
      </c>
      <c r="H67" s="19">
        <f t="shared" si="30"/>
        <v>59.194253695058144</v>
      </c>
      <c r="I67" s="19">
        <f t="shared" si="30"/>
        <v>60.37813876895931</v>
      </c>
      <c r="J67" s="19">
        <f t="shared" si="30"/>
        <v>61.585701544338498</v>
      </c>
      <c r="K67" s="19">
        <f t="shared" si="30"/>
        <v>62.817415575225269</v>
      </c>
      <c r="L67" s="86">
        <f t="shared" si="30"/>
        <v>64.073763886729779</v>
      </c>
    </row>
    <row r="68" spans="2:12" x14ac:dyDescent="0.25">
      <c r="B68" s="66" t="s">
        <v>24</v>
      </c>
      <c r="C68" s="18"/>
      <c r="D68" s="19"/>
      <c r="E68" s="119">
        <v>539.38293833087039</v>
      </c>
      <c r="F68" s="25">
        <f t="shared" ref="F68:L68" si="31">MIN(20000,E68*(1+$F$41))</f>
        <v>599.56233481990375</v>
      </c>
      <c r="G68" s="25">
        <f t="shared" si="31"/>
        <v>666.4559958961546</v>
      </c>
      <c r="H68" s="25">
        <f t="shared" si="31"/>
        <v>740.81303756239606</v>
      </c>
      <c r="I68" s="25">
        <f t="shared" si="31"/>
        <v>823.4661553077799</v>
      </c>
      <c r="J68" s="25">
        <f t="shared" si="31"/>
        <v>915.34094913963099</v>
      </c>
      <c r="K68" s="25">
        <f t="shared" si="31"/>
        <v>1017.4662890166808</v>
      </c>
      <c r="L68" s="87">
        <f t="shared" si="31"/>
        <v>1130.9858367621823</v>
      </c>
    </row>
    <row r="69" spans="2:12" x14ac:dyDescent="0.25">
      <c r="B69" s="88" t="s">
        <v>18</v>
      </c>
      <c r="C69" s="22"/>
      <c r="D69" s="23"/>
      <c r="E69" s="26">
        <f>E68*E61*0.5</f>
        <v>0</v>
      </c>
      <c r="F69" s="26">
        <f t="shared" ref="F69:L69" si="32">F68*F61*0.5</f>
        <v>0</v>
      </c>
      <c r="G69" s="26">
        <f t="shared" si="32"/>
        <v>0</v>
      </c>
      <c r="H69" s="26">
        <f t="shared" si="32"/>
        <v>0</v>
      </c>
      <c r="I69" s="26">
        <f t="shared" si="32"/>
        <v>0</v>
      </c>
      <c r="J69" s="26">
        <f t="shared" si="32"/>
        <v>0</v>
      </c>
      <c r="K69" s="26">
        <f t="shared" si="32"/>
        <v>0</v>
      </c>
      <c r="L69" s="89">
        <f t="shared" si="32"/>
        <v>565.49291838109116</v>
      </c>
    </row>
    <row r="70" spans="2:12" x14ac:dyDescent="0.25">
      <c r="B70" s="186" t="s">
        <v>19</v>
      </c>
      <c r="C70" s="187"/>
      <c r="D70" s="187"/>
      <c r="E70" s="187"/>
      <c r="F70" s="187"/>
      <c r="G70" s="187"/>
      <c r="H70" s="187"/>
      <c r="I70" s="187"/>
      <c r="J70" s="187"/>
      <c r="K70" s="187"/>
      <c r="L70" s="188"/>
    </row>
    <row r="71" spans="2:12" x14ac:dyDescent="0.25">
      <c r="B71" s="189"/>
      <c r="C71" s="190"/>
      <c r="D71" s="190"/>
      <c r="E71" s="190"/>
      <c r="F71" s="190"/>
      <c r="G71" s="190"/>
      <c r="H71" s="190"/>
      <c r="I71" s="190"/>
      <c r="J71" s="190"/>
      <c r="K71" s="190"/>
      <c r="L71" s="191"/>
    </row>
    <row r="72" spans="2:12" x14ac:dyDescent="0.25">
      <c r="B72" s="70" t="s">
        <v>20</v>
      </c>
      <c r="C72" s="55"/>
      <c r="D72" s="71"/>
      <c r="E72" s="71"/>
      <c r="F72" s="71">
        <v>0</v>
      </c>
      <c r="G72" s="71">
        <v>0</v>
      </c>
      <c r="H72" s="71">
        <v>0</v>
      </c>
      <c r="I72" s="71">
        <v>0</v>
      </c>
      <c r="J72" s="71">
        <v>0</v>
      </c>
      <c r="K72" s="71">
        <v>0</v>
      </c>
      <c r="L72" s="90">
        <v>0</v>
      </c>
    </row>
    <row r="73" spans="2:12" x14ac:dyDescent="0.25">
      <c r="B73" s="70" t="s">
        <v>21</v>
      </c>
      <c r="C73" s="55"/>
      <c r="D73" s="71"/>
      <c r="E73" s="71"/>
      <c r="F73" s="55"/>
      <c r="G73" s="55">
        <v>0</v>
      </c>
      <c r="H73" s="55">
        <v>0</v>
      </c>
      <c r="I73" s="55">
        <v>0</v>
      </c>
      <c r="J73" s="55">
        <v>0</v>
      </c>
      <c r="K73" s="55">
        <v>0</v>
      </c>
      <c r="L73" s="90">
        <v>0</v>
      </c>
    </row>
    <row r="74" spans="2:12" x14ac:dyDescent="0.25">
      <c r="B74" s="73" t="s">
        <v>22</v>
      </c>
      <c r="C74" s="59"/>
      <c r="D74" s="74"/>
      <c r="E74" s="74"/>
      <c r="F74" s="74">
        <v>0</v>
      </c>
      <c r="G74" s="74">
        <v>0</v>
      </c>
      <c r="H74" s="74">
        <v>0</v>
      </c>
      <c r="I74" s="74">
        <v>0</v>
      </c>
      <c r="J74" s="74">
        <v>0</v>
      </c>
      <c r="K74" s="74">
        <v>0</v>
      </c>
      <c r="L74" s="75">
        <v>0</v>
      </c>
    </row>
    <row r="75" spans="2:12" ht="13" thickBot="1" x14ac:dyDescent="0.3">
      <c r="B75" s="76" t="s">
        <v>23</v>
      </c>
      <c r="C75" s="77">
        <f t="shared" ref="C75:L75" si="33">SUM(C72:C74)</f>
        <v>0</v>
      </c>
      <c r="D75" s="77">
        <f t="shared" si="33"/>
        <v>0</v>
      </c>
      <c r="E75" s="77">
        <f t="shared" si="33"/>
        <v>0</v>
      </c>
      <c r="F75" s="77">
        <f t="shared" si="33"/>
        <v>0</v>
      </c>
      <c r="G75" s="77">
        <f t="shared" si="33"/>
        <v>0</v>
      </c>
      <c r="H75" s="77">
        <f t="shared" si="33"/>
        <v>0</v>
      </c>
      <c r="I75" s="77">
        <f t="shared" si="33"/>
        <v>0</v>
      </c>
      <c r="J75" s="77">
        <f t="shared" si="33"/>
        <v>0</v>
      </c>
      <c r="K75" s="77">
        <f t="shared" si="33"/>
        <v>0</v>
      </c>
      <c r="L75" s="78">
        <f t="shared" si="33"/>
        <v>0</v>
      </c>
    </row>
    <row r="78" spans="2:12" x14ac:dyDescent="0.25">
      <c r="B78" s="2"/>
      <c r="C78" s="2"/>
    </row>
    <row r="79" spans="2:12" x14ac:dyDescent="0.25">
      <c r="B79" s="2"/>
      <c r="C79" s="2"/>
    </row>
    <row r="80" spans="2:12" x14ac:dyDescent="0.25">
      <c r="B80" s="2"/>
      <c r="C80" s="2"/>
    </row>
  </sheetData>
  <mergeCells count="11">
    <mergeCell ref="B70:L71"/>
    <mergeCell ref="P14:P15"/>
    <mergeCell ref="N14:N15"/>
    <mergeCell ref="O14:O15"/>
    <mergeCell ref="B59:L60"/>
    <mergeCell ref="B65:L66"/>
    <mergeCell ref="B12:L13"/>
    <mergeCell ref="B49:L50"/>
    <mergeCell ref="B22:L23"/>
    <mergeCell ref="B29:L30"/>
    <mergeCell ref="B34:L35"/>
  </mergeCells>
  <phoneticPr fontId="10"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Problem description</vt:lpstr>
      <vt:lpstr>Static model</vt:lpstr>
      <vt:lpstr>Real Option Model</vt:lpstr>
      <vt:lpstr>combined</vt:lpstr>
      <vt:lpstr>conservatives</vt:lpstr>
      <vt:lpstr>contrf</vt:lpstr>
      <vt:lpstr>growth</vt:lpstr>
      <vt:lpstr>n</vt:lpstr>
      <vt:lpstr>rf</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cp:lastPrinted>1999-11-16T16:07:22Z</cp:lastPrinted>
  <dcterms:created xsi:type="dcterms:W3CDTF">1999-11-16T21:35:41Z</dcterms:created>
  <dcterms:modified xsi:type="dcterms:W3CDTF">2017-09-22T16:23:18Z</dcterms:modified>
  <cp:category/>
</cp:coreProperties>
</file>