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201"/>
  <workbookPr codeName="ThisWorkbook"/>
  <mc:AlternateContent xmlns:mc="http://schemas.openxmlformats.org/markup-compatibility/2006">
    <mc:Choice Requires="x15">
      <x15ac:absPath xmlns:x15ac="http://schemas.microsoft.com/office/spreadsheetml/2010/11/ac" url="C:\Users\Lnaz\Downloads\@RiskM\At Risk-Changed Name Models\"/>
    </mc:Choice>
  </mc:AlternateContent>
  <bookViews>
    <workbookView xWindow="-140" yWindow="30" windowWidth="15480" windowHeight="5120" tabRatio="681"/>
  </bookViews>
  <sheets>
    <sheet name="Problem description" sheetId="5" r:id="rId1"/>
    <sheet name="Static model" sheetId="6" r:id="rId2"/>
    <sheet name="Real Option Model" sheetId="1" r:id="rId3"/>
  </sheets>
  <externalReferences>
    <externalReference r:id="rId4"/>
  </externalReferences>
  <definedNames>
    <definedName name="combined">'Real Option Model'!$C$42</definedName>
    <definedName name="conservatives">'Real Option Model'!$C$43</definedName>
    <definedName name="contrf">'Real Option Model'!$E$42</definedName>
    <definedName name="growth">'Real Option Model'!$C$44</definedName>
    <definedName name="n" localSheetId="0">'Problem description'!#REF!</definedName>
    <definedName name="n" localSheetId="1">'[1]Problem description'!#REF!</definedName>
    <definedName name="n">'Real Option Model'!$N$37</definedName>
    <definedName name="rf">'Real Option Model'!$E$41</definedName>
    <definedName name="RiskAutoStopPercChange">1.5</definedName>
    <definedName name="RiskCollectDistributionSamples" localSheetId="0">0</definedName>
    <definedName name="RiskCollectDistributionSamples" localSheetId="1">0</definedName>
    <definedName name="RiskCollectDistributionSamples">0</definedName>
    <definedName name="RiskExcelReportsGoInNewWorkbook">TRUE</definedName>
    <definedName name="RiskExcelReportsToGenerate">0</definedName>
    <definedName name="RiskFixedSeed">1</definedName>
    <definedName name="RiskGenerateExcelReportsAtEndOfSimulation">FALSE</definedName>
    <definedName name="RiskHasSettings">TRUE</definedName>
    <definedName name="RiskMinimizeOnStart">TRUE</definedName>
    <definedName name="RiskMonitorConvergence">FALSE</definedName>
    <definedName name="RiskNumIterations" localSheetId="0">3000</definedName>
    <definedName name="RiskNumIterations" localSheetId="1">3000</definedName>
    <definedName name="RiskNumIterations">1000</definedName>
    <definedName name="RiskNumSimulations">1</definedName>
    <definedName name="RiskPauseOnError">FALSE</definedName>
    <definedName name="RiskRealTimeResults">FALSE</definedName>
    <definedName name="RiskReportGraphFormat">0</definedName>
    <definedName name="RiskResultsUpdateFreq">100</definedName>
    <definedName name="RiskRunAfterRecalcMacro">FALSE</definedName>
    <definedName name="RiskRunAfterSimMacro">FALSE</definedName>
    <definedName name="RiskRunBeforeRecalcMacro">FALSE</definedName>
    <definedName name="RiskRunBeforeSimMacro">FALSE</definedName>
    <definedName name="RiskSamplingType">3</definedName>
    <definedName name="RiskShowRiskWindowAtEndOfSimulation">TRUE</definedName>
    <definedName name="RiskStandardRecalc">2</definedName>
    <definedName name="RiskStatFunctionsUpdateFreq">1</definedName>
    <definedName name="RiskTemplateSheetName">"myTemplate"</definedName>
    <definedName name="RiskUpdateDisplay" localSheetId="0">TRUE</definedName>
    <definedName name="RiskUpdateDisplay" localSheetId="1">TRUE</definedName>
    <definedName name="RiskUpdateDisplay">FALSE</definedName>
    <definedName name="RiskUpdateStatFunctions">FALSE</definedName>
    <definedName name="RiskUseDifferentSeedForEachSim">FALSE</definedName>
    <definedName name="RiskUseFixedSeed">TRUE</definedName>
    <definedName name="RiskUseMultipleCPUs">FALSE</definedName>
  </definedNames>
  <calcPr calcId="171027" calcMode="manual"/>
</workbook>
</file>

<file path=xl/calcChain.xml><?xml version="1.0" encoding="utf-8"?>
<calcChain xmlns="http://schemas.openxmlformats.org/spreadsheetml/2006/main">
  <c r="F62" i="1" l="1"/>
  <c r="F74" i="1"/>
  <c r="F53" i="1"/>
  <c r="E74" i="1"/>
  <c r="E53" i="1"/>
  <c r="C50" i="1"/>
  <c r="C51" i="1"/>
  <c r="C74" i="1"/>
  <c r="C53" i="1"/>
  <c r="D50" i="1"/>
  <c r="D54" i="1"/>
  <c r="D51" i="1"/>
  <c r="D52" i="1"/>
  <c r="D74" i="1"/>
  <c r="D53" i="1"/>
  <c r="C63" i="1"/>
  <c r="D63" i="1"/>
  <c r="E63" i="1"/>
  <c r="F63" i="1"/>
  <c r="G62" i="1"/>
  <c r="G74" i="1"/>
  <c r="G53" i="1"/>
  <c r="H62" i="1"/>
  <c r="H74" i="1"/>
  <c r="H53" i="1"/>
  <c r="I62" i="1"/>
  <c r="I74" i="1"/>
  <c r="I53" i="1"/>
  <c r="J62" i="1"/>
  <c r="J74" i="1"/>
  <c r="J53" i="1"/>
  <c r="K62" i="1"/>
  <c r="K74" i="1"/>
  <c r="K53" i="1"/>
  <c r="L62" i="1"/>
  <c r="L74" i="1"/>
  <c r="L53" i="1"/>
  <c r="P16" i="1"/>
  <c r="P17" i="1"/>
  <c r="P18" i="1"/>
  <c r="P19" i="1"/>
  <c r="P20" i="1"/>
  <c r="P21" i="1"/>
  <c r="P22" i="1"/>
  <c r="P23" i="1"/>
  <c r="P24" i="1"/>
  <c r="P25" i="1"/>
  <c r="P26" i="1"/>
  <c r="P27" i="1"/>
  <c r="P28" i="1"/>
  <c r="P29" i="1"/>
  <c r="P30" i="1"/>
  <c r="P31" i="1"/>
  <c r="P32" i="1"/>
  <c r="P33" i="1"/>
  <c r="P34" i="1"/>
  <c r="P35" i="1"/>
  <c r="P36" i="1"/>
  <c r="P37" i="1"/>
  <c r="C9" i="6"/>
  <c r="C11" i="6"/>
  <c r="C13" i="6"/>
  <c r="C10" i="6"/>
  <c r="C33" i="6"/>
  <c r="C12" i="6"/>
  <c r="D9" i="6"/>
  <c r="D10" i="6"/>
  <c r="D11" i="6"/>
  <c r="D33" i="6"/>
  <c r="D12" i="6"/>
  <c r="E27" i="6"/>
  <c r="E10" i="6"/>
  <c r="E9" i="6"/>
  <c r="E33" i="6"/>
  <c r="E12" i="6"/>
  <c r="F25" i="6"/>
  <c r="F26" i="6"/>
  <c r="F20" i="6"/>
  <c r="F33" i="6"/>
  <c r="F12" i="6"/>
  <c r="G33" i="6"/>
  <c r="G12" i="6"/>
  <c r="H33" i="6"/>
  <c r="H12" i="6"/>
  <c r="I33" i="6"/>
  <c r="I12" i="6"/>
  <c r="J33" i="6"/>
  <c r="J12" i="6"/>
  <c r="K33" i="6"/>
  <c r="K12" i="6"/>
  <c r="L33" i="6"/>
  <c r="L12" i="6"/>
  <c r="C6" i="6"/>
  <c r="D6" i="6" s="1"/>
  <c r="E6" i="6" s="1"/>
  <c r="F6" i="6" s="1"/>
  <c r="G6" i="6" s="1"/>
  <c r="H6" i="6" s="1"/>
  <c r="I6" i="6" s="1"/>
  <c r="J6" i="6" s="1"/>
  <c r="K6" i="6" s="1"/>
  <c r="L6" i="6" s="1"/>
  <c r="B16" i="5"/>
  <c r="B23" i="5"/>
  <c r="B28" i="5"/>
  <c r="E42" i="1"/>
  <c r="C47" i="1"/>
  <c r="D47" i="1" s="1"/>
  <c r="E47" i="1" s="1"/>
  <c r="F47" i="1" s="1"/>
  <c r="G47" i="1" s="1"/>
  <c r="H47" i="1" s="1"/>
  <c r="I47" i="1" s="1"/>
  <c r="J47" i="1" s="1"/>
  <c r="K47" i="1" s="1"/>
  <c r="L47" i="1" s="1"/>
  <c r="H38" i="1"/>
  <c r="H17" i="1"/>
  <c r="F38" i="1"/>
  <c r="F17" i="1"/>
  <c r="C14" i="1"/>
  <c r="C16" i="1"/>
  <c r="C15" i="1"/>
  <c r="D14" i="1"/>
  <c r="D16" i="1"/>
  <c r="D15" i="1"/>
  <c r="G38" i="1"/>
  <c r="G17" i="1"/>
  <c r="I38" i="1"/>
  <c r="I17" i="1"/>
  <c r="J38" i="1"/>
  <c r="J17" i="1"/>
  <c r="K38" i="1"/>
  <c r="K17" i="1"/>
  <c r="L38" i="1"/>
  <c r="L17" i="1"/>
  <c r="C11" i="1"/>
  <c r="D11" i="1" s="1"/>
  <c r="E11" i="1" s="1"/>
  <c r="F11" i="1" s="1"/>
  <c r="G11" i="1" s="1"/>
  <c r="H11" i="1" s="1"/>
  <c r="I11" i="1" s="1"/>
  <c r="J11" i="1" s="1"/>
  <c r="K11" i="1" s="1"/>
  <c r="L11" i="1" s="1"/>
  <c r="G26" i="6"/>
  <c r="G27" i="6"/>
  <c r="G9" i="6"/>
  <c r="F27" i="6"/>
  <c r="G25" i="6"/>
  <c r="F9" i="6"/>
  <c r="C52" i="1"/>
  <c r="C54" i="1"/>
  <c r="C55" i="1"/>
  <c r="D13" i="6"/>
  <c r="H25" i="6"/>
  <c r="H26" i="6"/>
  <c r="H27" i="6"/>
  <c r="H9" i="6"/>
  <c r="I25" i="6"/>
  <c r="J25" i="6"/>
  <c r="K25" i="6"/>
  <c r="L25" i="6"/>
  <c r="D55" i="1"/>
  <c r="C14" i="6"/>
  <c r="C56" i="1"/>
  <c r="C57" i="1"/>
  <c r="F10" i="6"/>
  <c r="F11" i="6"/>
  <c r="F13" i="6"/>
  <c r="G20" i="6"/>
  <c r="E11" i="6"/>
  <c r="E13" i="6"/>
  <c r="I26" i="6"/>
  <c r="J26" i="6"/>
  <c r="I27" i="6"/>
  <c r="I9" i="6"/>
  <c r="D56" i="1"/>
  <c r="D57" i="1"/>
  <c r="D14" i="6"/>
  <c r="C15" i="6"/>
  <c r="C16" i="6"/>
  <c r="G10" i="6"/>
  <c r="G11" i="6"/>
  <c r="G13" i="6"/>
  <c r="H20" i="6"/>
  <c r="J27" i="6"/>
  <c r="J9" i="6"/>
  <c r="K26" i="6"/>
  <c r="D15" i="6"/>
  <c r="D16" i="6"/>
  <c r="E14" i="6"/>
  <c r="I20" i="6"/>
  <c r="H10" i="6"/>
  <c r="H11" i="6"/>
  <c r="H13" i="6"/>
  <c r="E15" i="6"/>
  <c r="E16" i="6"/>
  <c r="F14" i="6"/>
  <c r="I10" i="6"/>
  <c r="I11" i="6"/>
  <c r="I13" i="6"/>
  <c r="J20" i="6"/>
  <c r="K27" i="6"/>
  <c r="K9" i="6"/>
  <c r="L26" i="6"/>
  <c r="L27" i="6"/>
  <c r="L9" i="6"/>
  <c r="K20" i="6"/>
  <c r="J10" i="6"/>
  <c r="J11" i="6"/>
  <c r="J13" i="6"/>
  <c r="G14" i="6"/>
  <c r="F15" i="6"/>
  <c r="F16" i="6"/>
  <c r="G15" i="6"/>
  <c r="G16" i="6"/>
  <c r="L20" i="6"/>
  <c r="L10" i="6"/>
  <c r="L11" i="6"/>
  <c r="L13" i="6"/>
  <c r="K10" i="6"/>
  <c r="K11" i="6"/>
  <c r="K13" i="6"/>
  <c r="H14" i="6"/>
  <c r="H15" i="6"/>
  <c r="H16" i="6"/>
  <c r="I14" i="6"/>
  <c r="I15" i="6"/>
  <c r="I16" i="6"/>
  <c r="J14" i="6"/>
  <c r="J15" i="6"/>
  <c r="J16" i="6"/>
  <c r="K14" i="6"/>
  <c r="K15" i="6"/>
  <c r="K16" i="6"/>
  <c r="L14" i="6"/>
  <c r="L15" i="6"/>
  <c r="L16" i="6"/>
  <c r="C4" i="6"/>
  <c r="F26" i="1"/>
  <c r="E31" i="1"/>
  <c r="E40" i="1"/>
  <c r="E30" i="1"/>
  <c r="C44" i="1"/>
  <c r="C40" i="1"/>
  <c r="E25" i="1"/>
  <c r="E66" i="1"/>
  <c r="D7" i="1"/>
  <c r="C42" i="1"/>
  <c r="D6" i="1"/>
  <c r="D8" i="1"/>
  <c r="C43" i="1"/>
  <c r="C41" i="1"/>
  <c r="E67" i="1"/>
  <c r="E61" i="1"/>
  <c r="D35" i="1" l="1"/>
  <c r="D38" i="1" s="1"/>
  <c r="D17" i="1" s="1"/>
  <c r="D18" i="1" s="1"/>
  <c r="C35" i="1"/>
  <c r="C38" i="1" s="1"/>
  <c r="C17" i="1" s="1"/>
  <c r="C18" i="1" s="1"/>
  <c r="E35" i="1"/>
  <c r="E38" i="1" s="1"/>
  <c r="E17" i="1" s="1"/>
  <c r="F30" i="1"/>
  <c r="F61" i="1"/>
  <c r="F25" i="1"/>
  <c r="G27" i="1"/>
  <c r="F31" i="1"/>
  <c r="E32" i="1"/>
  <c r="E14" i="1" s="1"/>
  <c r="F24" i="1"/>
  <c r="F67" i="1"/>
  <c r="E60" i="1"/>
  <c r="E68" i="1" s="1"/>
  <c r="F66" i="1"/>
  <c r="G26" i="1"/>
  <c r="E50" i="1" l="1"/>
  <c r="E51" i="1"/>
  <c r="E15" i="1"/>
  <c r="E16" i="1" s="1"/>
  <c r="E18" i="1" s="1"/>
  <c r="G30" i="1"/>
  <c r="G24" i="1"/>
  <c r="F32" i="1"/>
  <c r="F14" i="1" s="1"/>
  <c r="G31" i="1"/>
  <c r="G67" i="1"/>
  <c r="H27" i="1"/>
  <c r="G63" i="1"/>
  <c r="C19" i="1"/>
  <c r="G61" i="1"/>
  <c r="F60" i="1"/>
  <c r="F68" i="1" s="1"/>
  <c r="G66" i="1"/>
  <c r="G25" i="1"/>
  <c r="H26" i="1"/>
  <c r="F51" i="1" l="1"/>
  <c r="F50" i="1"/>
  <c r="F15" i="1"/>
  <c r="F16" i="1" s="1"/>
  <c r="F18" i="1" s="1"/>
  <c r="C20" i="1"/>
  <c r="C21" i="1" s="1"/>
  <c r="H25" i="1"/>
  <c r="H30" i="1"/>
  <c r="H66" i="1"/>
  <c r="G60" i="1"/>
  <c r="G68" i="1" s="1"/>
  <c r="I27" i="1"/>
  <c r="H63" i="1"/>
  <c r="H31" i="1"/>
  <c r="H24" i="1"/>
  <c r="G32" i="1"/>
  <c r="G14" i="1" s="1"/>
  <c r="E52" i="1"/>
  <c r="E54" i="1" s="1"/>
  <c r="F52" i="1"/>
  <c r="F54" i="1" s="1"/>
  <c r="H61" i="1"/>
  <c r="H67" i="1"/>
  <c r="C6" i="1"/>
  <c r="I26" i="1"/>
  <c r="D19" i="1" l="1"/>
  <c r="G51" i="1"/>
  <c r="G50" i="1"/>
  <c r="G52" i="1" s="1"/>
  <c r="G54" i="1" s="1"/>
  <c r="I67" i="1"/>
  <c r="I24" i="1"/>
  <c r="I31" i="1"/>
  <c r="H32" i="1"/>
  <c r="D20" i="1"/>
  <c r="D21" i="1" s="1"/>
  <c r="I61" i="1"/>
  <c r="H60" i="1"/>
  <c r="H68" i="1" s="1"/>
  <c r="I66" i="1"/>
  <c r="G15" i="1"/>
  <c r="G16" i="1" s="1"/>
  <c r="G18" i="1" s="1"/>
  <c r="I30" i="1"/>
  <c r="H14" i="1"/>
  <c r="E55" i="1"/>
  <c r="I63" i="1"/>
  <c r="J27" i="1"/>
  <c r="H15" i="1"/>
  <c r="I25" i="1"/>
  <c r="J26" i="1"/>
  <c r="E19" i="1" l="1"/>
  <c r="H51" i="1"/>
  <c r="H50" i="1"/>
  <c r="H52" i="1" s="1"/>
  <c r="H54" i="1" s="1"/>
  <c r="K27" i="1"/>
  <c r="J63" i="1"/>
  <c r="J25" i="1"/>
  <c r="J30" i="1"/>
  <c r="I60" i="1"/>
  <c r="I68" i="1" s="1"/>
  <c r="J66" i="1"/>
  <c r="J61" i="1"/>
  <c r="I32" i="1"/>
  <c r="I15" i="1" s="1"/>
  <c r="J24" i="1"/>
  <c r="J31" i="1"/>
  <c r="E56" i="1"/>
  <c r="E57" i="1" s="1"/>
  <c r="E20" i="1"/>
  <c r="E21" i="1" s="1"/>
  <c r="H16" i="1"/>
  <c r="H18" i="1" s="1"/>
  <c r="J67" i="1"/>
  <c r="K26" i="1"/>
  <c r="F19" i="1" l="1"/>
  <c r="F20" i="1" s="1"/>
  <c r="F21" i="1" s="1"/>
  <c r="I14" i="1"/>
  <c r="I50" i="1"/>
  <c r="I51" i="1"/>
  <c r="K67" i="1"/>
  <c r="K61" i="1"/>
  <c r="K25" i="1"/>
  <c r="K24" i="1"/>
  <c r="J32" i="1"/>
  <c r="J15" i="1" s="1"/>
  <c r="K31" i="1"/>
  <c r="I16" i="1"/>
  <c r="I18" i="1" s="1"/>
  <c r="K30" i="1"/>
  <c r="J14" i="1"/>
  <c r="F55" i="1"/>
  <c r="K66" i="1"/>
  <c r="J60" i="1"/>
  <c r="J68" i="1" s="1"/>
  <c r="K63" i="1"/>
  <c r="L27" i="1"/>
  <c r="L26" i="1"/>
  <c r="J16" i="1" l="1"/>
  <c r="J18" i="1" s="1"/>
  <c r="J51" i="1"/>
  <c r="J50" i="1"/>
  <c r="J52" i="1" s="1"/>
  <c r="J54" i="1" s="1"/>
  <c r="L63" i="1"/>
  <c r="L61" i="1"/>
  <c r="L67" i="1"/>
  <c r="K60" i="1"/>
  <c r="K68" i="1" s="1"/>
  <c r="L66" i="1"/>
  <c r="L30" i="1"/>
  <c r="K32" i="1"/>
  <c r="K14" i="1" s="1"/>
  <c r="K16" i="1" s="1"/>
  <c r="K18" i="1" s="1"/>
  <c r="L24" i="1"/>
  <c r="L31" i="1"/>
  <c r="L32" i="1" s="1"/>
  <c r="F56" i="1"/>
  <c r="F57" i="1" s="1"/>
  <c r="E44" i="1" s="1"/>
  <c r="K15" i="1"/>
  <c r="L25" i="1"/>
  <c r="G19" i="1"/>
  <c r="I52" i="1"/>
  <c r="I54" i="1" s="1"/>
  <c r="C7" i="1"/>
  <c r="L15" i="1" l="1"/>
  <c r="L14" i="1"/>
  <c r="L16" i="1" s="1"/>
  <c r="L18" i="1" s="1"/>
  <c r="K50" i="1"/>
  <c r="K51" i="1"/>
  <c r="G20" i="1"/>
  <c r="G21" i="1" s="1"/>
  <c r="G55" i="1"/>
  <c r="L60" i="1"/>
  <c r="L68" i="1" s="1"/>
  <c r="L50" i="1" s="1"/>
  <c r="C8" i="1"/>
  <c r="H19" i="1" l="1"/>
  <c r="I19" i="1" s="1"/>
  <c r="G56" i="1"/>
  <c r="G57" i="1" s="1"/>
  <c r="H20" i="1"/>
  <c r="H21" i="1" s="1"/>
  <c r="L51" i="1"/>
  <c r="L52" i="1" s="1"/>
  <c r="L54" i="1" s="1"/>
  <c r="K52" i="1"/>
  <c r="K54" i="1" s="1"/>
  <c r="I20" i="1" l="1"/>
  <c r="I21" i="1" s="1"/>
  <c r="H55" i="1"/>
  <c r="J19" i="1" l="1"/>
  <c r="H56" i="1"/>
  <c r="H57" i="1" s="1"/>
  <c r="I55" i="1" l="1"/>
  <c r="J20" i="1"/>
  <c r="J21" i="1" s="1"/>
  <c r="K19" i="1" l="1"/>
  <c r="I56" i="1"/>
  <c r="I57" i="1" s="1"/>
  <c r="J55" i="1" l="1"/>
  <c r="K20" i="1"/>
  <c r="K21" i="1" s="1"/>
  <c r="L19" i="1" l="1"/>
  <c r="L20" i="1" s="1"/>
  <c r="L21" i="1" s="1"/>
  <c r="J56" i="1"/>
  <c r="J57" i="1" s="1"/>
  <c r="K55" i="1" l="1"/>
  <c r="K56" i="1" l="1"/>
  <c r="K57" i="1" s="1"/>
  <c r="L55" i="1" l="1"/>
  <c r="L56" i="1" s="1"/>
  <c r="L57" i="1" s="1"/>
</calcChain>
</file>

<file path=xl/sharedStrings.xml><?xml version="1.0" encoding="utf-8"?>
<sst xmlns="http://schemas.openxmlformats.org/spreadsheetml/2006/main" count="110" uniqueCount="61">
  <si>
    <t>NPV (10%)</t>
  </si>
  <si>
    <t>Year</t>
  </si>
  <si>
    <t>Cash Flow</t>
  </si>
  <si>
    <t>Total Revenue</t>
  </si>
  <si>
    <t>Cost of Goods Sold</t>
  </si>
  <si>
    <t>Gross Margin</t>
  </si>
  <si>
    <t>Operating Expenses</t>
  </si>
  <si>
    <t>Earnings Before Taxes</t>
  </si>
  <si>
    <t>Tax Basis</t>
  </si>
  <si>
    <t>Income Tax</t>
  </si>
  <si>
    <t>Net Income</t>
  </si>
  <si>
    <t>Market Conditions</t>
  </si>
  <si>
    <t>Number of Competitors</t>
  </si>
  <si>
    <t>Unit Cost</t>
  </si>
  <si>
    <t>Inflation Rate</t>
  </si>
  <si>
    <t>Tax Rate</t>
  </si>
  <si>
    <t>Sales Activity</t>
  </si>
  <si>
    <t>Sales Price</t>
  </si>
  <si>
    <t>Sales Volume</t>
  </si>
  <si>
    <t>Production Expense</t>
  </si>
  <si>
    <t>Product Development</t>
  </si>
  <si>
    <t>Capital Expenses</t>
  </si>
  <si>
    <t>Overhead</t>
  </si>
  <si>
    <t>Total Expenses</t>
  </si>
  <si>
    <t>Market volume</t>
  </si>
  <si>
    <t>Gibbons</t>
  </si>
  <si>
    <t>Gumbel</t>
  </si>
  <si>
    <t>Combined estimate</t>
  </si>
  <si>
    <t>Conservatives get in?</t>
  </si>
  <si>
    <t>Market growth</t>
  </si>
  <si>
    <t>Exercise</t>
  </si>
  <si>
    <t>You are evaluating a new company making fuel cells for hospital power plants.  Currently there are no competitors.</t>
  </si>
  <si>
    <t>Part 1</t>
  </si>
  <si>
    <t>Past yearly inflation change</t>
  </si>
  <si>
    <t>Part 2</t>
  </si>
  <si>
    <t>Part 3</t>
  </si>
  <si>
    <t>Part 4</t>
  </si>
  <si>
    <t>Question</t>
  </si>
  <si>
    <t>Cumulative probability</t>
  </si>
  <si>
    <t>Rank</t>
  </si>
  <si>
    <t>Minimum</t>
  </si>
  <si>
    <t>Maximum</t>
  </si>
  <si>
    <t>OPTION ANALYSIS</t>
  </si>
  <si>
    <t>Risk-free rate</t>
  </si>
  <si>
    <t>Factory market growth</t>
  </si>
  <si>
    <t>NPV ar rf</t>
  </si>
  <si>
    <t>Enter market with other producer</t>
  </si>
  <si>
    <r>
      <t>r</t>
    </r>
    <r>
      <rPr>
        <vertAlign val="subscript"/>
        <sz val="8"/>
        <rFont val="Arial"/>
        <family val="2"/>
      </rPr>
      <t>f</t>
    </r>
    <r>
      <rPr>
        <sz val="8"/>
        <rFont val="Arial"/>
        <family val="2"/>
      </rPr>
      <t xml:space="preserve"> per year</t>
    </r>
  </si>
  <si>
    <r>
      <t>Cont-compounded r</t>
    </r>
    <r>
      <rPr>
        <vertAlign val="subscript"/>
        <sz val="8"/>
        <rFont val="Arial"/>
        <family val="2"/>
      </rPr>
      <t>f</t>
    </r>
  </si>
  <si>
    <t>Total value</t>
  </si>
  <si>
    <t>Expected values</t>
  </si>
  <si>
    <r>
      <t xml:space="preserve">Problem: </t>
    </r>
    <r>
      <rPr>
        <sz val="10"/>
        <rFont val="Arial"/>
        <family val="2"/>
      </rPr>
      <t>The next tab "Static model" shows an NPV calculation of a project, which does not include uncertainty. Calculate the distribution of NPV including the uncertainties listed below:</t>
    </r>
  </si>
  <si>
    <t>(a, b, c) notation means a distribution with min = a, most likely = b, and max = c.</t>
  </si>
  <si>
    <t>You expect one competitor to emerge as soon as the market volume reaches 3,500 units in the previous year. A second would appear at 8,500 units. Your competitors' share of the market would grow linearly to an equal share in the market after three years.</t>
  </si>
  <si>
    <t>Base value: no uncertainty added</t>
  </si>
  <si>
    <t>Part 5</t>
  </si>
  <si>
    <t>We believe that fuel cells may also take off in three years for large factories in California. If we go ahead with our investment now, and if the price ever exceeds $63, we can enter with market for no extra capital or operating costs.</t>
  </si>
  <si>
    <t xml:space="preserve"> Calculate the total value of the project: the NPV value of our investment plus the revenue from the option (discounted at rf) to enter the new market.</t>
  </si>
  <si>
    <t>NPV calculation (no uncertainly)</t>
  </si>
  <si>
    <t>Real Option value</t>
  </si>
  <si>
    <t>Real Option Valuation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</si>
</sst>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5" formatCode="&quot;$&quot;#,##0_);\(&quot;$&quot;#,##0\)"/>
    <numFmt numFmtId="6" formatCode="&quot;$&quot;#,##0_);[Red]\(&quot;$&quot;#,##0\)"/>
    <numFmt numFmtId="7" formatCode="&quot;$&quot;#,##0.00_);\(&quot;$&quot;#,##0.00\)"/>
    <numFmt numFmtId="8" formatCode="&quot;$&quot;#,##0.00_);[Red]\(&quot;$&quot;#,##0.00\)"/>
    <numFmt numFmtId="44" formatCode="_(&quot;$&quot;* #,##0.00_);_(&quot;$&quot;* \(#,##0.00\);_(&quot;$&quot;* &quot;-&quot;??_);_(@_)"/>
    <numFmt numFmtId="43" formatCode="_(* #,##0.00_);_(* \(#,##0.00\);_(* &quot;-&quot;??_);_(@_)"/>
    <numFmt numFmtId="164" formatCode="&quot;£&quot;#,##0;[Red]\-&quot;£&quot;#,##0"/>
    <numFmt numFmtId="165" formatCode="&quot;$&quot;#,##0.00"/>
    <numFmt numFmtId="166" formatCode="_(* #,##0_);_(* \(#,##0\);_(* &quot;-&quot;??_);_(@_)"/>
    <numFmt numFmtId="167" formatCode="0.0%"/>
    <numFmt numFmtId="168" formatCode="_(&quot;$&quot;* #,##0_);_(&quot;$&quot;* \(#,##0\);_(&quot;$&quot;* &quot;-&quot;??_);_(@_)"/>
    <numFmt numFmtId="169" formatCode="0.0000%"/>
    <numFmt numFmtId="170" formatCode="0.000%"/>
    <numFmt numFmtId="171" formatCode="#,##0;\(#,##0\)"/>
    <numFmt numFmtId="172" formatCode="m/d/yy\ h:mm:ss"/>
    <numFmt numFmtId="173" formatCode="&quot;$&quot;#,##0"/>
  </numFmts>
  <fonts count="31" x14ac:knownFonts="1">
    <font>
      <sz val="10"/>
      <name val="Arial"/>
    </font>
    <font>
      <sz val="10"/>
      <name val="Arial"/>
      <family val="2"/>
    </font>
    <font>
      <sz val="16"/>
      <color indexed="9"/>
      <name val="Arial"/>
      <family val="2"/>
    </font>
    <font>
      <sz val="8"/>
      <name val="Arial"/>
      <family val="2"/>
    </font>
    <font>
      <sz val="10"/>
      <color indexed="10"/>
      <name val="Arial"/>
      <family val="2"/>
    </font>
    <font>
      <sz val="10"/>
      <color indexed="17"/>
      <name val="Arial"/>
      <family val="2"/>
    </font>
    <font>
      <sz val="10"/>
      <name val="Arial"/>
      <family val="2"/>
    </font>
    <font>
      <b/>
      <sz val="10"/>
      <name val="Arial"/>
      <family val="2"/>
    </font>
    <font>
      <sz val="10"/>
      <color indexed="10"/>
      <name val="Arial"/>
      <family val="2"/>
    </font>
    <font>
      <sz val="8"/>
      <color indexed="10"/>
      <name val="Arial"/>
      <family val="2"/>
    </font>
    <font>
      <b/>
      <sz val="8"/>
      <name val="Arial"/>
      <family val="2"/>
    </font>
    <font>
      <sz val="11"/>
      <name val="Arial"/>
      <family val="2"/>
    </font>
    <font>
      <sz val="11"/>
      <name val="Times New Roman"/>
      <family val="1"/>
    </font>
    <font>
      <b/>
      <sz val="11"/>
      <name val="Times New Roman"/>
      <family val="1"/>
    </font>
    <font>
      <b/>
      <sz val="11"/>
      <color indexed="10"/>
      <name val="Times New Roman"/>
      <family val="1"/>
    </font>
    <font>
      <sz val="11"/>
      <color indexed="10"/>
      <name val="Times New Roman"/>
      <family val="1"/>
    </font>
    <font>
      <sz val="10"/>
      <color indexed="8"/>
      <name val="Arial"/>
      <family val="2"/>
    </font>
    <font>
      <sz val="14"/>
      <name val="Arial"/>
      <family val="2"/>
    </font>
    <font>
      <i/>
      <sz val="10"/>
      <name val="Arial"/>
      <family val="2"/>
    </font>
    <font>
      <b/>
      <sz val="9"/>
      <name val="Arial"/>
      <family val="2"/>
    </font>
    <font>
      <sz val="18"/>
      <name val="Arial"/>
      <family val="2"/>
    </font>
    <font>
      <sz val="8"/>
      <color indexed="12"/>
      <name val="Arial"/>
      <family val="2"/>
    </font>
    <font>
      <sz val="10"/>
      <color indexed="12"/>
      <name val="Arial"/>
      <family val="2"/>
    </font>
    <font>
      <sz val="8"/>
      <name val="Arial"/>
      <family val="2"/>
    </font>
    <font>
      <sz val="8"/>
      <color indexed="12"/>
      <name val="Arial"/>
      <family val="2"/>
    </font>
    <font>
      <vertAlign val="subscript"/>
      <sz val="8"/>
      <name val="Arial"/>
      <family val="2"/>
    </font>
    <font>
      <sz val="16"/>
      <name val="Arial"/>
      <family val="2"/>
    </font>
    <font>
      <sz val="12"/>
      <name val="Times New Roman"/>
      <family val="1"/>
    </font>
    <font>
      <i/>
      <sz val="11"/>
      <name val="Times New Roman"/>
      <family val="1"/>
    </font>
    <font>
      <sz val="11"/>
      <color indexed="12"/>
      <name val="Times New Roman"/>
      <family val="1"/>
    </font>
    <font>
      <b/>
      <sz val="10"/>
      <color indexed="10"/>
      <name val="Arial"/>
      <family val="2"/>
    </font>
  </fonts>
  <fills count="7">
    <fill>
      <patternFill patternType="none"/>
    </fill>
    <fill>
      <patternFill patternType="gray125"/>
    </fill>
    <fill>
      <patternFill patternType="solid">
        <fgColor indexed="9"/>
      </patternFill>
    </fill>
    <fill>
      <patternFill patternType="solid">
        <fgColor indexed="22"/>
        <bgColor indexed="64"/>
      </patternFill>
    </fill>
    <fill>
      <patternFill patternType="solid">
        <fgColor indexed="42"/>
        <bgColor indexed="64"/>
      </patternFill>
    </fill>
    <fill>
      <patternFill patternType="solid">
        <fgColor indexed="13"/>
        <bgColor indexed="64"/>
      </patternFill>
    </fill>
    <fill>
      <patternFill patternType="solid">
        <fgColor indexed="47"/>
        <bgColor indexed="64"/>
      </patternFill>
    </fill>
  </fills>
  <borders count="61">
    <border>
      <left/>
      <right/>
      <top/>
      <bottom/>
      <diagonal/>
    </border>
    <border>
      <left style="thin">
        <color indexed="22"/>
      </left>
      <right style="thin">
        <color indexed="22"/>
      </right>
      <top style="thin">
        <color indexed="22"/>
      </top>
      <bottom style="thin">
        <color indexed="22"/>
      </bottom>
      <diagonal/>
    </border>
    <border>
      <left style="thin">
        <color indexed="8"/>
      </left>
      <right style="thin">
        <color indexed="8"/>
      </right>
      <top/>
      <bottom style="thin">
        <color indexed="8"/>
      </bottom>
      <diagonal/>
    </border>
    <border>
      <left style="thin">
        <color indexed="8"/>
      </left>
      <right/>
      <top/>
      <bottom style="thin">
        <color indexed="8"/>
      </bottom>
      <diagonal/>
    </border>
    <border>
      <left/>
      <right/>
      <top/>
      <bottom style="thin">
        <color indexed="8"/>
      </bottom>
      <diagonal/>
    </border>
    <border>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right/>
      <top/>
      <bottom style="thick">
        <color indexed="8"/>
      </bottom>
      <diagonal/>
    </border>
    <border>
      <left/>
      <right style="thick">
        <color indexed="8"/>
      </right>
      <top/>
      <bottom/>
      <diagonal/>
    </border>
    <border>
      <left style="thin">
        <color indexed="8"/>
      </left>
      <right style="thin">
        <color indexed="8"/>
      </right>
      <top/>
      <bottom/>
      <diagonal/>
    </border>
    <border>
      <left style="thin">
        <color indexed="8"/>
      </left>
      <right/>
      <top/>
      <bottom/>
      <diagonal/>
    </border>
    <border>
      <left style="thin">
        <color indexed="8"/>
      </left>
      <right/>
      <top style="thin">
        <color indexed="8"/>
      </top>
      <bottom style="thin">
        <color indexed="8"/>
      </bottom>
      <diagonal/>
    </border>
    <border>
      <left/>
      <right style="thin">
        <color indexed="8"/>
      </right>
      <top/>
      <bottom/>
      <diagonal/>
    </border>
    <border>
      <left/>
      <right style="thin">
        <color indexed="8"/>
      </right>
      <top style="thin">
        <color indexed="8"/>
      </top>
      <bottom style="thin">
        <color indexed="8"/>
      </bottom>
      <diagonal/>
    </border>
    <border>
      <left/>
      <right/>
      <top style="thin">
        <color indexed="8"/>
      </top>
      <bottom style="thin">
        <color indexed="8"/>
      </bottom>
      <diagonal/>
    </border>
    <border>
      <left style="thin">
        <color indexed="8"/>
      </left>
      <right style="thin">
        <color indexed="8"/>
      </right>
      <top style="thin">
        <color indexed="8"/>
      </top>
      <bottom/>
      <diagonal/>
    </border>
    <border>
      <left style="thin">
        <color indexed="8"/>
      </left>
      <right/>
      <top style="thin">
        <color indexed="8"/>
      </top>
      <bottom/>
      <diagonal/>
    </border>
    <border>
      <left/>
      <right/>
      <top style="thin">
        <color indexed="8"/>
      </top>
      <bottom/>
      <diagonal/>
    </border>
    <border>
      <left/>
      <right style="thin">
        <color indexed="8"/>
      </right>
      <top style="thin">
        <color indexed="8"/>
      </top>
      <bottom/>
      <diagonal/>
    </border>
    <border>
      <left style="thin">
        <color indexed="64"/>
      </left>
      <right/>
      <top/>
      <bottom/>
      <diagonal/>
    </border>
    <border>
      <left style="thin">
        <color indexed="64"/>
      </left>
      <right/>
      <top/>
      <bottom style="dashed">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style="medium">
        <color indexed="64"/>
      </left>
      <right/>
      <top style="thin">
        <color indexed="64"/>
      </top>
      <bottom style="medium">
        <color indexed="64"/>
      </bottom>
      <diagonal/>
    </border>
    <border>
      <left style="medium">
        <color indexed="64"/>
      </left>
      <right style="medium">
        <color indexed="64"/>
      </right>
      <top style="medium">
        <color indexed="64"/>
      </top>
      <bottom/>
      <diagonal/>
    </border>
    <border>
      <left style="thin">
        <color indexed="64"/>
      </left>
      <right/>
      <top style="medium">
        <color indexed="64"/>
      </top>
      <bottom/>
      <diagonal/>
    </border>
    <border>
      <left style="thin">
        <color indexed="64"/>
      </left>
      <right style="medium">
        <color indexed="64"/>
      </right>
      <top style="medium">
        <color indexed="64"/>
      </top>
      <bottom/>
      <diagonal/>
    </border>
    <border>
      <left style="thin">
        <color indexed="64"/>
      </left>
      <right style="medium">
        <color indexed="64"/>
      </right>
      <top/>
      <bottom/>
      <diagonal/>
    </border>
    <border>
      <left style="medium">
        <color indexed="64"/>
      </left>
      <right/>
      <top/>
      <bottom style="dashed">
        <color indexed="64"/>
      </bottom>
      <diagonal/>
    </border>
    <border>
      <left style="thin">
        <color indexed="64"/>
      </left>
      <right style="medium">
        <color indexed="64"/>
      </right>
      <top/>
      <bottom style="dashed">
        <color indexed="64"/>
      </bottom>
      <diagonal/>
    </border>
    <border>
      <left style="medium">
        <color indexed="64"/>
      </left>
      <right/>
      <top/>
      <bottom style="medium">
        <color indexed="64"/>
      </bottom>
      <diagonal/>
    </border>
    <border>
      <left style="thin">
        <color indexed="64"/>
      </left>
      <right/>
      <top/>
      <bottom style="medium">
        <color indexed="64"/>
      </bottom>
      <diagonal/>
    </border>
    <border>
      <left style="thin">
        <color indexed="64"/>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style="thin">
        <color indexed="64"/>
      </top>
      <bottom style="medium">
        <color indexed="64"/>
      </bottom>
      <diagonal/>
    </border>
    <border>
      <left style="medium">
        <color indexed="64"/>
      </left>
      <right/>
      <top style="medium">
        <color indexed="64"/>
      </top>
      <bottom style="double">
        <color indexed="64"/>
      </bottom>
      <diagonal/>
    </border>
    <border>
      <left style="thin">
        <color indexed="64"/>
      </left>
      <right/>
      <top style="medium">
        <color indexed="64"/>
      </top>
      <bottom style="double">
        <color indexed="64"/>
      </bottom>
      <diagonal/>
    </border>
    <border>
      <left style="thin">
        <color indexed="64"/>
      </left>
      <right style="medium">
        <color indexed="64"/>
      </right>
      <top style="medium">
        <color indexed="64"/>
      </top>
      <bottom style="double">
        <color indexed="64"/>
      </bottom>
      <diagonal/>
    </border>
    <border>
      <left/>
      <right/>
      <top style="thin">
        <color indexed="64"/>
      </top>
      <bottom style="medium">
        <color indexed="64"/>
      </bottom>
      <diagonal/>
    </border>
    <border>
      <left/>
      <right style="thin">
        <color indexed="64"/>
      </right>
      <top/>
      <bottom/>
      <diagonal/>
    </border>
    <border>
      <left/>
      <right style="thin">
        <color indexed="64"/>
      </right>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medium">
        <color indexed="64"/>
      </right>
      <top style="medium">
        <color indexed="64"/>
      </top>
      <bottom/>
      <diagonal/>
    </border>
    <border>
      <left/>
      <right/>
      <top/>
      <bottom style="medium">
        <color indexed="64"/>
      </bottom>
      <diagonal/>
    </border>
    <border>
      <left/>
      <right style="medium">
        <color indexed="64"/>
      </right>
      <top/>
      <bottom style="medium">
        <color indexed="64"/>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top/>
      <bottom style="thin">
        <color indexed="64"/>
      </bottom>
      <diagonal/>
    </border>
    <border>
      <left/>
      <right style="medium">
        <color indexed="64"/>
      </right>
      <top/>
      <bottom style="thin">
        <color indexed="64"/>
      </bottom>
      <diagonal/>
    </border>
  </borders>
  <cellStyleXfs count="36">
    <xf numFmtId="0" fontId="0" fillId="0" borderId="0"/>
    <xf numFmtId="43" fontId="1" fillId="0" borderId="0" applyFont="0" applyFill="0" applyBorder="0" applyAlignment="0" applyProtection="0"/>
    <xf numFmtId="44" fontId="1" fillId="0" borderId="0" applyFont="0" applyFill="0" applyBorder="0" applyAlignment="0" applyProtection="0"/>
    <xf numFmtId="0" fontId="12" fillId="0" borderId="0"/>
    <xf numFmtId="9" fontId="1" fillId="0" borderId="0" applyFont="0" applyFill="0" applyBorder="0" applyAlignment="0" applyProtection="0"/>
    <xf numFmtId="169" fontId="1" fillId="0" borderId="0" applyFont="0" applyFill="0" applyBorder="0" applyAlignment="0" applyProtection="0"/>
    <xf numFmtId="0" fontId="1" fillId="0" borderId="2" applyNumberFormat="0" applyFont="0" applyFill="0" applyAlignment="0" applyProtection="0"/>
    <xf numFmtId="0" fontId="1" fillId="0" borderId="3" applyNumberFormat="0" applyFont="0" applyFill="0" applyAlignment="0" applyProtection="0"/>
    <xf numFmtId="0" fontId="1" fillId="0" borderId="4" applyNumberFormat="0" applyFont="0" applyFill="0" applyAlignment="0" applyProtection="0"/>
    <xf numFmtId="0" fontId="1" fillId="0" borderId="5" applyNumberFormat="0" applyFont="0" applyFill="0" applyAlignment="0" applyProtection="0"/>
    <xf numFmtId="0" fontId="1" fillId="0" borderId="6" applyNumberFormat="0" applyFont="0" applyFill="0" applyAlignment="0" applyProtection="0"/>
    <xf numFmtId="0" fontId="1" fillId="2" borderId="0" applyNumberFormat="0" applyFont="0" applyBorder="0" applyAlignment="0" applyProtection="0"/>
    <xf numFmtId="0" fontId="1" fillId="0" borderId="7" applyNumberFormat="0" applyFont="0" applyFill="0" applyAlignment="0" applyProtection="0"/>
    <xf numFmtId="0" fontId="1" fillId="0" borderId="8" applyNumberFormat="0" applyFont="0" applyFill="0" applyAlignment="0" applyProtection="0"/>
    <xf numFmtId="46" fontId="1" fillId="0" borderId="0" applyFont="0" applyFill="0" applyBorder="0" applyAlignment="0" applyProtection="0"/>
    <xf numFmtId="0" fontId="16" fillId="0" borderId="0" applyNumberFormat="0" applyFill="0" applyBorder="0" applyAlignment="0" applyProtection="0"/>
    <xf numFmtId="0" fontId="1" fillId="0" borderId="9" applyNumberFormat="0" applyFont="0" applyFill="0" applyAlignment="0" applyProtection="0"/>
    <xf numFmtId="0" fontId="1" fillId="0" borderId="10" applyNumberFormat="0" applyFont="0" applyFill="0" applyAlignment="0" applyProtection="0"/>
    <xf numFmtId="0" fontId="1" fillId="0" borderId="1" applyNumberFormat="0" applyFont="0" applyFill="0" applyAlignment="0" applyProtection="0"/>
    <xf numFmtId="0" fontId="1" fillId="0" borderId="11" applyNumberFormat="0" applyFont="0" applyFill="0" applyAlignment="0" applyProtection="0"/>
    <xf numFmtId="0" fontId="1" fillId="0" borderId="1" applyNumberFormat="0" applyFont="0" applyFill="0" applyAlignment="0" applyProtection="0"/>
    <xf numFmtId="0" fontId="1" fillId="0" borderId="0" applyNumberFormat="0" applyFont="0" applyFill="0" applyBorder="0" applyProtection="0">
      <alignment horizontal="center"/>
    </xf>
    <xf numFmtId="0" fontId="17"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Protection="0">
      <alignment horizontal="left"/>
    </xf>
    <xf numFmtId="0" fontId="1" fillId="2" borderId="0" applyNumberFormat="0" applyFont="0" applyBorder="0" applyAlignment="0" applyProtection="0"/>
    <xf numFmtId="0" fontId="20" fillId="0" borderId="0" applyNumberFormat="0" applyFill="0" applyBorder="0" applyAlignment="0" applyProtection="0"/>
    <xf numFmtId="0" fontId="16" fillId="0" borderId="0" applyNumberFormat="0" applyFill="0" applyBorder="0" applyAlignment="0" applyProtection="0"/>
    <xf numFmtId="0" fontId="1" fillId="0" borderId="12" applyNumberFormat="0" applyFont="0" applyFill="0" applyAlignment="0" applyProtection="0"/>
    <xf numFmtId="0" fontId="1" fillId="0" borderId="13" applyNumberFormat="0" applyFont="0" applyFill="0" applyAlignment="0" applyProtection="0"/>
    <xf numFmtId="172" fontId="1" fillId="0" borderId="0" applyFont="0" applyFill="0" applyBorder="0" applyAlignment="0" applyProtection="0"/>
    <xf numFmtId="0" fontId="1" fillId="0" borderId="14" applyNumberFormat="0" applyFont="0" applyFill="0" applyAlignment="0" applyProtection="0"/>
    <xf numFmtId="0" fontId="1" fillId="0" borderId="15" applyNumberFormat="0" applyFont="0" applyFill="0" applyAlignment="0" applyProtection="0"/>
    <xf numFmtId="0" fontId="1" fillId="0" borderId="16" applyNumberFormat="0" applyFont="0" applyFill="0" applyAlignment="0" applyProtection="0"/>
    <xf numFmtId="0" fontId="1" fillId="0" borderId="17" applyNumberFormat="0" applyFont="0" applyFill="0" applyAlignment="0" applyProtection="0"/>
    <xf numFmtId="0" fontId="1" fillId="0" borderId="18" applyNumberFormat="0" applyFont="0" applyFill="0" applyAlignment="0" applyProtection="0"/>
  </cellStyleXfs>
  <cellXfs count="167">
    <xf numFmtId="0" fontId="0" fillId="0" borderId="0" xfId="0"/>
    <xf numFmtId="0" fontId="2" fillId="0" borderId="0" xfId="0" applyFont="1" applyFill="1" applyBorder="1"/>
    <xf numFmtId="0" fontId="0" fillId="0" borderId="0" xfId="0" applyFill="1" applyBorder="1"/>
    <xf numFmtId="0" fontId="0" fillId="0" borderId="0" xfId="0" applyBorder="1"/>
    <xf numFmtId="0" fontId="0" fillId="0" borderId="0" xfId="0" applyBorder="1" applyAlignment="1">
      <alignment horizontal="center"/>
    </xf>
    <xf numFmtId="0" fontId="4" fillId="0" borderId="0" xfId="0" applyFont="1" applyFill="1" applyBorder="1" applyAlignment="1">
      <alignment horizontal="center"/>
    </xf>
    <xf numFmtId="0" fontId="5" fillId="0" borderId="0" xfId="0" applyFont="1" applyFill="1" applyBorder="1" applyAlignment="1">
      <alignment horizontal="center"/>
    </xf>
    <xf numFmtId="0" fontId="6" fillId="0" borderId="0" xfId="0" applyFont="1" applyFill="1" applyBorder="1"/>
    <xf numFmtId="0" fontId="0" fillId="0" borderId="0" xfId="0" applyBorder="1" applyAlignment="1"/>
    <xf numFmtId="44" fontId="3" fillId="0" borderId="19" xfId="0" applyNumberFormat="1" applyFont="1" applyFill="1" applyBorder="1" applyAlignment="1"/>
    <xf numFmtId="44" fontId="3" fillId="0" borderId="20" xfId="0" applyNumberFormat="1" applyFont="1" applyFill="1" applyBorder="1" applyAlignment="1"/>
    <xf numFmtId="0" fontId="3" fillId="0" borderId="19" xfId="0" applyFont="1" applyFill="1" applyBorder="1" applyAlignment="1">
      <alignment horizontal="center"/>
    </xf>
    <xf numFmtId="0" fontId="3" fillId="0" borderId="19" xfId="0" applyFont="1" applyBorder="1" applyAlignment="1">
      <alignment horizontal="center"/>
    </xf>
    <xf numFmtId="165" fontId="3" fillId="0" borderId="19" xfId="0" applyNumberFormat="1" applyFont="1" applyBorder="1" applyAlignment="1">
      <alignment horizontal="center"/>
    </xf>
    <xf numFmtId="9" fontId="3" fillId="0" borderId="19" xfId="0" applyNumberFormat="1" applyFont="1" applyFill="1" applyBorder="1" applyAlignment="1">
      <alignment horizontal="center"/>
    </xf>
    <xf numFmtId="9" fontId="3" fillId="0" borderId="19" xfId="0" applyNumberFormat="1" applyFont="1" applyBorder="1" applyAlignment="1">
      <alignment horizontal="center"/>
    </xf>
    <xf numFmtId="9" fontId="3" fillId="0" borderId="20" xfId="0" applyNumberFormat="1" applyFont="1" applyFill="1" applyBorder="1" applyAlignment="1">
      <alignment horizontal="center"/>
    </xf>
    <xf numFmtId="9" fontId="3" fillId="0" borderId="20" xfId="0" applyNumberFormat="1" applyFont="1" applyBorder="1" applyAlignment="1">
      <alignment horizontal="center"/>
    </xf>
    <xf numFmtId="7" fontId="3" fillId="0" borderId="19" xfId="0" applyNumberFormat="1" applyFont="1" applyFill="1" applyBorder="1" applyAlignment="1">
      <alignment horizontal="center"/>
    </xf>
    <xf numFmtId="7" fontId="3" fillId="0" borderId="19" xfId="0" applyNumberFormat="1" applyFont="1" applyBorder="1" applyAlignment="1">
      <alignment horizontal="center"/>
    </xf>
    <xf numFmtId="8" fontId="8" fillId="0" borderId="0" xfId="0" applyNumberFormat="1" applyFont="1" applyBorder="1"/>
    <xf numFmtId="0" fontId="10" fillId="0" borderId="19" xfId="0" applyFont="1" applyBorder="1" applyAlignment="1">
      <alignment horizontal="center"/>
    </xf>
    <xf numFmtId="0" fontId="3" fillId="0" borderId="20" xfId="0" applyFont="1" applyFill="1" applyBorder="1" applyAlignment="1">
      <alignment horizontal="center"/>
    </xf>
    <xf numFmtId="0" fontId="3" fillId="0" borderId="20" xfId="0" applyFont="1" applyBorder="1" applyAlignment="1">
      <alignment horizontal="center"/>
    </xf>
    <xf numFmtId="44" fontId="3" fillId="0" borderId="19" xfId="0" applyNumberFormat="1" applyFont="1" applyBorder="1" applyAlignment="1"/>
    <xf numFmtId="166" fontId="3" fillId="0" borderId="19" xfId="1" applyNumberFormat="1" applyFont="1" applyBorder="1" applyAlignment="1">
      <alignment horizontal="center"/>
    </xf>
    <xf numFmtId="166" fontId="3" fillId="0" borderId="20" xfId="1" applyNumberFormat="1" applyFont="1" applyBorder="1" applyAlignment="1">
      <alignment horizontal="center"/>
    </xf>
    <xf numFmtId="170" fontId="6" fillId="0" borderId="0" xfId="0" applyNumberFormat="1" applyFont="1" applyFill="1" applyBorder="1"/>
    <xf numFmtId="9" fontId="0" fillId="0" borderId="0" xfId="0" applyNumberFormat="1" applyBorder="1"/>
    <xf numFmtId="171" fontId="13" fillId="0" borderId="0" xfId="3" applyNumberFormat="1" applyFont="1" applyAlignment="1">
      <alignment vertical="top" wrapText="1"/>
    </xf>
    <xf numFmtId="171" fontId="12" fillId="0" borderId="0" xfId="3" applyNumberFormat="1" applyFont="1"/>
    <xf numFmtId="171" fontId="12" fillId="0" borderId="0" xfId="3" applyNumberFormat="1" applyFont="1" applyAlignment="1">
      <alignment vertical="top" wrapText="1"/>
    </xf>
    <xf numFmtId="10" fontId="12" fillId="0" borderId="21" xfId="4" applyNumberFormat="1" applyFont="1" applyBorder="1" applyAlignment="1">
      <alignment horizontal="center"/>
    </xf>
    <xf numFmtId="10" fontId="12" fillId="0" borderId="22" xfId="4" applyNumberFormat="1" applyFont="1" applyBorder="1" applyAlignment="1">
      <alignment horizontal="center"/>
    </xf>
    <xf numFmtId="171" fontId="15" fillId="0" borderId="0" xfId="3" applyNumberFormat="1" applyFont="1" applyAlignment="1">
      <alignment vertical="top" wrapText="1"/>
    </xf>
    <xf numFmtId="171" fontId="12" fillId="0" borderId="23" xfId="3" applyNumberFormat="1" applyFont="1" applyBorder="1" applyAlignment="1">
      <alignment horizontal="center"/>
    </xf>
    <xf numFmtId="171" fontId="12" fillId="0" borderId="21" xfId="3" applyNumberFormat="1" applyFont="1" applyBorder="1" applyAlignment="1">
      <alignment horizontal="center"/>
    </xf>
    <xf numFmtId="171" fontId="12" fillId="0" borderId="22" xfId="3" applyNumberFormat="1" applyFont="1" applyBorder="1" applyAlignment="1">
      <alignment horizontal="center"/>
    </xf>
    <xf numFmtId="10" fontId="12" fillId="0" borderId="24" xfId="4" applyNumberFormat="1" applyFont="1" applyBorder="1" applyAlignment="1">
      <alignment horizontal="center"/>
    </xf>
    <xf numFmtId="10" fontId="12" fillId="0" borderId="25" xfId="4" applyNumberFormat="1" applyFont="1" applyBorder="1" applyAlignment="1">
      <alignment horizontal="center"/>
    </xf>
    <xf numFmtId="171" fontId="12" fillId="3" borderId="23" xfId="3" applyNumberFormat="1" applyFont="1" applyFill="1" applyBorder="1"/>
    <xf numFmtId="171" fontId="12" fillId="3" borderId="26" xfId="3" applyNumberFormat="1" applyFont="1" applyFill="1" applyBorder="1"/>
    <xf numFmtId="165" fontId="21" fillId="0" borderId="19" xfId="0" applyNumberFormat="1" applyFont="1" applyBorder="1" applyAlignment="1">
      <alignment horizontal="center"/>
    </xf>
    <xf numFmtId="167" fontId="21" fillId="0" borderId="19" xfId="0" applyNumberFormat="1" applyFont="1" applyBorder="1" applyAlignment="1">
      <alignment horizontal="center"/>
    </xf>
    <xf numFmtId="9" fontId="21" fillId="0" borderId="20" xfId="0" applyNumberFormat="1" applyFont="1" applyBorder="1" applyAlignment="1">
      <alignment horizontal="center"/>
    </xf>
    <xf numFmtId="170" fontId="22" fillId="0" borderId="0" xfId="0" applyNumberFormat="1" applyFont="1" applyFill="1" applyBorder="1"/>
    <xf numFmtId="7" fontId="21" fillId="0" borderId="19" xfId="0" applyNumberFormat="1" applyFont="1" applyBorder="1" applyAlignment="1">
      <alignment horizontal="center"/>
    </xf>
    <xf numFmtId="166" fontId="21" fillId="0" borderId="19" xfId="1" applyNumberFormat="1" applyFont="1" applyBorder="1" applyAlignment="1">
      <alignment horizontal="center"/>
    </xf>
    <xf numFmtId="0" fontId="0" fillId="0" borderId="27" xfId="0" applyBorder="1"/>
    <xf numFmtId="0" fontId="0" fillId="0" borderId="28" xfId="0" applyBorder="1" applyAlignment="1">
      <alignment horizontal="center"/>
    </xf>
    <xf numFmtId="0" fontId="6" fillId="0" borderId="29" xfId="0" applyFont="1" applyFill="1" applyBorder="1"/>
    <xf numFmtId="0" fontId="6" fillId="3" borderId="30" xfId="0" applyFont="1" applyFill="1" applyBorder="1"/>
    <xf numFmtId="0" fontId="0" fillId="0" borderId="31" xfId="0" applyBorder="1" applyAlignment="1">
      <alignment horizontal="center"/>
    </xf>
    <xf numFmtId="0" fontId="0" fillId="0" borderId="0" xfId="0" applyProtection="1">
      <protection locked="0"/>
    </xf>
    <xf numFmtId="0" fontId="26" fillId="0" borderId="0" xfId="0" applyFont="1" applyProtection="1">
      <protection locked="0"/>
    </xf>
    <xf numFmtId="0" fontId="27" fillId="0" borderId="0" xfId="0" applyFont="1"/>
    <xf numFmtId="10" fontId="29" fillId="0" borderId="21" xfId="4" applyNumberFormat="1" applyFont="1" applyBorder="1" applyAlignment="1">
      <alignment horizontal="center"/>
    </xf>
    <xf numFmtId="171" fontId="12" fillId="0" borderId="0" xfId="3" applyNumberFormat="1" applyFont="1" applyBorder="1" applyAlignment="1">
      <alignment horizontal="left" vertical="top" wrapText="1"/>
    </xf>
    <xf numFmtId="171" fontId="12" fillId="0" borderId="0" xfId="3" applyNumberFormat="1" applyFont="1" applyBorder="1" applyAlignment="1">
      <alignment vertical="top" wrapText="1"/>
    </xf>
    <xf numFmtId="10" fontId="29" fillId="0" borderId="22" xfId="4" applyNumberFormat="1" applyFont="1" applyBorder="1" applyAlignment="1">
      <alignment horizontal="center"/>
    </xf>
    <xf numFmtId="0" fontId="7" fillId="0" borderId="0" xfId="0" applyFont="1" applyFill="1" applyBorder="1"/>
    <xf numFmtId="6" fontId="30" fillId="0" borderId="0" xfId="0" applyNumberFormat="1" applyFont="1" applyBorder="1"/>
    <xf numFmtId="0" fontId="7" fillId="0" borderId="0" xfId="0" applyFont="1" applyBorder="1"/>
    <xf numFmtId="0" fontId="7" fillId="3" borderId="27" xfId="0" applyFont="1" applyFill="1" applyBorder="1" applyAlignment="1">
      <alignment horizontal="center"/>
    </xf>
    <xf numFmtId="0" fontId="7" fillId="3" borderId="32" xfId="0" applyFont="1" applyFill="1" applyBorder="1" applyAlignment="1">
      <alignment horizontal="center"/>
    </xf>
    <xf numFmtId="0" fontId="7" fillId="3" borderId="33" xfId="0" applyFont="1" applyFill="1" applyBorder="1" applyAlignment="1">
      <alignment horizontal="center"/>
    </xf>
    <xf numFmtId="0" fontId="0" fillId="0" borderId="29" xfId="0" applyFont="1" applyFill="1" applyBorder="1" applyAlignment="1"/>
    <xf numFmtId="168" fontId="3" fillId="0" borderId="19" xfId="0" applyNumberFormat="1" applyFont="1" applyFill="1" applyBorder="1" applyAlignment="1"/>
    <xf numFmtId="168" fontId="3" fillId="0" borderId="34" xfId="0" applyNumberFormat="1" applyFont="1" applyFill="1" applyBorder="1" applyAlignment="1"/>
    <xf numFmtId="0" fontId="0" fillId="0" borderId="29" xfId="0" applyFill="1" applyBorder="1" applyAlignment="1"/>
    <xf numFmtId="0" fontId="0" fillId="0" borderId="35" xfId="0" applyFill="1" applyBorder="1" applyAlignment="1"/>
    <xf numFmtId="168" fontId="3" fillId="0" borderId="20" xfId="0" applyNumberFormat="1" applyFont="1" applyFill="1" applyBorder="1" applyAlignment="1"/>
    <xf numFmtId="168" fontId="3" fillId="0" borderId="36" xfId="0" applyNumberFormat="1" applyFont="1" applyFill="1" applyBorder="1" applyAlignment="1"/>
    <xf numFmtId="168" fontId="9" fillId="0" borderId="19" xfId="0" applyNumberFormat="1" applyFont="1" applyFill="1" applyBorder="1" applyAlignment="1"/>
    <xf numFmtId="168" fontId="9" fillId="0" borderId="34" xfId="0" applyNumberFormat="1" applyFont="1" applyFill="1" applyBorder="1" applyAlignment="1"/>
    <xf numFmtId="0" fontId="10" fillId="0" borderId="34" xfId="0" applyFont="1" applyBorder="1" applyAlignment="1">
      <alignment horizontal="center"/>
    </xf>
    <xf numFmtId="173" fontId="3" fillId="0" borderId="19" xfId="0" applyNumberFormat="1" applyFont="1" applyBorder="1" applyAlignment="1">
      <alignment horizontal="center"/>
    </xf>
    <xf numFmtId="173" fontId="3" fillId="0" borderId="34" xfId="0" applyNumberFormat="1" applyFont="1" applyBorder="1" applyAlignment="1">
      <alignment horizontal="center"/>
    </xf>
    <xf numFmtId="9" fontId="3" fillId="0" borderId="19" xfId="4" applyFont="1" applyBorder="1" applyAlignment="1">
      <alignment horizontal="center"/>
    </xf>
    <xf numFmtId="9" fontId="3" fillId="0" borderId="34" xfId="0" applyNumberFormat="1" applyFont="1" applyBorder="1" applyAlignment="1">
      <alignment horizontal="center"/>
    </xf>
    <xf numFmtId="0" fontId="6" fillId="0" borderId="29" xfId="0" applyFont="1" applyBorder="1"/>
    <xf numFmtId="5" fontId="3" fillId="0" borderId="19" xfId="0" applyNumberFormat="1" applyFont="1" applyBorder="1" applyAlignment="1">
      <alignment horizontal="center"/>
    </xf>
    <xf numFmtId="5" fontId="3" fillId="0" borderId="34" xfId="0" applyNumberFormat="1" applyFont="1" applyBorder="1" applyAlignment="1">
      <alignment horizontal="center"/>
    </xf>
    <xf numFmtId="0" fontId="3" fillId="0" borderId="34" xfId="0" applyFont="1" applyFill="1" applyBorder="1" applyAlignment="1">
      <alignment horizontal="center"/>
    </xf>
    <xf numFmtId="0" fontId="6" fillId="0" borderId="29" xfId="0" applyFont="1" applyBorder="1" applyAlignment="1"/>
    <xf numFmtId="168" fontId="3" fillId="0" borderId="19" xfId="0" applyNumberFormat="1" applyFont="1" applyBorder="1" applyAlignment="1"/>
    <xf numFmtId="44" fontId="3" fillId="0" borderId="34" xfId="0" applyNumberFormat="1" applyFont="1" applyBorder="1" applyAlignment="1"/>
    <xf numFmtId="0" fontId="6" fillId="0" borderId="35" xfId="0" applyFont="1" applyFill="1" applyBorder="1" applyAlignment="1"/>
    <xf numFmtId="168" fontId="3" fillId="0" borderId="20" xfId="0" applyNumberFormat="1" applyFont="1" applyBorder="1" applyAlignment="1"/>
    <xf numFmtId="168" fontId="3" fillId="0" borderId="36" xfId="0" applyNumberFormat="1" applyFont="1" applyBorder="1" applyAlignment="1"/>
    <xf numFmtId="0" fontId="0" fillId="0" borderId="37" xfId="0" applyFill="1" applyBorder="1" applyAlignment="1"/>
    <xf numFmtId="168" fontId="3" fillId="0" borderId="38" xfId="0" applyNumberFormat="1" applyFont="1" applyFill="1" applyBorder="1" applyAlignment="1"/>
    <xf numFmtId="168" fontId="3" fillId="0" borderId="39" xfId="0" applyNumberFormat="1" applyFont="1" applyFill="1" applyBorder="1" applyAlignment="1"/>
    <xf numFmtId="6" fontId="8" fillId="0" borderId="40" xfId="0" applyNumberFormat="1" applyFont="1" applyBorder="1" applyAlignment="1">
      <alignment horizontal="center"/>
    </xf>
    <xf numFmtId="6" fontId="8" fillId="3" borderId="41" xfId="0" applyNumberFormat="1" applyFont="1" applyFill="1" applyBorder="1" applyAlignment="1">
      <alignment horizontal="center"/>
    </xf>
    <xf numFmtId="0" fontId="7" fillId="3" borderId="42" xfId="0" applyFont="1" applyFill="1" applyBorder="1"/>
    <xf numFmtId="0" fontId="7" fillId="3" borderId="43" xfId="0" applyFont="1" applyFill="1" applyBorder="1" applyAlignment="1">
      <alignment horizontal="center"/>
    </xf>
    <xf numFmtId="0" fontId="7" fillId="3" borderId="44" xfId="0" applyFont="1" applyFill="1" applyBorder="1" applyAlignment="1">
      <alignment horizontal="center"/>
    </xf>
    <xf numFmtId="165" fontId="3" fillId="0" borderId="34" xfId="0" applyNumberFormat="1" applyFont="1" applyBorder="1" applyAlignment="1">
      <alignment horizontal="center"/>
    </xf>
    <xf numFmtId="167" fontId="21" fillId="0" borderId="34" xfId="0" applyNumberFormat="1" applyFont="1" applyBorder="1" applyAlignment="1">
      <alignment horizontal="center"/>
    </xf>
    <xf numFmtId="0" fontId="6" fillId="0" borderId="35" xfId="0" applyFont="1" applyFill="1" applyBorder="1"/>
    <xf numFmtId="9" fontId="3" fillId="0" borderId="36" xfId="0" applyNumberFormat="1" applyFont="1" applyBorder="1" applyAlignment="1">
      <alignment horizontal="center"/>
    </xf>
    <xf numFmtId="7" fontId="3" fillId="0" borderId="34" xfId="0" applyNumberFormat="1" applyFont="1" applyBorder="1" applyAlignment="1">
      <alignment horizontal="center"/>
    </xf>
    <xf numFmtId="166" fontId="3" fillId="0" borderId="34" xfId="1" applyNumberFormat="1" applyFont="1" applyFill="1" applyBorder="1" applyAlignment="1">
      <alignment horizontal="center"/>
    </xf>
    <xf numFmtId="0" fontId="6" fillId="0" borderId="35" xfId="0" applyFont="1" applyBorder="1"/>
    <xf numFmtId="166" fontId="3" fillId="0" borderId="36" xfId="1" applyNumberFormat="1" applyFont="1" applyFill="1" applyBorder="1" applyAlignment="1">
      <alignment horizontal="center"/>
    </xf>
    <xf numFmtId="168" fontId="3" fillId="0" borderId="34" xfId="0" applyNumberFormat="1" applyFont="1" applyBorder="1" applyAlignment="1"/>
    <xf numFmtId="6" fontId="8" fillId="0" borderId="0" xfId="0" applyNumberFormat="1" applyFont="1" applyBorder="1" applyAlignment="1">
      <alignment horizontal="center"/>
    </xf>
    <xf numFmtId="6" fontId="8" fillId="3" borderId="45" xfId="0" applyNumberFormat="1" applyFont="1" applyFill="1" applyBorder="1" applyAlignment="1">
      <alignment horizontal="center"/>
    </xf>
    <xf numFmtId="10" fontId="29" fillId="0" borderId="0" xfId="4" applyNumberFormat="1" applyFont="1" applyBorder="1" applyAlignment="1">
      <alignment horizontal="center"/>
    </xf>
    <xf numFmtId="167" fontId="12" fillId="0" borderId="46" xfId="4" applyNumberFormat="1" applyFont="1" applyBorder="1" applyAlignment="1">
      <alignment horizontal="center"/>
    </xf>
    <xf numFmtId="167" fontId="12" fillId="0" borderId="47" xfId="4" applyNumberFormat="1" applyFont="1" applyBorder="1" applyAlignment="1">
      <alignment horizontal="center"/>
    </xf>
    <xf numFmtId="0" fontId="23" fillId="0" borderId="48" xfId="0" applyFont="1" applyFill="1" applyBorder="1" applyAlignment="1"/>
    <xf numFmtId="168" fontId="24" fillId="0" borderId="24" xfId="2" applyNumberFormat="1" applyFont="1" applyFill="1" applyBorder="1" applyAlignment="1">
      <alignment horizontal="center"/>
    </xf>
    <xf numFmtId="0" fontId="23" fillId="0" borderId="19" xfId="0" applyFont="1" applyFill="1" applyBorder="1" applyAlignment="1"/>
    <xf numFmtId="168" fontId="24" fillId="0" borderId="46" xfId="2" applyNumberFormat="1" applyFont="1" applyFill="1" applyBorder="1" applyAlignment="1">
      <alignment horizontal="center"/>
    </xf>
    <xf numFmtId="0" fontId="24" fillId="0" borderId="46" xfId="0" applyFont="1" applyFill="1" applyBorder="1" applyAlignment="1">
      <alignment horizontal="center"/>
    </xf>
    <xf numFmtId="0" fontId="23" fillId="0" borderId="49" xfId="0" applyFont="1" applyFill="1" applyBorder="1" applyAlignment="1"/>
    <xf numFmtId="9" fontId="24" fillId="0" borderId="47" xfId="4" applyFont="1" applyFill="1" applyBorder="1" applyAlignment="1">
      <alignment horizontal="center"/>
    </xf>
    <xf numFmtId="9" fontId="24" fillId="0" borderId="24" xfId="4" applyFont="1" applyFill="1" applyBorder="1" applyAlignment="1">
      <alignment horizontal="center"/>
    </xf>
    <xf numFmtId="0" fontId="23" fillId="0" borderId="19" xfId="0" applyFont="1" applyBorder="1"/>
    <xf numFmtId="9" fontId="24" fillId="0" borderId="46" xfId="4" applyFont="1" applyFill="1" applyBorder="1" applyAlignment="1">
      <alignment horizontal="center"/>
    </xf>
    <xf numFmtId="0" fontId="23" fillId="0" borderId="49" xfId="0" applyFont="1" applyBorder="1"/>
    <xf numFmtId="10" fontId="24" fillId="0" borderId="47" xfId="4" applyNumberFormat="1" applyFont="1" applyFill="1" applyBorder="1" applyAlignment="1">
      <alignment horizontal="center"/>
    </xf>
    <xf numFmtId="0" fontId="8" fillId="0" borderId="50" xfId="0" applyFont="1" applyBorder="1" applyAlignment="1">
      <alignment horizontal="center"/>
    </xf>
    <xf numFmtId="164" fontId="8" fillId="0" borderId="25" xfId="0" applyNumberFormat="1" applyFont="1" applyBorder="1" applyAlignment="1">
      <alignment horizontal="center"/>
    </xf>
    <xf numFmtId="0" fontId="7" fillId="4" borderId="27" xfId="0" applyFont="1" applyFill="1" applyBorder="1" applyAlignment="1" applyProtection="1">
      <alignment horizontal="left" wrapText="1"/>
      <protection locked="0"/>
    </xf>
    <xf numFmtId="0" fontId="0" fillId="4" borderId="28" xfId="0" applyFill="1" applyBorder="1" applyAlignment="1" applyProtection="1">
      <alignment horizontal="left" wrapText="1"/>
      <protection locked="0"/>
    </xf>
    <xf numFmtId="0" fontId="0" fillId="4" borderId="51" xfId="0" applyFill="1" applyBorder="1" applyAlignment="1" applyProtection="1">
      <alignment horizontal="left" wrapText="1"/>
      <protection locked="0"/>
    </xf>
    <xf numFmtId="0" fontId="0" fillId="4" borderId="37" xfId="0" applyFill="1" applyBorder="1" applyAlignment="1" applyProtection="1">
      <alignment horizontal="left" wrapText="1"/>
      <protection locked="0"/>
    </xf>
    <xf numFmtId="0" fontId="0" fillId="4" borderId="52" xfId="0" applyFill="1" applyBorder="1" applyAlignment="1" applyProtection="1">
      <alignment horizontal="left" wrapText="1"/>
      <protection locked="0"/>
    </xf>
    <xf numFmtId="0" fontId="0" fillId="4" borderId="53" xfId="0" applyFill="1" applyBorder="1" applyAlignment="1" applyProtection="1">
      <alignment horizontal="left" wrapText="1"/>
      <protection locked="0"/>
    </xf>
    <xf numFmtId="171" fontId="12" fillId="0" borderId="48" xfId="3" applyNumberFormat="1" applyFont="1" applyBorder="1" applyAlignment="1">
      <alignment horizontal="left" vertical="top" wrapText="1"/>
    </xf>
    <xf numFmtId="171" fontId="12" fillId="0" borderId="54" xfId="3" applyNumberFormat="1" applyFont="1" applyBorder="1" applyAlignment="1">
      <alignment horizontal="left" vertical="top" wrapText="1"/>
    </xf>
    <xf numFmtId="171" fontId="12" fillId="0" borderId="24" xfId="3" applyNumberFormat="1" applyFont="1" applyBorder="1" applyAlignment="1">
      <alignment horizontal="left" vertical="top" wrapText="1"/>
    </xf>
    <xf numFmtId="171" fontId="12" fillId="0" borderId="19" xfId="3" applyNumberFormat="1" applyFont="1" applyBorder="1" applyAlignment="1">
      <alignment horizontal="left" vertical="top" wrapText="1"/>
    </xf>
    <xf numFmtId="171" fontId="12" fillId="0" borderId="0" xfId="3" applyNumberFormat="1" applyFont="1" applyBorder="1" applyAlignment="1">
      <alignment horizontal="left" vertical="top" wrapText="1"/>
    </xf>
    <xf numFmtId="171" fontId="12" fillId="0" borderId="46" xfId="3" applyNumberFormat="1" applyFont="1" applyBorder="1" applyAlignment="1">
      <alignment horizontal="left" vertical="top" wrapText="1"/>
    </xf>
    <xf numFmtId="171" fontId="12" fillId="0" borderId="49" xfId="3" applyNumberFormat="1" applyFont="1" applyBorder="1" applyAlignment="1">
      <alignment horizontal="left" vertical="top" wrapText="1"/>
    </xf>
    <xf numFmtId="171" fontId="12" fillId="0" borderId="55" xfId="3" applyNumberFormat="1" applyFont="1" applyBorder="1" applyAlignment="1">
      <alignment horizontal="left" vertical="top" wrapText="1"/>
    </xf>
    <xf numFmtId="171" fontId="12" fillId="0" borderId="47" xfId="3" applyNumberFormat="1" applyFont="1" applyBorder="1" applyAlignment="1">
      <alignment horizontal="left" vertical="top" wrapText="1"/>
    </xf>
    <xf numFmtId="171" fontId="14" fillId="5" borderId="50" xfId="3" applyNumberFormat="1" applyFont="1" applyFill="1" applyBorder="1" applyAlignment="1">
      <alignment horizontal="center" vertical="top" wrapText="1"/>
    </xf>
    <xf numFmtId="171" fontId="14" fillId="5" borderId="56" xfId="3" applyNumberFormat="1" applyFont="1" applyFill="1" applyBorder="1" applyAlignment="1">
      <alignment horizontal="center" vertical="top" wrapText="1"/>
    </xf>
    <xf numFmtId="171" fontId="14" fillId="5" borderId="25" xfId="3" applyNumberFormat="1" applyFont="1" applyFill="1" applyBorder="1" applyAlignment="1">
      <alignment horizontal="center" vertical="top" wrapText="1"/>
    </xf>
    <xf numFmtId="171" fontId="13" fillId="4" borderId="50" xfId="3" applyNumberFormat="1" applyFont="1" applyFill="1" applyBorder="1" applyAlignment="1">
      <alignment horizontal="center" vertical="top" wrapText="1"/>
    </xf>
    <xf numFmtId="171" fontId="13" fillId="4" borderId="56" xfId="3" applyNumberFormat="1" applyFont="1" applyFill="1" applyBorder="1" applyAlignment="1">
      <alignment horizontal="center" vertical="top" wrapText="1"/>
    </xf>
    <xf numFmtId="171" fontId="13" fillId="4" borderId="25" xfId="3" applyNumberFormat="1" applyFont="1" applyFill="1" applyBorder="1" applyAlignment="1">
      <alignment horizontal="center" vertical="top" wrapText="1"/>
    </xf>
    <xf numFmtId="171" fontId="15" fillId="0" borderId="48" xfId="3" applyNumberFormat="1" applyFont="1" applyBorder="1" applyAlignment="1">
      <alignment horizontal="left" vertical="top" wrapText="1"/>
    </xf>
    <xf numFmtId="171" fontId="15" fillId="0" borderId="54" xfId="3" applyNumberFormat="1" applyFont="1" applyBorder="1" applyAlignment="1">
      <alignment horizontal="left" vertical="top" wrapText="1"/>
    </xf>
    <xf numFmtId="171" fontId="15" fillId="0" borderId="24" xfId="3" applyNumberFormat="1" applyFont="1" applyBorder="1" applyAlignment="1">
      <alignment horizontal="left" vertical="top" wrapText="1"/>
    </xf>
    <xf numFmtId="171" fontId="15" fillId="0" borderId="49" xfId="3" applyNumberFormat="1" applyFont="1" applyBorder="1" applyAlignment="1">
      <alignment horizontal="left" vertical="top" wrapText="1"/>
    </xf>
    <xf numFmtId="171" fontId="15" fillId="0" borderId="55" xfId="3" applyNumberFormat="1" applyFont="1" applyBorder="1" applyAlignment="1">
      <alignment horizontal="left" vertical="top" wrapText="1"/>
    </xf>
    <xf numFmtId="171" fontId="15" fillId="0" borderId="47" xfId="3" applyNumberFormat="1" applyFont="1" applyBorder="1" applyAlignment="1">
      <alignment horizontal="left" vertical="top" wrapText="1"/>
    </xf>
    <xf numFmtId="171" fontId="12" fillId="3" borderId="23" xfId="3" applyNumberFormat="1" applyFont="1" applyFill="1" applyBorder="1" applyAlignment="1">
      <alignment horizontal="center" vertical="center" wrapText="1"/>
    </xf>
    <xf numFmtId="171" fontId="12" fillId="3" borderId="22" xfId="3" applyNumberFormat="1" applyFont="1" applyFill="1" applyBorder="1" applyAlignment="1">
      <alignment horizontal="center" vertical="center" wrapText="1"/>
    </xf>
    <xf numFmtId="171" fontId="13" fillId="5" borderId="50" xfId="3" applyNumberFormat="1" applyFont="1" applyFill="1" applyBorder="1" applyAlignment="1">
      <alignment horizontal="center" vertical="top" wrapText="1"/>
    </xf>
    <xf numFmtId="171" fontId="13" fillId="5" borderId="56" xfId="3" applyNumberFormat="1" applyFont="1" applyFill="1" applyBorder="1" applyAlignment="1">
      <alignment horizontal="center" vertical="top" wrapText="1"/>
    </xf>
    <xf numFmtId="171" fontId="13" fillId="5" borderId="25" xfId="3" applyNumberFormat="1" applyFont="1" applyFill="1" applyBorder="1" applyAlignment="1">
      <alignment horizontal="center" vertical="top" wrapText="1"/>
    </xf>
    <xf numFmtId="171" fontId="28" fillId="0" borderId="49" xfId="3" applyNumberFormat="1" applyFont="1" applyBorder="1" applyAlignment="1">
      <alignment horizontal="left" vertical="top" wrapText="1"/>
    </xf>
    <xf numFmtId="171" fontId="28" fillId="0" borderId="55" xfId="3" applyNumberFormat="1" applyFont="1" applyBorder="1" applyAlignment="1">
      <alignment horizontal="left" vertical="top" wrapText="1"/>
    </xf>
    <xf numFmtId="171" fontId="28" fillId="0" borderId="47" xfId="3" applyNumberFormat="1" applyFont="1" applyBorder="1" applyAlignment="1">
      <alignment horizontal="left" vertical="top" wrapText="1"/>
    </xf>
    <xf numFmtId="0" fontId="7" fillId="6" borderId="57" xfId="0" applyFont="1" applyFill="1" applyBorder="1" applyAlignment="1">
      <alignment horizontal="center" vertical="distributed"/>
    </xf>
    <xf numFmtId="0" fontId="7" fillId="6" borderId="54" xfId="0" applyFont="1" applyFill="1" applyBorder="1" applyAlignment="1">
      <alignment horizontal="center" vertical="distributed"/>
    </xf>
    <xf numFmtId="0" fontId="7" fillId="6" borderId="58" xfId="0" applyFont="1" applyFill="1" applyBorder="1" applyAlignment="1">
      <alignment horizontal="center" vertical="distributed"/>
    </xf>
    <xf numFmtId="0" fontId="7" fillId="6" borderId="59" xfId="0" applyFont="1" applyFill="1" applyBorder="1" applyAlignment="1">
      <alignment horizontal="center" vertical="distributed"/>
    </xf>
    <xf numFmtId="0" fontId="7" fillId="6" borderId="55" xfId="0" applyFont="1" applyFill="1" applyBorder="1" applyAlignment="1">
      <alignment horizontal="center" vertical="distributed"/>
    </xf>
    <xf numFmtId="0" fontId="7" fillId="6" borderId="60" xfId="0" applyFont="1" applyFill="1" applyBorder="1" applyAlignment="1">
      <alignment horizontal="center" vertical="distributed"/>
    </xf>
  </cellXfs>
  <cellStyles count="36">
    <cellStyle name="Comma" xfId="1" builtinId="3"/>
    <cellStyle name="Currency" xfId="2" builtinId="4"/>
    <cellStyle name="Normal" xfId="0" builtinId="0"/>
    <cellStyle name="Normal_@Risk example" xfId="3"/>
    <cellStyle name="Percent" xfId="4" builtinId="5"/>
    <cellStyle name="RISKbigPercent" xfId="5"/>
    <cellStyle name="RISKblandrEdge" xfId="6"/>
    <cellStyle name="RISKblCorner" xfId="7"/>
    <cellStyle name="RISKbottomEdge" xfId="8"/>
    <cellStyle name="RISKbrCorner" xfId="9"/>
    <cellStyle name="RISKdarkBoxed" xfId="10"/>
    <cellStyle name="RISKdarkShade" xfId="11"/>
    <cellStyle name="RISKdbottomEdge" xfId="12"/>
    <cellStyle name="RISKdrightEdge" xfId="13"/>
    <cellStyle name="RISKdurationTime" xfId="14"/>
    <cellStyle name="RISKinNumber" xfId="15"/>
    <cellStyle name="RISKlandrEdge" xfId="16"/>
    <cellStyle name="RISKleftEdge" xfId="17"/>
    <cellStyle name="RISKlightBoxed" xfId="18"/>
    <cellStyle name="RISKltandbEdge" xfId="19"/>
    <cellStyle name="RISKnormBoxed" xfId="20"/>
    <cellStyle name="RISKnormCenter" xfId="21"/>
    <cellStyle name="RISKnormHeading" xfId="22"/>
    <cellStyle name="RISKnormItal" xfId="23"/>
    <cellStyle name="RISKnormLabel" xfId="24"/>
    <cellStyle name="RISKnormShade" xfId="25"/>
    <cellStyle name="RISKnormTitle" xfId="26"/>
    <cellStyle name="RISKoutNumber" xfId="27"/>
    <cellStyle name="RISKrightEdge" xfId="28"/>
    <cellStyle name="RISKrtandbEdge" xfId="29"/>
    <cellStyle name="RISKssTime" xfId="30"/>
    <cellStyle name="RISKtandbEdge" xfId="31"/>
    <cellStyle name="RISKtlandrEdge" xfId="32"/>
    <cellStyle name="RISKtlCorner" xfId="33"/>
    <cellStyle name="RISKtopEdge" xfId="34"/>
    <cellStyle name="RISKtrCorner" xfId="35"/>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E3E3E3"/>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www.epixanalytics.com/" TargetMode="External"/></Relationships>
</file>

<file path=xl/drawings/_rels/drawing2.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hyperlink" Target="http://www.epixanalytics.com/" TargetMode="External"/></Relationships>
</file>

<file path=xl/drawings/_rels/drawing3.xml.rels><?xml version="1.0" encoding="UTF-8" standalone="yes"?>
<Relationships xmlns="http://schemas.openxmlformats.org/package/2006/relationships"><Relationship Id="rId2" Type="http://schemas.openxmlformats.org/officeDocument/2006/relationships/image" Target="../media/image3.jpeg"/><Relationship Id="rId1" Type="http://schemas.openxmlformats.org/officeDocument/2006/relationships/hyperlink" Target="http://www.epixanalytics.com/" TargetMode="External"/></Relationships>
</file>

<file path=xl/drawings/drawing1.xml><?xml version="1.0" encoding="utf-8"?>
<xdr:wsDr xmlns:xdr="http://schemas.openxmlformats.org/drawingml/2006/spreadsheetDrawing" xmlns:a="http://schemas.openxmlformats.org/drawingml/2006/main">
  <xdr:twoCellAnchor>
    <xdr:from>
      <xdr:col>2</xdr:col>
      <xdr:colOff>1244600</xdr:colOff>
      <xdr:row>30</xdr:row>
      <xdr:rowOff>114300</xdr:rowOff>
    </xdr:from>
    <xdr:to>
      <xdr:col>4</xdr:col>
      <xdr:colOff>876300</xdr:colOff>
      <xdr:row>30</xdr:row>
      <xdr:rowOff>114300</xdr:rowOff>
    </xdr:to>
    <xdr:sp macro="" textlink="">
      <xdr:nvSpPr>
        <xdr:cNvPr id="4112" name="Line 1">
          <a:extLst>
            <a:ext uri="{FF2B5EF4-FFF2-40B4-BE49-F238E27FC236}">
              <a16:creationId xmlns:a16="http://schemas.microsoft.com/office/drawing/2014/main" id="{0AAFDAF4-35F5-43B3-B156-DA145154F9F9}"/>
            </a:ext>
          </a:extLst>
        </xdr:cNvPr>
        <xdr:cNvSpPr>
          <a:spLocks noChangeShapeType="1"/>
        </xdr:cNvSpPr>
      </xdr:nvSpPr>
      <xdr:spPr bwMode="auto">
        <a:xfrm flipV="1">
          <a:off x="4159250" y="6610350"/>
          <a:ext cx="4178300" cy="0"/>
        </a:xfrm>
        <a:prstGeom prst="line">
          <a:avLst/>
        </a:prstGeom>
        <a:noFill/>
        <a:ln w="19050">
          <a:solidFill>
            <a:srgbClr val="0000FF"/>
          </a:solidFill>
          <a:round/>
          <a:headEnd/>
          <a:tailEnd type="triangle" w="med" len="med"/>
        </a:ln>
        <a:extLst>
          <a:ext uri="{909E8E84-426E-40DD-AFC4-6F175D3DCCD1}">
            <a14:hiddenFill xmlns:a14="http://schemas.microsoft.com/office/drawing/2010/main">
              <a:noFill/>
            </a14:hiddenFill>
          </a:ext>
        </a:extLst>
      </xdr:spPr>
    </xdr:sp>
    <xdr:clientData/>
  </xdr:twoCellAnchor>
  <xdr:twoCellAnchor editAs="oneCell">
    <xdr:from>
      <xdr:col>1</xdr:col>
      <xdr:colOff>0</xdr:colOff>
      <xdr:row>0</xdr:row>
      <xdr:rowOff>0</xdr:rowOff>
    </xdr:from>
    <xdr:to>
      <xdr:col>1</xdr:col>
      <xdr:colOff>2622550</xdr:colOff>
      <xdr:row>1</xdr:row>
      <xdr:rowOff>209550</xdr:rowOff>
    </xdr:to>
    <xdr:pic>
      <xdr:nvPicPr>
        <xdr:cNvPr id="3" name="Picture 2">
          <a:hlinkClick xmlns:r="http://schemas.openxmlformats.org/officeDocument/2006/relationships" r:id="rId1"/>
          <a:extLst>
            <a:ext uri="{FF2B5EF4-FFF2-40B4-BE49-F238E27FC236}">
              <a16:creationId xmlns:a16="http://schemas.microsoft.com/office/drawing/2014/main" id="{DE277697-F439-421D-A02F-F7493FC5062B}"/>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90500" y="0"/>
          <a:ext cx="2622550" cy="13716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3</xdr:col>
      <xdr:colOff>546100</xdr:colOff>
      <xdr:row>1</xdr:row>
      <xdr:rowOff>190500</xdr:rowOff>
    </xdr:to>
    <xdr:pic>
      <xdr:nvPicPr>
        <xdr:cNvPr id="5130" name="Picture 2" descr="logo-final-epix.jpg">
          <a:hlinkClick xmlns:r="http://schemas.openxmlformats.org/officeDocument/2006/relationships" r:id="rId1"/>
          <a:extLst>
            <a:ext uri="{FF2B5EF4-FFF2-40B4-BE49-F238E27FC236}">
              <a16:creationId xmlns:a16="http://schemas.microsoft.com/office/drawing/2014/main" id="{0B0C4D8C-0737-46AA-A8BF-05A3B90BD5B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52400" y="0"/>
          <a:ext cx="2571750" cy="1371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3</xdr:col>
      <xdr:colOff>209550</xdr:colOff>
      <xdr:row>1</xdr:row>
      <xdr:rowOff>209550</xdr:rowOff>
    </xdr:to>
    <xdr:pic>
      <xdr:nvPicPr>
        <xdr:cNvPr id="1168" name="Picture 2" descr="logo-final-epix.jpg">
          <a:hlinkClick xmlns:r="http://schemas.openxmlformats.org/officeDocument/2006/relationships" r:id="rId1"/>
          <a:extLst>
            <a:ext uri="{FF2B5EF4-FFF2-40B4-BE49-F238E27FC236}">
              <a16:creationId xmlns:a16="http://schemas.microsoft.com/office/drawing/2014/main" id="{57F1E136-CFBC-48EA-9A2E-48BF4F609B24}"/>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22250" y="0"/>
          <a:ext cx="2622550" cy="1371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Documents%20and%20Settings/Huybert%20Groenendaal/My%20Documents/Risk%20Media/Software/ModelAssist/Models/Real%20option/NPV%20of%20a%20capital%20investment.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blem description"/>
      <sheetName val="Static model"/>
      <sheetName val="Solution"/>
    </sheetNames>
    <sheetDataSet>
      <sheetData sheetId="0"/>
      <sheetData sheetId="1" refreshError="1"/>
      <sheetData sheetId="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1:F47"/>
  <sheetViews>
    <sheetView showGridLines="0" tabSelected="1" workbookViewId="0"/>
  </sheetViews>
  <sheetFormatPr defaultColWidth="12.7265625" defaultRowHeight="14" x14ac:dyDescent="0.3"/>
  <cols>
    <col min="1" max="1" width="2.7265625" style="30" customWidth="1"/>
    <col min="2" max="2" width="39" style="31" customWidth="1"/>
    <col min="3" max="4" width="32.54296875" style="30" customWidth="1"/>
    <col min="5" max="5" width="12.7265625" style="30" customWidth="1"/>
    <col min="6" max="6" width="16.1796875" style="30" customWidth="1"/>
    <col min="7" max="16384" width="12.7265625" style="30"/>
  </cols>
  <sheetData>
    <row r="1" spans="2:6" s="53" customFormat="1" ht="91.5" customHeight="1" x14ac:dyDescent="0.25"/>
    <row r="2" spans="2:6" s="53" customFormat="1" ht="17.25" customHeight="1" x14ac:dyDescent="0.4">
      <c r="C2" s="54" t="s">
        <v>60</v>
      </c>
    </row>
    <row r="3" spans="2:6" s="53" customFormat="1" ht="17.25" customHeight="1" x14ac:dyDescent="0.35">
      <c r="E3" s="55"/>
    </row>
    <row r="4" spans="2:6" s="53" customFormat="1" ht="14.25" customHeight="1" thickBot="1" x14ac:dyDescent="0.4">
      <c r="E4" s="55"/>
    </row>
    <row r="5" spans="2:6" s="53" customFormat="1" ht="15" customHeight="1" x14ac:dyDescent="0.35">
      <c r="B5" s="126" t="s">
        <v>51</v>
      </c>
      <c r="C5" s="127"/>
      <c r="D5" s="128"/>
      <c r="E5" s="55"/>
    </row>
    <row r="6" spans="2:6" s="53" customFormat="1" ht="14.25" customHeight="1" thickBot="1" x14ac:dyDescent="0.4">
      <c r="B6" s="129"/>
      <c r="C6" s="130"/>
      <c r="D6" s="131"/>
      <c r="E6" s="55"/>
    </row>
    <row r="7" spans="2:6" s="53" customFormat="1" ht="14.25" customHeight="1" x14ac:dyDescent="0.35">
      <c r="E7" s="55"/>
    </row>
    <row r="9" spans="2:6" x14ac:dyDescent="0.3">
      <c r="B9" s="155" t="s">
        <v>30</v>
      </c>
      <c r="C9" s="156"/>
      <c r="D9" s="157"/>
    </row>
    <row r="10" spans="2:6" x14ac:dyDescent="0.3">
      <c r="B10" s="30"/>
    </row>
    <row r="11" spans="2:6" x14ac:dyDescent="0.3">
      <c r="B11" s="132" t="s">
        <v>31</v>
      </c>
      <c r="C11" s="133"/>
      <c r="D11" s="134"/>
    </row>
    <row r="12" spans="2:6" ht="15" customHeight="1" x14ac:dyDescent="0.3">
      <c r="B12" s="158" t="s">
        <v>52</v>
      </c>
      <c r="C12" s="159"/>
      <c r="D12" s="160"/>
    </row>
    <row r="13" spans="2:6" ht="15" customHeight="1" x14ac:dyDescent="0.3">
      <c r="B13" s="30"/>
    </row>
    <row r="14" spans="2:6" ht="15" customHeight="1" x14ac:dyDescent="0.3">
      <c r="B14" s="144" t="s">
        <v>32</v>
      </c>
      <c r="C14" s="145"/>
      <c r="D14" s="146"/>
      <c r="F14" s="153" t="s">
        <v>33</v>
      </c>
    </row>
    <row r="15" spans="2:6" x14ac:dyDescent="0.3">
      <c r="B15" s="29"/>
      <c r="F15" s="154"/>
    </row>
    <row r="16" spans="2:6" ht="15" customHeight="1" x14ac:dyDescent="0.3">
      <c r="B16" s="132" t="str">
        <f ca="1">CONCATENATE("Product development cost have been estimated by F Gibbons to be  (70000, 80000, 120000) spread over ",YEAR(TODAY())+1," to ",YEAR(TODAY())+3," in the ratio 5:2:1. ","However P Gumbel considers the product development is (70000, 100000, 140000) in the same ratio and over the same period. ","Include these uncertainties in the model. Capital expenses and overheads are well defined and are not subject to change.")</f>
        <v>Product development cost have been estimated by F Gibbons to be  (70000, 80000, 120000) spread over 2018 to 2020 in the ratio 5:2:1. However P Gumbel considers the product development is (70000, 100000, 140000) in the same ratio and over the same period. Include these uncertainties in the model. Capital expenses and overheads are well defined and are not subject to change.</v>
      </c>
      <c r="C16" s="133"/>
      <c r="D16" s="134"/>
      <c r="F16" s="56">
        <v>1.5E-3</v>
      </c>
    </row>
    <row r="17" spans="2:6" ht="15" customHeight="1" x14ac:dyDescent="0.3">
      <c r="B17" s="135"/>
      <c r="C17" s="136"/>
      <c r="D17" s="137"/>
      <c r="F17" s="56">
        <v>1.9E-3</v>
      </c>
    </row>
    <row r="18" spans="2:6" x14ac:dyDescent="0.3">
      <c r="B18" s="135"/>
      <c r="C18" s="136"/>
      <c r="D18" s="137"/>
      <c r="F18" s="56">
        <v>-1.2999999999999999E-3</v>
      </c>
    </row>
    <row r="19" spans="2:6" x14ac:dyDescent="0.3">
      <c r="B19" s="138"/>
      <c r="C19" s="139"/>
      <c r="D19" s="140"/>
      <c r="F19" s="56">
        <v>-8.9999999999999998E-4</v>
      </c>
    </row>
    <row r="20" spans="2:6" x14ac:dyDescent="0.3">
      <c r="B20" s="58"/>
      <c r="C20" s="58"/>
      <c r="D20" s="58"/>
      <c r="F20" s="56">
        <v>4.3E-3</v>
      </c>
    </row>
    <row r="21" spans="2:6" x14ac:dyDescent="0.3">
      <c r="B21" s="144" t="s">
        <v>34</v>
      </c>
      <c r="C21" s="145"/>
      <c r="D21" s="146"/>
      <c r="F21" s="56">
        <v>3.0999999999999999E-3</v>
      </c>
    </row>
    <row r="22" spans="2:6" x14ac:dyDescent="0.3">
      <c r="B22" s="29"/>
      <c r="F22" s="56">
        <v>6.3E-3</v>
      </c>
    </row>
    <row r="23" spans="2:6" ht="15" customHeight="1" x14ac:dyDescent="0.3">
      <c r="B23" s="132" t="str">
        <f ca="1">CONCATENATE("Tax rate is fixed at 46% unless the Conservatives get in at the next election in ",YEAR(TODAY())+4," (20% chance) when the rate would drop to (32%, 35%, 46%). ", "Include this extra uncertainty in the model.")</f>
        <v>Tax rate is fixed at 46% unless the Conservatives get in at the next election in 2021 (20% chance) when the rate would drop to (32%, 35%, 46%). Include this extra uncertainty in the model.</v>
      </c>
      <c r="C23" s="133"/>
      <c r="D23" s="134"/>
      <c r="F23" s="56">
        <v>-2.7000000000000001E-3</v>
      </c>
    </row>
    <row r="24" spans="2:6" x14ac:dyDescent="0.3">
      <c r="B24" s="138"/>
      <c r="C24" s="139"/>
      <c r="D24" s="140"/>
      <c r="F24" s="56">
        <v>-5.4000000000000003E-3</v>
      </c>
    </row>
    <row r="25" spans="2:6" x14ac:dyDescent="0.3">
      <c r="B25" s="29"/>
      <c r="F25" s="56">
        <v>-5.5999999999999999E-3</v>
      </c>
    </row>
    <row r="26" spans="2:6" x14ac:dyDescent="0.3">
      <c r="B26" s="144" t="s">
        <v>35</v>
      </c>
      <c r="C26" s="145"/>
      <c r="D26" s="146"/>
      <c r="F26" s="56">
        <v>-1.6000000000000001E-3</v>
      </c>
    </row>
    <row r="27" spans="2:6" x14ac:dyDescent="0.3">
      <c r="B27" s="29"/>
      <c r="F27" s="56">
        <v>2.5000000000000001E-3</v>
      </c>
    </row>
    <row r="28" spans="2:6" ht="15" customHeight="1" x14ac:dyDescent="0.3">
      <c r="B28" s="132" t="str">
        <f ca="1">CONCATENATE("Market volume is expected to grow each year by (10%, 20%, 40%) beginning in ",YEAR(TODAY())+3," at (2500, 3000, 5000) up to a maximum of 20,000 units. ","Cost per unit in ",YEAR(TODAY())+3," is estimated at (22.75, 23.25, 24.5). ","Sales price per unit is estimated at (45, 58, 65) in ",YEAR(TODAY())+3,". Both the cost and sales price per unit are subject to inflation from ",YEAR(TODAY())+3," at a rate starting at  (3%, 4%, 6%) and varying yearly in a similar fashion to historic rates.")</f>
        <v>Market volume is expected to grow each year by (10%, 20%, 40%) beginning in 2020 at (2500, 3000, 5000) up to a maximum of 20,000 units. Cost per unit in 2020 is estimated at (22.75, 23.25, 24.5). Sales price per unit is estimated at (45, 58, 65) in 2020. Both the cost and sales price per unit are subject to inflation from 2020 at a rate starting at  (3%, 4%, 6%) and varying yearly in a similar fashion to historic rates.</v>
      </c>
      <c r="C28" s="133"/>
      <c r="D28" s="134"/>
      <c r="F28" s="56">
        <v>-4.1000000000000003E-3</v>
      </c>
    </row>
    <row r="29" spans="2:6" x14ac:dyDescent="0.3">
      <c r="B29" s="135"/>
      <c r="C29" s="136"/>
      <c r="D29" s="137"/>
      <c r="F29" s="56">
        <v>-2.5999999999999999E-3</v>
      </c>
    </row>
    <row r="30" spans="2:6" x14ac:dyDescent="0.3">
      <c r="B30" s="135"/>
      <c r="C30" s="136"/>
      <c r="D30" s="137"/>
      <c r="F30" s="56">
        <v>2.9999999999999997E-4</v>
      </c>
    </row>
    <row r="31" spans="2:6" ht="15" customHeight="1" x14ac:dyDescent="0.3">
      <c r="B31" s="138"/>
      <c r="C31" s="139"/>
      <c r="D31" s="140"/>
      <c r="F31" s="56">
        <v>2.8999999999999998E-3</v>
      </c>
    </row>
    <row r="32" spans="2:6" x14ac:dyDescent="0.3">
      <c r="F32" s="56">
        <v>-4.4000000000000003E-3</v>
      </c>
    </row>
    <row r="33" spans="2:6" x14ac:dyDescent="0.3">
      <c r="B33" s="144" t="s">
        <v>36</v>
      </c>
      <c r="C33" s="145"/>
      <c r="D33" s="146"/>
      <c r="F33" s="56">
        <v>7.1999999999999998E-3</v>
      </c>
    </row>
    <row r="34" spans="2:6" ht="15" customHeight="1" x14ac:dyDescent="0.3">
      <c r="F34" s="56">
        <v>-5.9999999999999995E-4</v>
      </c>
    </row>
    <row r="35" spans="2:6" ht="15" customHeight="1" x14ac:dyDescent="0.3">
      <c r="B35" s="132" t="s">
        <v>53</v>
      </c>
      <c r="C35" s="133"/>
      <c r="D35" s="134"/>
      <c r="F35" s="56">
        <v>-2E-3</v>
      </c>
    </row>
    <row r="36" spans="2:6" x14ac:dyDescent="0.3">
      <c r="B36" s="135"/>
      <c r="C36" s="136"/>
      <c r="D36" s="137"/>
      <c r="F36" s="56">
        <v>-3.2000000000000002E-3</v>
      </c>
    </row>
    <row r="37" spans="2:6" x14ac:dyDescent="0.3">
      <c r="B37" s="138"/>
      <c r="C37" s="139"/>
      <c r="D37" s="140"/>
      <c r="F37" s="59">
        <v>-3.3E-3</v>
      </c>
    </row>
    <row r="38" spans="2:6" x14ac:dyDescent="0.3">
      <c r="B38" s="57"/>
      <c r="C38" s="57"/>
      <c r="D38" s="57"/>
      <c r="F38" s="109"/>
    </row>
    <row r="39" spans="2:6" x14ac:dyDescent="0.3">
      <c r="B39" s="144" t="s">
        <v>55</v>
      </c>
      <c r="C39" s="145"/>
      <c r="D39" s="146"/>
      <c r="F39" s="109"/>
    </row>
    <row r="40" spans="2:6" x14ac:dyDescent="0.3">
      <c r="F40" s="109"/>
    </row>
    <row r="41" spans="2:6" ht="15" customHeight="1" x14ac:dyDescent="0.3">
      <c r="B41" s="132" t="s">
        <v>56</v>
      </c>
      <c r="C41" s="133"/>
      <c r="D41" s="134"/>
      <c r="F41" s="109"/>
    </row>
    <row r="42" spans="2:6" x14ac:dyDescent="0.3">
      <c r="B42" s="138"/>
      <c r="C42" s="139"/>
      <c r="D42" s="140"/>
      <c r="F42" s="109"/>
    </row>
    <row r="43" spans="2:6" x14ac:dyDescent="0.3">
      <c r="B43" s="30"/>
    </row>
    <row r="44" spans="2:6" x14ac:dyDescent="0.3">
      <c r="B44" s="141" t="s">
        <v>37</v>
      </c>
      <c r="C44" s="142"/>
      <c r="D44" s="143"/>
    </row>
    <row r="45" spans="2:6" x14ac:dyDescent="0.3">
      <c r="B45" s="34"/>
    </row>
    <row r="46" spans="2:6" x14ac:dyDescent="0.3">
      <c r="B46" s="147" t="s">
        <v>57</v>
      </c>
      <c r="C46" s="148"/>
      <c r="D46" s="149"/>
    </row>
    <row r="47" spans="2:6" x14ac:dyDescent="0.3">
      <c r="B47" s="150"/>
      <c r="C47" s="151"/>
      <c r="D47" s="152"/>
    </row>
  </sheetData>
  <mergeCells count="17">
    <mergeCell ref="B46:D47"/>
    <mergeCell ref="F14:F15"/>
    <mergeCell ref="B9:D9"/>
    <mergeCell ref="B11:D11"/>
    <mergeCell ref="B12:D12"/>
    <mergeCell ref="B14:D14"/>
    <mergeCell ref="B39:D39"/>
    <mergeCell ref="B41:D42"/>
    <mergeCell ref="B5:D6"/>
    <mergeCell ref="B35:D37"/>
    <mergeCell ref="B44:D44"/>
    <mergeCell ref="B26:D26"/>
    <mergeCell ref="B33:D33"/>
    <mergeCell ref="B23:D24"/>
    <mergeCell ref="B28:D31"/>
    <mergeCell ref="B21:D21"/>
    <mergeCell ref="B16:D19"/>
  </mergeCells>
  <phoneticPr fontId="0" type="noConversion"/>
  <pageMargins left="0.75" right="0.75" top="1" bottom="1" header="0.5" footer="0.5"/>
  <pageSetup paperSize="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B1:O44"/>
  <sheetViews>
    <sheetView showGridLines="0" workbookViewId="0">
      <selection activeCell="E1" sqref="E1"/>
    </sheetView>
  </sheetViews>
  <sheetFormatPr defaultColWidth="9.1796875" defaultRowHeight="12.5" x14ac:dyDescent="0.25"/>
  <cols>
    <col min="1" max="1" width="2.1796875" style="2" customWidth="1"/>
    <col min="2" max="2" width="20.26953125" bestFit="1" customWidth="1"/>
    <col min="3" max="4" width="8.7265625" customWidth="1"/>
    <col min="5" max="5" width="9" customWidth="1"/>
    <col min="6" max="8" width="8.7265625" customWidth="1"/>
    <col min="9" max="11" width="8.54296875" bestFit="1" customWidth="1"/>
    <col min="12" max="12" width="9.54296875" bestFit="1" customWidth="1"/>
    <col min="13" max="16384" width="9.1796875" style="2"/>
  </cols>
  <sheetData>
    <row r="1" spans="2:15" s="53" customFormat="1" ht="93" customHeight="1" x14ac:dyDescent="0.25"/>
    <row r="2" spans="2:15" s="53" customFormat="1" ht="17.25" customHeight="1" x14ac:dyDescent="0.4">
      <c r="C2" s="54"/>
      <c r="E2" s="54" t="s">
        <v>58</v>
      </c>
    </row>
    <row r="3" spans="2:15" s="53" customFormat="1" ht="17.25" customHeight="1" x14ac:dyDescent="0.35">
      <c r="E3" s="55"/>
    </row>
    <row r="4" spans="2:15" ht="13" x14ac:dyDescent="0.3">
      <c r="B4" s="60" t="s">
        <v>0</v>
      </c>
      <c r="C4" s="61">
        <f>NPV(0.1,C16:L16)</f>
        <v>-37134.151256459903</v>
      </c>
      <c r="D4" s="3"/>
      <c r="E4" s="62" t="s">
        <v>54</v>
      </c>
      <c r="F4" s="3"/>
      <c r="I4" s="61">
        <v>-37134.151256459903</v>
      </c>
      <c r="J4" s="3"/>
      <c r="K4" s="3"/>
      <c r="L4" s="3"/>
    </row>
    <row r="5" spans="2:15" ht="13" thickBot="1" x14ac:dyDescent="0.3">
      <c r="B5" s="3"/>
      <c r="C5" s="3"/>
      <c r="D5" s="3"/>
      <c r="E5" s="3"/>
      <c r="F5" s="3"/>
      <c r="G5" s="3"/>
      <c r="H5" s="3"/>
      <c r="I5" s="3"/>
      <c r="J5" s="3"/>
      <c r="K5" s="3"/>
      <c r="L5" s="3"/>
    </row>
    <row r="6" spans="2:15" ht="13" x14ac:dyDescent="0.3">
      <c r="B6" s="63" t="s">
        <v>1</v>
      </c>
      <c r="C6" s="64">
        <f ca="1">YEAR(TODAY())+1</f>
        <v>2018</v>
      </c>
      <c r="D6" s="64">
        <f t="shared" ref="D6:L6" ca="1" si="0">C6+1</f>
        <v>2019</v>
      </c>
      <c r="E6" s="64">
        <f t="shared" ca="1" si="0"/>
        <v>2020</v>
      </c>
      <c r="F6" s="64">
        <f t="shared" ca="1" si="0"/>
        <v>2021</v>
      </c>
      <c r="G6" s="64">
        <f t="shared" ca="1" si="0"/>
        <v>2022</v>
      </c>
      <c r="H6" s="64">
        <f t="shared" ca="1" si="0"/>
        <v>2023</v>
      </c>
      <c r="I6" s="64">
        <f t="shared" ca="1" si="0"/>
        <v>2024</v>
      </c>
      <c r="J6" s="64">
        <f t="shared" ca="1" si="0"/>
        <v>2025</v>
      </c>
      <c r="K6" s="64">
        <f t="shared" ca="1" si="0"/>
        <v>2026</v>
      </c>
      <c r="L6" s="65">
        <f t="shared" ca="1" si="0"/>
        <v>2027</v>
      </c>
      <c r="M6" s="5"/>
      <c r="N6" s="5"/>
      <c r="O6" s="5"/>
    </row>
    <row r="7" spans="2:15" x14ac:dyDescent="0.25">
      <c r="B7" s="161" t="s">
        <v>2</v>
      </c>
      <c r="C7" s="162"/>
      <c r="D7" s="162"/>
      <c r="E7" s="162"/>
      <c r="F7" s="162"/>
      <c r="G7" s="162"/>
      <c r="H7" s="162"/>
      <c r="I7" s="162"/>
      <c r="J7" s="162"/>
      <c r="K7" s="162"/>
      <c r="L7" s="163"/>
    </row>
    <row r="8" spans="2:15" x14ac:dyDescent="0.25">
      <c r="B8" s="164"/>
      <c r="C8" s="165"/>
      <c r="D8" s="165"/>
      <c r="E8" s="165"/>
      <c r="F8" s="165"/>
      <c r="G8" s="165"/>
      <c r="H8" s="165"/>
      <c r="I8" s="165"/>
      <c r="J8" s="165"/>
      <c r="K8" s="165"/>
      <c r="L8" s="166"/>
    </row>
    <row r="9" spans="2:15" x14ac:dyDescent="0.25">
      <c r="B9" s="66" t="s">
        <v>3</v>
      </c>
      <c r="C9" s="9">
        <f t="shared" ref="C9:L9" si="1">C25*C27</f>
        <v>0</v>
      </c>
      <c r="D9" s="9">
        <f t="shared" si="1"/>
        <v>0</v>
      </c>
      <c r="E9" s="67">
        <f t="shared" si="1"/>
        <v>174000</v>
      </c>
      <c r="F9" s="67">
        <f t="shared" si="1"/>
        <v>217152</v>
      </c>
      <c r="G9" s="67">
        <f t="shared" si="1"/>
        <v>135502.848</v>
      </c>
      <c r="H9" s="67">
        <f t="shared" si="1"/>
        <v>169107.55430400002</v>
      </c>
      <c r="I9" s="67">
        <f t="shared" si="1"/>
        <v>140697.48518092799</v>
      </c>
      <c r="J9" s="67">
        <f t="shared" si="1"/>
        <v>175590.46150579819</v>
      </c>
      <c r="K9" s="67">
        <f t="shared" si="1"/>
        <v>219136.89595923614</v>
      </c>
      <c r="L9" s="68">
        <f t="shared" si="1"/>
        <v>273482.84615712665</v>
      </c>
    </row>
    <row r="10" spans="2:15" x14ac:dyDescent="0.25">
      <c r="B10" s="66" t="s">
        <v>4</v>
      </c>
      <c r="C10" s="9">
        <f t="shared" ref="C10:L10" si="2">C20*C27</f>
        <v>0</v>
      </c>
      <c r="D10" s="9">
        <f t="shared" si="2"/>
        <v>0</v>
      </c>
      <c r="E10" s="67">
        <f t="shared" si="2"/>
        <v>69750</v>
      </c>
      <c r="F10" s="67">
        <f t="shared" si="2"/>
        <v>87048</v>
      </c>
      <c r="G10" s="67">
        <f t="shared" si="2"/>
        <v>54317.952000000005</v>
      </c>
      <c r="H10" s="67">
        <f t="shared" si="2"/>
        <v>67788.804096000007</v>
      </c>
      <c r="I10" s="67">
        <f t="shared" si="2"/>
        <v>56400.285007872008</v>
      </c>
      <c r="J10" s="67">
        <f t="shared" si="2"/>
        <v>70387.555689824279</v>
      </c>
      <c r="K10" s="67">
        <f t="shared" si="2"/>
        <v>87843.669500900694</v>
      </c>
      <c r="L10" s="68">
        <f t="shared" si="2"/>
        <v>109628.89953712406</v>
      </c>
    </row>
    <row r="11" spans="2:15" x14ac:dyDescent="0.25">
      <c r="B11" s="66" t="s">
        <v>5</v>
      </c>
      <c r="C11" s="9">
        <f t="shared" ref="C11:L11" si="3">C9-C10</f>
        <v>0</v>
      </c>
      <c r="D11" s="9">
        <f t="shared" si="3"/>
        <v>0</v>
      </c>
      <c r="E11" s="67">
        <f t="shared" si="3"/>
        <v>104250</v>
      </c>
      <c r="F11" s="67">
        <f t="shared" si="3"/>
        <v>130104</v>
      </c>
      <c r="G11" s="67">
        <f t="shared" si="3"/>
        <v>81184.895999999993</v>
      </c>
      <c r="H11" s="67">
        <f t="shared" si="3"/>
        <v>101318.75020800001</v>
      </c>
      <c r="I11" s="67">
        <f t="shared" si="3"/>
        <v>84297.200173055986</v>
      </c>
      <c r="J11" s="67">
        <f t="shared" si="3"/>
        <v>105202.90581597391</v>
      </c>
      <c r="K11" s="67">
        <f t="shared" si="3"/>
        <v>131293.22645833544</v>
      </c>
      <c r="L11" s="68">
        <f t="shared" si="3"/>
        <v>163853.94662000259</v>
      </c>
    </row>
    <row r="12" spans="2:15" x14ac:dyDescent="0.25">
      <c r="B12" s="66" t="s">
        <v>6</v>
      </c>
      <c r="C12" s="67">
        <f t="shared" ref="C12:L12" si="4">C33</f>
        <v>175000</v>
      </c>
      <c r="D12" s="67">
        <f t="shared" si="4"/>
        <v>175000</v>
      </c>
      <c r="E12" s="67">
        <f t="shared" si="4"/>
        <v>85000</v>
      </c>
      <c r="F12" s="67">
        <f t="shared" si="4"/>
        <v>55000</v>
      </c>
      <c r="G12" s="67">
        <f t="shared" si="4"/>
        <v>20000</v>
      </c>
      <c r="H12" s="67">
        <f t="shared" si="4"/>
        <v>20000</v>
      </c>
      <c r="I12" s="67">
        <f t="shared" si="4"/>
        <v>20000</v>
      </c>
      <c r="J12" s="67">
        <f t="shared" si="4"/>
        <v>25000</v>
      </c>
      <c r="K12" s="67">
        <f t="shared" si="4"/>
        <v>25000</v>
      </c>
      <c r="L12" s="68">
        <f t="shared" si="4"/>
        <v>25000</v>
      </c>
    </row>
    <row r="13" spans="2:15" x14ac:dyDescent="0.25">
      <c r="B13" s="69" t="s">
        <v>7</v>
      </c>
      <c r="C13" s="67">
        <f t="shared" ref="C13:L13" si="5">C11-C12</f>
        <v>-175000</v>
      </c>
      <c r="D13" s="67">
        <f t="shared" si="5"/>
        <v>-175000</v>
      </c>
      <c r="E13" s="67">
        <f t="shared" si="5"/>
        <v>19250</v>
      </c>
      <c r="F13" s="67">
        <f t="shared" si="5"/>
        <v>75104</v>
      </c>
      <c r="G13" s="67">
        <f t="shared" si="5"/>
        <v>61184.895999999993</v>
      </c>
      <c r="H13" s="67">
        <f t="shared" si="5"/>
        <v>81318.750208000012</v>
      </c>
      <c r="I13" s="67">
        <f t="shared" si="5"/>
        <v>64297.200173055986</v>
      </c>
      <c r="J13" s="67">
        <f t="shared" si="5"/>
        <v>80202.905815973907</v>
      </c>
      <c r="K13" s="67">
        <f t="shared" si="5"/>
        <v>106293.22645833544</v>
      </c>
      <c r="L13" s="68">
        <f t="shared" si="5"/>
        <v>138853.94662000259</v>
      </c>
    </row>
    <row r="14" spans="2:15" x14ac:dyDescent="0.25">
      <c r="B14" s="69" t="s">
        <v>8</v>
      </c>
      <c r="C14" s="67">
        <f>C13</f>
        <v>-175000</v>
      </c>
      <c r="D14" s="67">
        <f t="shared" ref="D14:L14" si="6">C14+D13-MAX((C15/C22),0)</f>
        <v>-350000</v>
      </c>
      <c r="E14" s="67">
        <f t="shared" si="6"/>
        <v>-330750</v>
      </c>
      <c r="F14" s="67">
        <f t="shared" si="6"/>
        <v>-255646</v>
      </c>
      <c r="G14" s="67">
        <f t="shared" si="6"/>
        <v>-194461.10399999999</v>
      </c>
      <c r="H14" s="67">
        <f t="shared" si="6"/>
        <v>-113142.35379199998</v>
      </c>
      <c r="I14" s="67">
        <f t="shared" si="6"/>
        <v>-48845.153618943994</v>
      </c>
      <c r="J14" s="67">
        <f t="shared" si="6"/>
        <v>31357.752197029913</v>
      </c>
      <c r="K14" s="67">
        <f t="shared" si="6"/>
        <v>106293.22645833544</v>
      </c>
      <c r="L14" s="68">
        <f t="shared" si="6"/>
        <v>138853.94662000259</v>
      </c>
    </row>
    <row r="15" spans="2:15" x14ac:dyDescent="0.25">
      <c r="B15" s="70" t="s">
        <v>9</v>
      </c>
      <c r="C15" s="10">
        <f t="shared" ref="C15:L15" si="7">MAX(C22*C14,0)</f>
        <v>0</v>
      </c>
      <c r="D15" s="10">
        <f t="shared" si="7"/>
        <v>0</v>
      </c>
      <c r="E15" s="10">
        <f t="shared" si="7"/>
        <v>0</v>
      </c>
      <c r="F15" s="10">
        <f t="shared" si="7"/>
        <v>0</v>
      </c>
      <c r="G15" s="10">
        <f t="shared" si="7"/>
        <v>0</v>
      </c>
      <c r="H15" s="10">
        <f t="shared" si="7"/>
        <v>0</v>
      </c>
      <c r="I15" s="10">
        <f t="shared" si="7"/>
        <v>0</v>
      </c>
      <c r="J15" s="71">
        <f t="shared" si="7"/>
        <v>14424.56601063376</v>
      </c>
      <c r="K15" s="71">
        <f t="shared" si="7"/>
        <v>48894.884170834302</v>
      </c>
      <c r="L15" s="72">
        <f t="shared" si="7"/>
        <v>63872.815445201195</v>
      </c>
    </row>
    <row r="16" spans="2:15" x14ac:dyDescent="0.25">
      <c r="B16" s="69" t="s">
        <v>10</v>
      </c>
      <c r="C16" s="73">
        <f t="shared" ref="C16:L16" si="8">C13-C15</f>
        <v>-175000</v>
      </c>
      <c r="D16" s="73">
        <f t="shared" si="8"/>
        <v>-175000</v>
      </c>
      <c r="E16" s="73">
        <f t="shared" si="8"/>
        <v>19250</v>
      </c>
      <c r="F16" s="73">
        <f t="shared" si="8"/>
        <v>75104</v>
      </c>
      <c r="G16" s="73">
        <f t="shared" si="8"/>
        <v>61184.895999999993</v>
      </c>
      <c r="H16" s="73">
        <f t="shared" si="8"/>
        <v>81318.750208000012</v>
      </c>
      <c r="I16" s="73">
        <f t="shared" si="8"/>
        <v>64297.200173055986</v>
      </c>
      <c r="J16" s="73">
        <f t="shared" si="8"/>
        <v>65778.339805340147</v>
      </c>
      <c r="K16" s="73">
        <f t="shared" si="8"/>
        <v>57398.342287501138</v>
      </c>
      <c r="L16" s="74">
        <f t="shared" si="8"/>
        <v>74981.131174801398</v>
      </c>
    </row>
    <row r="17" spans="2:12" x14ac:dyDescent="0.25">
      <c r="B17" s="161" t="s">
        <v>11</v>
      </c>
      <c r="C17" s="162"/>
      <c r="D17" s="162"/>
      <c r="E17" s="162"/>
      <c r="F17" s="162"/>
      <c r="G17" s="162"/>
      <c r="H17" s="162"/>
      <c r="I17" s="162"/>
      <c r="J17" s="162"/>
      <c r="K17" s="162"/>
      <c r="L17" s="163"/>
    </row>
    <row r="18" spans="2:12" x14ac:dyDescent="0.25">
      <c r="B18" s="164"/>
      <c r="C18" s="165"/>
      <c r="D18" s="165"/>
      <c r="E18" s="165"/>
      <c r="F18" s="165"/>
      <c r="G18" s="165"/>
      <c r="H18" s="165"/>
      <c r="I18" s="165"/>
      <c r="J18" s="165"/>
      <c r="K18" s="165"/>
      <c r="L18" s="166"/>
    </row>
    <row r="19" spans="2:12" s="7" customFormat="1" x14ac:dyDescent="0.25">
      <c r="B19" s="50" t="s">
        <v>12</v>
      </c>
      <c r="C19" s="11"/>
      <c r="D19" s="12"/>
      <c r="E19" s="12">
        <v>0</v>
      </c>
      <c r="F19" s="21">
        <v>0</v>
      </c>
      <c r="G19" s="21">
        <v>1</v>
      </c>
      <c r="H19" s="21">
        <v>1</v>
      </c>
      <c r="I19" s="21">
        <v>2</v>
      </c>
      <c r="J19" s="21">
        <v>2</v>
      </c>
      <c r="K19" s="21">
        <v>2</v>
      </c>
      <c r="L19" s="75">
        <v>2</v>
      </c>
    </row>
    <row r="20" spans="2:12" s="7" customFormat="1" x14ac:dyDescent="0.25">
      <c r="B20" s="50" t="s">
        <v>13</v>
      </c>
      <c r="C20" s="11"/>
      <c r="D20" s="12"/>
      <c r="E20" s="76">
        <v>23.25</v>
      </c>
      <c r="F20" s="76">
        <f t="shared" ref="F20:L20" si="9">E20*(1+F21)</f>
        <v>24.18</v>
      </c>
      <c r="G20" s="76">
        <f t="shared" si="9"/>
        <v>25.147200000000002</v>
      </c>
      <c r="H20" s="76">
        <f t="shared" si="9"/>
        <v>26.153088000000004</v>
      </c>
      <c r="I20" s="76">
        <f t="shared" si="9"/>
        <v>27.199211520000006</v>
      </c>
      <c r="J20" s="76">
        <f t="shared" si="9"/>
        <v>28.287179980800008</v>
      </c>
      <c r="K20" s="76">
        <f t="shared" si="9"/>
        <v>29.41866718003201</v>
      </c>
      <c r="L20" s="77">
        <f t="shared" si="9"/>
        <v>30.59541386723329</v>
      </c>
    </row>
    <row r="21" spans="2:12" s="7" customFormat="1" x14ac:dyDescent="0.25">
      <c r="B21" s="50" t="s">
        <v>14</v>
      </c>
      <c r="C21" s="14"/>
      <c r="D21" s="15"/>
      <c r="E21" s="15"/>
      <c r="F21" s="15">
        <v>0.04</v>
      </c>
      <c r="G21" s="15">
        <v>0.04</v>
      </c>
      <c r="H21" s="15">
        <v>0.04</v>
      </c>
      <c r="I21" s="15">
        <v>0.04</v>
      </c>
      <c r="J21" s="15">
        <v>0.04</v>
      </c>
      <c r="K21" s="78">
        <v>0.04</v>
      </c>
      <c r="L21" s="79">
        <v>0.04</v>
      </c>
    </row>
    <row r="22" spans="2:12" s="7" customFormat="1" x14ac:dyDescent="0.25">
      <c r="B22" s="50" t="s">
        <v>15</v>
      </c>
      <c r="C22" s="14">
        <v>0.46</v>
      </c>
      <c r="D22" s="15">
        <v>0.46</v>
      </c>
      <c r="E22" s="15">
        <v>0.46</v>
      </c>
      <c r="F22" s="15">
        <v>0.46</v>
      </c>
      <c r="G22" s="15">
        <v>0.46</v>
      </c>
      <c r="H22" s="15">
        <v>0.46</v>
      </c>
      <c r="I22" s="15">
        <v>0.46</v>
      </c>
      <c r="J22" s="15">
        <v>0.46</v>
      </c>
      <c r="K22" s="78">
        <v>0.46</v>
      </c>
      <c r="L22" s="79">
        <v>0.46</v>
      </c>
    </row>
    <row r="23" spans="2:12" x14ac:dyDescent="0.25">
      <c r="B23" s="161" t="s">
        <v>16</v>
      </c>
      <c r="C23" s="162"/>
      <c r="D23" s="162"/>
      <c r="E23" s="162"/>
      <c r="F23" s="162"/>
      <c r="G23" s="162"/>
      <c r="H23" s="162"/>
      <c r="I23" s="162"/>
      <c r="J23" s="162"/>
      <c r="K23" s="162"/>
      <c r="L23" s="163"/>
    </row>
    <row r="24" spans="2:12" x14ac:dyDescent="0.25">
      <c r="B24" s="164"/>
      <c r="C24" s="165"/>
      <c r="D24" s="165"/>
      <c r="E24" s="165"/>
      <c r="F24" s="165"/>
      <c r="G24" s="165"/>
      <c r="H24" s="165"/>
      <c r="I24" s="165"/>
      <c r="J24" s="165"/>
      <c r="K24" s="165"/>
      <c r="L24" s="166"/>
    </row>
    <row r="25" spans="2:12" s="7" customFormat="1" x14ac:dyDescent="0.25">
      <c r="B25" s="80" t="s">
        <v>17</v>
      </c>
      <c r="C25" s="18"/>
      <c r="D25" s="19"/>
      <c r="E25" s="81">
        <v>58</v>
      </c>
      <c r="F25" s="81">
        <f t="shared" ref="F25:L25" si="10">E25*(1+F21)</f>
        <v>60.32</v>
      </c>
      <c r="G25" s="81">
        <f t="shared" si="10"/>
        <v>62.732800000000005</v>
      </c>
      <c r="H25" s="81">
        <f t="shared" si="10"/>
        <v>65.242112000000006</v>
      </c>
      <c r="I25" s="81">
        <f t="shared" si="10"/>
        <v>67.851796480000004</v>
      </c>
      <c r="J25" s="81">
        <f t="shared" si="10"/>
        <v>70.565868339200009</v>
      </c>
      <c r="K25" s="81">
        <f t="shared" si="10"/>
        <v>73.388503072768017</v>
      </c>
      <c r="L25" s="82">
        <f t="shared" si="10"/>
        <v>76.32404319567874</v>
      </c>
    </row>
    <row r="26" spans="2:12" s="7" customFormat="1" x14ac:dyDescent="0.25">
      <c r="B26" s="80" t="s">
        <v>24</v>
      </c>
      <c r="C26" s="18"/>
      <c r="D26" s="19"/>
      <c r="E26" s="12">
        <v>3000</v>
      </c>
      <c r="F26" s="12">
        <f t="shared" ref="F26:L26" si="11">E26*120%</f>
        <v>3600</v>
      </c>
      <c r="G26" s="12">
        <f t="shared" si="11"/>
        <v>4320</v>
      </c>
      <c r="H26" s="12">
        <f t="shared" si="11"/>
        <v>5184</v>
      </c>
      <c r="I26" s="12">
        <f t="shared" si="11"/>
        <v>6220.8</v>
      </c>
      <c r="J26" s="12">
        <f t="shared" si="11"/>
        <v>7464.96</v>
      </c>
      <c r="K26" s="81">
        <f t="shared" si="11"/>
        <v>8957.9519999999993</v>
      </c>
      <c r="L26" s="83">
        <f t="shared" si="11"/>
        <v>10749.542399999998</v>
      </c>
    </row>
    <row r="27" spans="2:12" s="7" customFormat="1" x14ac:dyDescent="0.25">
      <c r="B27" s="80" t="s">
        <v>18</v>
      </c>
      <c r="C27" s="11"/>
      <c r="D27" s="12"/>
      <c r="E27" s="12">
        <f t="shared" ref="E27:L27" si="12">E26/(E19+1)</f>
        <v>3000</v>
      </c>
      <c r="F27" s="12">
        <f t="shared" si="12"/>
        <v>3600</v>
      </c>
      <c r="G27" s="12">
        <f t="shared" si="12"/>
        <v>2160</v>
      </c>
      <c r="H27" s="12">
        <f t="shared" si="12"/>
        <v>2592</v>
      </c>
      <c r="I27" s="12">
        <f t="shared" si="12"/>
        <v>2073.6</v>
      </c>
      <c r="J27" s="12">
        <f t="shared" si="12"/>
        <v>2488.3200000000002</v>
      </c>
      <c r="K27" s="81">
        <f t="shared" si="12"/>
        <v>2985.9839999999999</v>
      </c>
      <c r="L27" s="83">
        <f t="shared" si="12"/>
        <v>3583.1807999999996</v>
      </c>
    </row>
    <row r="28" spans="2:12" x14ac:dyDescent="0.25">
      <c r="B28" s="161" t="s">
        <v>19</v>
      </c>
      <c r="C28" s="162"/>
      <c r="D28" s="162"/>
      <c r="E28" s="162"/>
      <c r="F28" s="162"/>
      <c r="G28" s="162"/>
      <c r="H28" s="162"/>
      <c r="I28" s="162"/>
      <c r="J28" s="162"/>
      <c r="K28" s="162"/>
      <c r="L28" s="163"/>
    </row>
    <row r="29" spans="2:12" x14ac:dyDescent="0.25">
      <c r="B29" s="164"/>
      <c r="C29" s="165"/>
      <c r="D29" s="165"/>
      <c r="E29" s="165"/>
      <c r="F29" s="165"/>
      <c r="G29" s="165"/>
      <c r="H29" s="165"/>
      <c r="I29" s="165"/>
      <c r="J29" s="165"/>
      <c r="K29" s="165"/>
      <c r="L29" s="166"/>
    </row>
    <row r="30" spans="2:12" s="7" customFormat="1" x14ac:dyDescent="0.25">
      <c r="B30" s="84" t="s">
        <v>20</v>
      </c>
      <c r="C30" s="67">
        <v>50000</v>
      </c>
      <c r="D30" s="85">
        <v>20000</v>
      </c>
      <c r="E30" s="85">
        <v>10000</v>
      </c>
      <c r="F30" s="24">
        <v>0</v>
      </c>
      <c r="G30" s="24">
        <v>0</v>
      </c>
      <c r="H30" s="24">
        <v>0</v>
      </c>
      <c r="I30" s="24">
        <v>0</v>
      </c>
      <c r="J30" s="24">
        <v>0</v>
      </c>
      <c r="K30" s="24">
        <v>0</v>
      </c>
      <c r="L30" s="86">
        <v>0</v>
      </c>
    </row>
    <row r="31" spans="2:12" s="7" customFormat="1" x14ac:dyDescent="0.25">
      <c r="B31" s="84" t="s">
        <v>21</v>
      </c>
      <c r="C31" s="67">
        <v>125000</v>
      </c>
      <c r="D31" s="85">
        <v>145000</v>
      </c>
      <c r="E31" s="85">
        <v>55000</v>
      </c>
      <c r="F31" s="67">
        <v>35000</v>
      </c>
      <c r="G31" s="9">
        <v>0</v>
      </c>
      <c r="H31" s="9">
        <v>0</v>
      </c>
      <c r="I31" s="9">
        <v>0</v>
      </c>
      <c r="J31" s="9">
        <v>0</v>
      </c>
      <c r="K31" s="9">
        <v>0</v>
      </c>
      <c r="L31" s="86">
        <v>0</v>
      </c>
    </row>
    <row r="32" spans="2:12" s="7" customFormat="1" x14ac:dyDescent="0.25">
      <c r="B32" s="87" t="s">
        <v>22</v>
      </c>
      <c r="C32" s="10">
        <v>0</v>
      </c>
      <c r="D32" s="88">
        <v>10000</v>
      </c>
      <c r="E32" s="88">
        <v>20000</v>
      </c>
      <c r="F32" s="88">
        <v>20000</v>
      </c>
      <c r="G32" s="88">
        <v>20000</v>
      </c>
      <c r="H32" s="88">
        <v>20000</v>
      </c>
      <c r="I32" s="88">
        <v>20000</v>
      </c>
      <c r="J32" s="88">
        <v>25000</v>
      </c>
      <c r="K32" s="88">
        <v>25000</v>
      </c>
      <c r="L32" s="89">
        <v>25000</v>
      </c>
    </row>
    <row r="33" spans="2:12" ht="13" thickBot="1" x14ac:dyDescent="0.3">
      <c r="B33" s="90" t="s">
        <v>23</v>
      </c>
      <c r="C33" s="91">
        <f t="shared" ref="C33:L33" si="13">SUM(C30:C32)</f>
        <v>175000</v>
      </c>
      <c r="D33" s="91">
        <f t="shared" si="13"/>
        <v>175000</v>
      </c>
      <c r="E33" s="91">
        <f t="shared" si="13"/>
        <v>85000</v>
      </c>
      <c r="F33" s="91">
        <f t="shared" si="13"/>
        <v>55000</v>
      </c>
      <c r="G33" s="91">
        <f t="shared" si="13"/>
        <v>20000</v>
      </c>
      <c r="H33" s="91">
        <f t="shared" si="13"/>
        <v>20000</v>
      </c>
      <c r="I33" s="91">
        <f t="shared" si="13"/>
        <v>20000</v>
      </c>
      <c r="J33" s="91">
        <f t="shared" si="13"/>
        <v>25000</v>
      </c>
      <c r="K33" s="91">
        <f t="shared" si="13"/>
        <v>25000</v>
      </c>
      <c r="L33" s="92">
        <f t="shared" si="13"/>
        <v>25000</v>
      </c>
    </row>
    <row r="34" spans="2:12" x14ac:dyDescent="0.25">
      <c r="B34" s="8"/>
      <c r="C34" s="6"/>
      <c r="D34" s="3"/>
      <c r="E34" s="3"/>
      <c r="F34" s="3"/>
      <c r="G34" s="3"/>
      <c r="H34" s="3"/>
      <c r="I34" s="3"/>
      <c r="J34" s="3"/>
      <c r="K34" s="3"/>
      <c r="L34" s="3"/>
    </row>
    <row r="35" spans="2:12" x14ac:dyDescent="0.25">
      <c r="B35" s="8"/>
      <c r="C35" s="6"/>
      <c r="D35" s="3"/>
      <c r="E35" s="3"/>
      <c r="F35" s="3"/>
      <c r="G35" s="3"/>
      <c r="H35" s="3"/>
      <c r="I35" s="3"/>
      <c r="J35" s="3"/>
      <c r="K35" s="3"/>
      <c r="L35" s="3"/>
    </row>
    <row r="36" spans="2:12" x14ac:dyDescent="0.25">
      <c r="B36" s="8"/>
      <c r="C36" s="6"/>
      <c r="D36" s="3"/>
      <c r="E36" s="3"/>
      <c r="F36" s="3"/>
      <c r="G36" s="3"/>
      <c r="H36" s="3"/>
      <c r="I36" s="3"/>
      <c r="J36" s="3"/>
      <c r="K36" s="3"/>
      <c r="L36" s="3"/>
    </row>
    <row r="37" spans="2:12" x14ac:dyDescent="0.25">
      <c r="B37" s="8"/>
      <c r="C37" s="6"/>
      <c r="D37" s="3"/>
      <c r="E37" s="3"/>
      <c r="F37" s="3"/>
      <c r="G37" s="3"/>
      <c r="H37" s="3"/>
      <c r="I37" s="3"/>
      <c r="J37" s="3"/>
      <c r="K37" s="3"/>
      <c r="L37" s="3"/>
    </row>
    <row r="38" spans="2:12" x14ac:dyDescent="0.25">
      <c r="B38" s="8"/>
      <c r="C38" s="6"/>
      <c r="D38" s="3"/>
      <c r="E38" s="3"/>
      <c r="F38" s="3"/>
      <c r="G38" s="3"/>
      <c r="H38" s="3"/>
      <c r="I38" s="3"/>
      <c r="J38" s="3"/>
      <c r="K38" s="3"/>
      <c r="L38" s="3"/>
    </row>
    <row r="39" spans="2:12" x14ac:dyDescent="0.25">
      <c r="B39" s="8"/>
      <c r="C39" s="6"/>
      <c r="D39" s="3"/>
      <c r="E39" s="3"/>
      <c r="F39" s="3"/>
      <c r="G39" s="3"/>
      <c r="H39" s="3"/>
      <c r="I39" s="3"/>
      <c r="J39" s="3"/>
      <c r="K39" s="3"/>
      <c r="L39" s="3"/>
    </row>
    <row r="40" spans="2:12" x14ac:dyDescent="0.25">
      <c r="B40" s="8"/>
      <c r="C40" s="6"/>
      <c r="D40" s="3"/>
      <c r="E40" s="3"/>
      <c r="F40" s="3"/>
      <c r="G40" s="3"/>
      <c r="H40" s="3"/>
      <c r="I40" s="3"/>
      <c r="J40" s="3"/>
      <c r="K40" s="3"/>
      <c r="L40" s="3"/>
    </row>
    <row r="41" spans="2:12" x14ac:dyDescent="0.25">
      <c r="B41" s="4"/>
      <c r="C41" s="6"/>
      <c r="D41" s="3"/>
      <c r="E41" s="3"/>
      <c r="F41" s="3"/>
      <c r="G41" s="3"/>
      <c r="H41" s="3"/>
      <c r="I41" s="3"/>
      <c r="J41" s="3"/>
      <c r="K41" s="3"/>
      <c r="L41" s="3"/>
    </row>
    <row r="42" spans="2:12" x14ac:dyDescent="0.25">
      <c r="B42" s="4"/>
      <c r="C42" s="6"/>
      <c r="D42" s="3"/>
      <c r="E42" s="3"/>
      <c r="F42" s="3"/>
      <c r="G42" s="3"/>
      <c r="H42" s="3"/>
      <c r="I42" s="3"/>
      <c r="J42" s="3"/>
      <c r="K42" s="3"/>
      <c r="L42" s="3"/>
    </row>
    <row r="43" spans="2:12" x14ac:dyDescent="0.25">
      <c r="B43" s="4"/>
      <c r="C43" s="6"/>
      <c r="D43" s="3"/>
      <c r="E43" s="3"/>
      <c r="F43" s="3"/>
      <c r="G43" s="3"/>
      <c r="H43" s="3"/>
      <c r="I43" s="3"/>
      <c r="J43" s="3"/>
      <c r="K43" s="3"/>
      <c r="L43" s="3"/>
    </row>
    <row r="44" spans="2:12" x14ac:dyDescent="0.25">
      <c r="B44" s="3"/>
      <c r="C44" s="3"/>
      <c r="D44" s="3"/>
      <c r="E44" s="3"/>
      <c r="F44" s="3"/>
      <c r="G44" s="3"/>
      <c r="H44" s="3"/>
      <c r="I44" s="3"/>
      <c r="J44" s="3"/>
      <c r="K44" s="3"/>
      <c r="L44" s="3"/>
    </row>
  </sheetData>
  <mergeCells count="4">
    <mergeCell ref="B7:L8"/>
    <mergeCell ref="B17:L18"/>
    <mergeCell ref="B23:L24"/>
    <mergeCell ref="B28:L29"/>
  </mergeCells>
  <phoneticPr fontId="0" type="noConversion"/>
  <pageMargins left="0.75" right="0.75" top="1" bottom="1" header="0.5" footer="0.5"/>
  <pageSetup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B1:P79"/>
  <sheetViews>
    <sheetView showGridLines="0" workbookViewId="0"/>
  </sheetViews>
  <sheetFormatPr defaultColWidth="9.1796875" defaultRowHeight="12.5" x14ac:dyDescent="0.25"/>
  <cols>
    <col min="1" max="1" width="3.1796875" style="2" customWidth="1"/>
    <col min="2" max="2" width="23.7265625" customWidth="1"/>
    <col min="3" max="3" width="10.81640625" bestFit="1" customWidth="1"/>
    <col min="4" max="4" width="16.81640625" bestFit="1" customWidth="1"/>
    <col min="5" max="7" width="9.26953125" bestFit="1" customWidth="1"/>
    <col min="8" max="8" width="9" customWidth="1"/>
    <col min="9" max="9" width="8.7265625" customWidth="1"/>
    <col min="10" max="10" width="9.453125" customWidth="1"/>
    <col min="11" max="12" width="9" bestFit="1" customWidth="1"/>
    <col min="13" max="13" width="6" style="2" customWidth="1"/>
    <col min="14" max="14" width="9.1796875" style="2"/>
    <col min="15" max="15" width="15.26953125" style="2" customWidth="1"/>
    <col min="16" max="16" width="10.26953125" style="2" customWidth="1"/>
    <col min="17" max="16384" width="9.1796875" style="2"/>
  </cols>
  <sheetData>
    <row r="1" spans="2:16" s="53" customFormat="1" ht="91.5" customHeight="1" x14ac:dyDescent="0.25"/>
    <row r="2" spans="2:16" s="53" customFormat="1" ht="17.25" customHeight="1" x14ac:dyDescent="0.4">
      <c r="C2" s="54"/>
      <c r="E2" s="54" t="s">
        <v>60</v>
      </c>
    </row>
    <row r="3" spans="2:16" s="53" customFormat="1" ht="17.25" customHeight="1" x14ac:dyDescent="0.35">
      <c r="E3" s="55"/>
    </row>
    <row r="4" spans="2:16" s="1" customFormat="1" ht="15.75" customHeight="1" thickBot="1" x14ac:dyDescent="0.45">
      <c r="C4" s="107"/>
      <c r="F4" s="53"/>
      <c r="G4" s="53"/>
      <c r="H4" s="53"/>
      <c r="I4" s="53"/>
      <c r="J4" s="53"/>
      <c r="K4" s="53"/>
      <c r="L4" s="53"/>
      <c r="M4" s="53"/>
    </row>
    <row r="5" spans="2:16" x14ac:dyDescent="0.25">
      <c r="B5" s="48"/>
      <c r="C5" s="49"/>
      <c r="D5" s="52" t="s">
        <v>50</v>
      </c>
      <c r="E5" s="3"/>
      <c r="F5" s="53"/>
      <c r="G5" s="53"/>
      <c r="H5" s="53"/>
      <c r="I5" s="53"/>
      <c r="J5" s="53"/>
      <c r="K5" s="53"/>
      <c r="L5" s="53"/>
      <c r="M5" s="53"/>
    </row>
    <row r="6" spans="2:16" ht="18.75" customHeight="1" x14ac:dyDescent="0.25">
      <c r="B6" s="50" t="s">
        <v>0</v>
      </c>
      <c r="C6" s="107" t="e">
        <f ca="1">_xll.RiskOutput("NPV at 10%") + NPV(0.1,C21:L21)</f>
        <v>#NAME?</v>
      </c>
      <c r="D6" s="93" t="e">
        <f ca="1">_xll.RiskMean(C6)</f>
        <v>#NAME?</v>
      </c>
      <c r="E6" s="3"/>
      <c r="F6" s="53"/>
      <c r="G6" s="53"/>
      <c r="H6" s="53"/>
      <c r="I6" s="53"/>
      <c r="J6" s="53"/>
      <c r="K6" s="53"/>
      <c r="L6" s="53"/>
      <c r="M6" s="53"/>
    </row>
    <row r="7" spans="2:16" x14ac:dyDescent="0.25">
      <c r="B7" s="50" t="s">
        <v>59</v>
      </c>
      <c r="C7" s="107" t="e">
        <f ca="1">_xll.RiskOutput() + E44*(1+rf)^-3</f>
        <v>#NAME?</v>
      </c>
      <c r="D7" s="93" t="e">
        <f ca="1">_xll.RiskMean(C7)</f>
        <v>#NAME?</v>
      </c>
      <c r="E7" s="3"/>
      <c r="F7" s="53"/>
      <c r="G7" s="53"/>
      <c r="H7" s="53"/>
      <c r="I7" s="53"/>
      <c r="J7" s="53"/>
      <c r="K7" s="53"/>
      <c r="L7" s="53"/>
      <c r="M7" s="53"/>
    </row>
    <row r="8" spans="2:16" ht="13" thickBot="1" x14ac:dyDescent="0.3">
      <c r="B8" s="51" t="s">
        <v>49</v>
      </c>
      <c r="C8" s="108" t="e">
        <f ca="1">_xll.RiskOutput() + C7+C6</f>
        <v>#NAME?</v>
      </c>
      <c r="D8" s="94" t="e">
        <f ca="1">_xll.RiskMean(C8)</f>
        <v>#NAME?</v>
      </c>
      <c r="E8" s="3"/>
      <c r="F8" s="53"/>
      <c r="G8" s="53"/>
      <c r="H8" s="53"/>
      <c r="I8" s="53"/>
      <c r="J8" s="53"/>
      <c r="K8" s="53"/>
      <c r="L8" s="53"/>
      <c r="M8" s="53"/>
    </row>
    <row r="9" spans="2:16" x14ac:dyDescent="0.25">
      <c r="B9" s="7"/>
      <c r="C9" s="20"/>
      <c r="D9" s="3"/>
      <c r="E9" s="3"/>
      <c r="F9" s="53"/>
      <c r="G9" s="53"/>
      <c r="H9" s="53"/>
      <c r="I9" s="53"/>
      <c r="J9" s="53"/>
      <c r="K9" s="53"/>
      <c r="L9" s="53"/>
      <c r="M9" s="53"/>
    </row>
    <row r="10" spans="2:16" ht="13" thickBot="1" x14ac:dyDescent="0.3">
      <c r="B10" s="3"/>
      <c r="C10" s="3"/>
      <c r="D10" s="3"/>
      <c r="E10" s="3"/>
      <c r="F10" s="3"/>
      <c r="G10" s="3"/>
      <c r="H10" s="3"/>
      <c r="I10" s="3"/>
      <c r="J10" s="3"/>
      <c r="K10" s="3"/>
      <c r="L10" s="3"/>
    </row>
    <row r="11" spans="2:16" ht="14.5" thickBot="1" x14ac:dyDescent="0.35">
      <c r="B11" s="95" t="s">
        <v>1</v>
      </c>
      <c r="C11" s="96">
        <f ca="1">YEAR(TODAY())+1</f>
        <v>2018</v>
      </c>
      <c r="D11" s="96">
        <f ca="1">C11+1</f>
        <v>2019</v>
      </c>
      <c r="E11" s="96">
        <f t="shared" ref="E11:L11" ca="1" si="0">D11+1</f>
        <v>2020</v>
      </c>
      <c r="F11" s="96">
        <f t="shared" ca="1" si="0"/>
        <v>2021</v>
      </c>
      <c r="G11" s="96">
        <f ca="1">F11+1</f>
        <v>2022</v>
      </c>
      <c r="H11" s="96">
        <f ca="1">G11+1</f>
        <v>2023</v>
      </c>
      <c r="I11" s="96">
        <f t="shared" ca="1" si="0"/>
        <v>2024</v>
      </c>
      <c r="J11" s="96">
        <f t="shared" ca="1" si="0"/>
        <v>2025</v>
      </c>
      <c r="K11" s="96">
        <f t="shared" ca="1" si="0"/>
        <v>2026</v>
      </c>
      <c r="L11" s="97">
        <f t="shared" ca="1" si="0"/>
        <v>2027</v>
      </c>
      <c r="M11" s="5"/>
      <c r="N11" s="40" t="s">
        <v>40</v>
      </c>
      <c r="O11" s="38">
        <v>-0.01</v>
      </c>
      <c r="P11" s="30"/>
    </row>
    <row r="12" spans="2:16" ht="14.5" thickTop="1" x14ac:dyDescent="0.3">
      <c r="B12" s="161" t="s">
        <v>2</v>
      </c>
      <c r="C12" s="162"/>
      <c r="D12" s="162"/>
      <c r="E12" s="162"/>
      <c r="F12" s="162"/>
      <c r="G12" s="162"/>
      <c r="H12" s="162"/>
      <c r="I12" s="162"/>
      <c r="J12" s="162"/>
      <c r="K12" s="162"/>
      <c r="L12" s="163"/>
      <c r="N12" s="41" t="s">
        <v>41</v>
      </c>
      <c r="O12" s="39">
        <v>0.01</v>
      </c>
      <c r="P12" s="30"/>
    </row>
    <row r="13" spans="2:16" ht="14" x14ac:dyDescent="0.3">
      <c r="B13" s="164"/>
      <c r="C13" s="165"/>
      <c r="D13" s="165"/>
      <c r="E13" s="165"/>
      <c r="F13" s="165"/>
      <c r="G13" s="165"/>
      <c r="H13" s="165"/>
      <c r="I13" s="165"/>
      <c r="J13" s="165"/>
      <c r="K13" s="165"/>
      <c r="L13" s="166"/>
      <c r="N13" s="30"/>
      <c r="O13" s="30"/>
      <c r="P13" s="30"/>
    </row>
    <row r="14" spans="2:16" x14ac:dyDescent="0.25">
      <c r="B14" s="66" t="s">
        <v>3</v>
      </c>
      <c r="C14" s="67">
        <f>C30*C32</f>
        <v>0</v>
      </c>
      <c r="D14" s="67">
        <f t="shared" ref="D14:L14" si="1">D30*D32</f>
        <v>0</v>
      </c>
      <c r="E14" s="67" t="e">
        <f t="shared" ca="1" si="1"/>
        <v>#NAME?</v>
      </c>
      <c r="F14" s="67" t="e">
        <f t="shared" ca="1" si="1"/>
        <v>#NAME?</v>
      </c>
      <c r="G14" s="67" t="e">
        <f t="shared" ca="1" si="1"/>
        <v>#NAME?</v>
      </c>
      <c r="H14" s="67" t="e">
        <f t="shared" ca="1" si="1"/>
        <v>#NAME?</v>
      </c>
      <c r="I14" s="67" t="e">
        <f t="shared" ca="1" si="1"/>
        <v>#NAME?</v>
      </c>
      <c r="J14" s="67" t="e">
        <f t="shared" ca="1" si="1"/>
        <v>#NAME?</v>
      </c>
      <c r="K14" s="67" t="e">
        <f t="shared" ca="1" si="1"/>
        <v>#NAME?</v>
      </c>
      <c r="L14" s="68" t="e">
        <f t="shared" ca="1" si="1"/>
        <v>#NAME?</v>
      </c>
      <c r="N14" s="153" t="s">
        <v>39</v>
      </c>
      <c r="O14" s="153" t="s">
        <v>33</v>
      </c>
      <c r="P14" s="153" t="s">
        <v>38</v>
      </c>
    </row>
    <row r="15" spans="2:16" x14ac:dyDescent="0.25">
      <c r="B15" s="66" t="s">
        <v>4</v>
      </c>
      <c r="C15" s="67">
        <f>C25*C32</f>
        <v>0</v>
      </c>
      <c r="D15" s="67">
        <f t="shared" ref="D15:L15" si="2">D25*D32</f>
        <v>0</v>
      </c>
      <c r="E15" s="67" t="e">
        <f t="shared" ca="1" si="2"/>
        <v>#NAME?</v>
      </c>
      <c r="F15" s="67" t="e">
        <f t="shared" ca="1" si="2"/>
        <v>#NAME?</v>
      </c>
      <c r="G15" s="67" t="e">
        <f t="shared" ca="1" si="2"/>
        <v>#NAME?</v>
      </c>
      <c r="H15" s="67" t="e">
        <f t="shared" ca="1" si="2"/>
        <v>#NAME?</v>
      </c>
      <c r="I15" s="67" t="e">
        <f t="shared" ca="1" si="2"/>
        <v>#NAME?</v>
      </c>
      <c r="J15" s="67" t="e">
        <f t="shared" ca="1" si="2"/>
        <v>#NAME?</v>
      </c>
      <c r="K15" s="67" t="e">
        <f t="shared" ca="1" si="2"/>
        <v>#NAME?</v>
      </c>
      <c r="L15" s="68" t="e">
        <f t="shared" ca="1" si="2"/>
        <v>#NAME?</v>
      </c>
      <c r="N15" s="154"/>
      <c r="O15" s="154"/>
      <c r="P15" s="154"/>
    </row>
    <row r="16" spans="2:16" ht="14" x14ac:dyDescent="0.3">
      <c r="B16" s="66" t="s">
        <v>5</v>
      </c>
      <c r="C16" s="67">
        <f>C14-C15</f>
        <v>0</v>
      </c>
      <c r="D16" s="67">
        <f t="shared" ref="D16:L16" si="3">D14-D15</f>
        <v>0</v>
      </c>
      <c r="E16" s="67" t="e">
        <f t="shared" ca="1" si="3"/>
        <v>#NAME?</v>
      </c>
      <c r="F16" s="67" t="e">
        <f t="shared" ca="1" si="3"/>
        <v>#NAME?</v>
      </c>
      <c r="G16" s="67" t="e">
        <f t="shared" ca="1" si="3"/>
        <v>#NAME?</v>
      </c>
      <c r="H16" s="67" t="e">
        <f t="shared" ca="1" si="3"/>
        <v>#NAME?</v>
      </c>
      <c r="I16" s="67" t="e">
        <f t="shared" ca="1" si="3"/>
        <v>#NAME?</v>
      </c>
      <c r="J16" s="67" t="e">
        <f t="shared" ca="1" si="3"/>
        <v>#NAME?</v>
      </c>
      <c r="K16" s="67" t="e">
        <f t="shared" ca="1" si="3"/>
        <v>#NAME?</v>
      </c>
      <c r="L16" s="68" t="e">
        <f t="shared" ca="1" si="3"/>
        <v>#NAME?</v>
      </c>
      <c r="N16" s="35">
        <v>1</v>
      </c>
      <c r="O16" s="32">
        <v>-5.5999999999999999E-3</v>
      </c>
      <c r="P16" s="110">
        <f t="shared" ref="P16:P37" si="4">N16/(n+1)</f>
        <v>4.3478260869565216E-2</v>
      </c>
    </row>
    <row r="17" spans="2:16" ht="14" x14ac:dyDescent="0.3">
      <c r="B17" s="66" t="s">
        <v>6</v>
      </c>
      <c r="C17" s="67" t="e">
        <f ca="1">C38</f>
        <v>#NAME?</v>
      </c>
      <c r="D17" s="67" t="e">
        <f t="shared" ref="D17:L17" ca="1" si="5">D38</f>
        <v>#NAME?</v>
      </c>
      <c r="E17" s="67" t="e">
        <f t="shared" ca="1" si="5"/>
        <v>#NAME?</v>
      </c>
      <c r="F17" s="67">
        <f t="shared" si="5"/>
        <v>55000</v>
      </c>
      <c r="G17" s="67">
        <f t="shared" si="5"/>
        <v>20000</v>
      </c>
      <c r="H17" s="67">
        <f t="shared" si="5"/>
        <v>20000</v>
      </c>
      <c r="I17" s="67">
        <f t="shared" si="5"/>
        <v>20000</v>
      </c>
      <c r="J17" s="67">
        <f t="shared" si="5"/>
        <v>25000</v>
      </c>
      <c r="K17" s="67">
        <f t="shared" si="5"/>
        <v>25000</v>
      </c>
      <c r="L17" s="68">
        <f t="shared" si="5"/>
        <v>25000</v>
      </c>
      <c r="N17" s="36">
        <v>2</v>
      </c>
      <c r="O17" s="32">
        <v>-5.4000000000000003E-3</v>
      </c>
      <c r="P17" s="110">
        <f t="shared" si="4"/>
        <v>8.6956521739130432E-2</v>
      </c>
    </row>
    <row r="18" spans="2:16" ht="14" x14ac:dyDescent="0.3">
      <c r="B18" s="69" t="s">
        <v>7</v>
      </c>
      <c r="C18" s="67" t="e">
        <f ca="1">C16-C17</f>
        <v>#NAME?</v>
      </c>
      <c r="D18" s="67" t="e">
        <f t="shared" ref="D18:L18" ca="1" si="6">D16-D17</f>
        <v>#NAME?</v>
      </c>
      <c r="E18" s="67" t="e">
        <f t="shared" ca="1" si="6"/>
        <v>#NAME?</v>
      </c>
      <c r="F18" s="67" t="e">
        <f t="shared" ca="1" si="6"/>
        <v>#NAME?</v>
      </c>
      <c r="G18" s="67" t="e">
        <f t="shared" ca="1" si="6"/>
        <v>#NAME?</v>
      </c>
      <c r="H18" s="67" t="e">
        <f t="shared" ca="1" si="6"/>
        <v>#NAME?</v>
      </c>
      <c r="I18" s="67" t="e">
        <f t="shared" ca="1" si="6"/>
        <v>#NAME?</v>
      </c>
      <c r="J18" s="67" t="e">
        <f t="shared" ca="1" si="6"/>
        <v>#NAME?</v>
      </c>
      <c r="K18" s="67" t="e">
        <f t="shared" ca="1" si="6"/>
        <v>#NAME?</v>
      </c>
      <c r="L18" s="68" t="e">
        <f t="shared" ca="1" si="6"/>
        <v>#NAME?</v>
      </c>
      <c r="N18" s="36">
        <v>3</v>
      </c>
      <c r="O18" s="32">
        <v>-4.4000000000000003E-3</v>
      </c>
      <c r="P18" s="110">
        <f t="shared" si="4"/>
        <v>0.13043478260869565</v>
      </c>
    </row>
    <row r="19" spans="2:16" ht="14" x14ac:dyDescent="0.3">
      <c r="B19" s="69" t="s">
        <v>8</v>
      </c>
      <c r="C19" s="67" t="e">
        <f ca="1">C18</f>
        <v>#NAME?</v>
      </c>
      <c r="D19" s="67" t="e">
        <f t="shared" ref="D19:L19" ca="1" si="7">C19+D18-MAX((C20/C27),0)</f>
        <v>#NAME?</v>
      </c>
      <c r="E19" s="67" t="e">
        <f t="shared" ca="1" si="7"/>
        <v>#NAME?</v>
      </c>
      <c r="F19" s="67" t="e">
        <f t="shared" ca="1" si="7"/>
        <v>#NAME?</v>
      </c>
      <c r="G19" s="67" t="e">
        <f t="shared" ca="1" si="7"/>
        <v>#NAME?</v>
      </c>
      <c r="H19" s="67" t="e">
        <f t="shared" ca="1" si="7"/>
        <v>#NAME?</v>
      </c>
      <c r="I19" s="67" t="e">
        <f t="shared" ca="1" si="7"/>
        <v>#NAME?</v>
      </c>
      <c r="J19" s="67" t="e">
        <f t="shared" ca="1" si="7"/>
        <v>#NAME?</v>
      </c>
      <c r="K19" s="67" t="e">
        <f t="shared" ca="1" si="7"/>
        <v>#NAME?</v>
      </c>
      <c r="L19" s="68" t="e">
        <f t="shared" ca="1" si="7"/>
        <v>#NAME?</v>
      </c>
      <c r="N19" s="36">
        <v>4</v>
      </c>
      <c r="O19" s="32">
        <v>-4.1000000000000003E-3</v>
      </c>
      <c r="P19" s="110">
        <f t="shared" si="4"/>
        <v>0.17391304347826086</v>
      </c>
    </row>
    <row r="20" spans="2:16" ht="14" x14ac:dyDescent="0.3">
      <c r="B20" s="70" t="s">
        <v>9</v>
      </c>
      <c r="C20" s="71" t="e">
        <f ca="1">MAX(C27*C19,0)</f>
        <v>#NAME?</v>
      </c>
      <c r="D20" s="71" t="e">
        <f t="shared" ref="D20:L20" ca="1" si="8">MAX(D27*D19,0)</f>
        <v>#NAME?</v>
      </c>
      <c r="E20" s="71" t="e">
        <f t="shared" ca="1" si="8"/>
        <v>#NAME?</v>
      </c>
      <c r="F20" s="71" t="e">
        <f t="shared" ca="1" si="8"/>
        <v>#NAME?</v>
      </c>
      <c r="G20" s="71" t="e">
        <f t="shared" ca="1" si="8"/>
        <v>#NAME?</v>
      </c>
      <c r="H20" s="71" t="e">
        <f t="shared" ca="1" si="8"/>
        <v>#NAME?</v>
      </c>
      <c r="I20" s="71" t="e">
        <f t="shared" ca="1" si="8"/>
        <v>#NAME?</v>
      </c>
      <c r="J20" s="71" t="e">
        <f t="shared" ca="1" si="8"/>
        <v>#NAME?</v>
      </c>
      <c r="K20" s="71" t="e">
        <f t="shared" ca="1" si="8"/>
        <v>#NAME?</v>
      </c>
      <c r="L20" s="72" t="e">
        <f t="shared" ca="1" si="8"/>
        <v>#NAME?</v>
      </c>
      <c r="N20" s="36">
        <v>5</v>
      </c>
      <c r="O20" s="32">
        <v>-3.3E-3</v>
      </c>
      <c r="P20" s="110">
        <f t="shared" si="4"/>
        <v>0.21739130434782608</v>
      </c>
    </row>
    <row r="21" spans="2:16" ht="14" x14ac:dyDescent="0.3">
      <c r="B21" s="69" t="s">
        <v>10</v>
      </c>
      <c r="C21" s="73" t="e">
        <f ca="1">C18-C20</f>
        <v>#NAME?</v>
      </c>
      <c r="D21" s="73" t="e">
        <f t="shared" ref="D21:L21" ca="1" si="9">D18-D20</f>
        <v>#NAME?</v>
      </c>
      <c r="E21" s="73" t="e">
        <f t="shared" ca="1" si="9"/>
        <v>#NAME?</v>
      </c>
      <c r="F21" s="73" t="e">
        <f t="shared" ca="1" si="9"/>
        <v>#NAME?</v>
      </c>
      <c r="G21" s="73" t="e">
        <f t="shared" ca="1" si="9"/>
        <v>#NAME?</v>
      </c>
      <c r="H21" s="73" t="e">
        <f t="shared" ca="1" si="9"/>
        <v>#NAME?</v>
      </c>
      <c r="I21" s="73" t="e">
        <f t="shared" ca="1" si="9"/>
        <v>#NAME?</v>
      </c>
      <c r="J21" s="73" t="e">
        <f t="shared" ca="1" si="9"/>
        <v>#NAME?</v>
      </c>
      <c r="K21" s="73" t="e">
        <f t="shared" ca="1" si="9"/>
        <v>#NAME?</v>
      </c>
      <c r="L21" s="74" t="e">
        <f t="shared" ca="1" si="9"/>
        <v>#NAME?</v>
      </c>
      <c r="N21" s="36">
        <v>6</v>
      </c>
      <c r="O21" s="32">
        <v>-3.2000000000000002E-3</v>
      </c>
      <c r="P21" s="110">
        <f t="shared" si="4"/>
        <v>0.2608695652173913</v>
      </c>
    </row>
    <row r="22" spans="2:16" ht="14" x14ac:dyDescent="0.3">
      <c r="B22" s="161" t="s">
        <v>11</v>
      </c>
      <c r="C22" s="162"/>
      <c r="D22" s="162"/>
      <c r="E22" s="162"/>
      <c r="F22" s="162"/>
      <c r="G22" s="162"/>
      <c r="H22" s="162"/>
      <c r="I22" s="162"/>
      <c r="J22" s="162"/>
      <c r="K22" s="162"/>
      <c r="L22" s="163"/>
      <c r="N22" s="36">
        <v>7</v>
      </c>
      <c r="O22" s="32">
        <v>-2.7000000000000001E-3</v>
      </c>
      <c r="P22" s="110">
        <f t="shared" si="4"/>
        <v>0.30434782608695654</v>
      </c>
    </row>
    <row r="23" spans="2:16" ht="14" x14ac:dyDescent="0.3">
      <c r="B23" s="164"/>
      <c r="C23" s="165"/>
      <c r="D23" s="165"/>
      <c r="E23" s="165"/>
      <c r="F23" s="165"/>
      <c r="G23" s="165"/>
      <c r="H23" s="165"/>
      <c r="I23" s="165"/>
      <c r="J23" s="165"/>
      <c r="K23" s="165"/>
      <c r="L23" s="166"/>
      <c r="N23" s="36">
        <v>8</v>
      </c>
      <c r="O23" s="32">
        <v>-2.5999999999999999E-3</v>
      </c>
      <c r="P23" s="110">
        <f t="shared" si="4"/>
        <v>0.34782608695652173</v>
      </c>
    </row>
    <row r="24" spans="2:16" s="7" customFormat="1" ht="14" x14ac:dyDescent="0.3">
      <c r="B24" s="50" t="s">
        <v>12</v>
      </c>
      <c r="C24" s="11"/>
      <c r="D24" s="12"/>
      <c r="E24" s="12">
        <v>0</v>
      </c>
      <c r="F24" s="21" t="e">
        <f ca="1">IF(E31&gt;8500,2,IF(E31&gt;3500,1,0))</f>
        <v>#NAME?</v>
      </c>
      <c r="G24" s="21" t="e">
        <f t="shared" ref="G24:L24" ca="1" si="10">IF(F31&gt;8500,2,IF(F31&gt;3500,1,0))</f>
        <v>#NAME?</v>
      </c>
      <c r="H24" s="21" t="e">
        <f t="shared" ca="1" si="10"/>
        <v>#NAME?</v>
      </c>
      <c r="I24" s="21" t="e">
        <f t="shared" ca="1" si="10"/>
        <v>#NAME?</v>
      </c>
      <c r="J24" s="21" t="e">
        <f t="shared" ca="1" si="10"/>
        <v>#NAME?</v>
      </c>
      <c r="K24" s="21" t="e">
        <f t="shared" ca="1" si="10"/>
        <v>#NAME?</v>
      </c>
      <c r="L24" s="75" t="e">
        <f t="shared" ca="1" si="10"/>
        <v>#NAME?</v>
      </c>
      <c r="N24" s="36">
        <v>9</v>
      </c>
      <c r="O24" s="32">
        <v>-2E-3</v>
      </c>
      <c r="P24" s="110">
        <f t="shared" si="4"/>
        <v>0.39130434782608697</v>
      </c>
    </row>
    <row r="25" spans="2:16" s="7" customFormat="1" ht="14" x14ac:dyDescent="0.3">
      <c r="B25" s="50" t="s">
        <v>13</v>
      </c>
      <c r="C25" s="11"/>
      <c r="D25" s="12"/>
      <c r="E25" s="42" t="e">
        <f ca="1">_xll.RiskCollect()+_xll.RiskPert(22.75,23.25,24.5)</f>
        <v>#NAME?</v>
      </c>
      <c r="F25" s="13" t="e">
        <f ca="1">E25*(1+F26)</f>
        <v>#NAME?</v>
      </c>
      <c r="G25" s="13" t="e">
        <f t="shared" ref="G25:L25" ca="1" si="11">F25*(1+G26)</f>
        <v>#NAME?</v>
      </c>
      <c r="H25" s="13" t="e">
        <f t="shared" ca="1" si="11"/>
        <v>#NAME?</v>
      </c>
      <c r="I25" s="13" t="e">
        <f t="shared" ca="1" si="11"/>
        <v>#NAME?</v>
      </c>
      <c r="J25" s="13" t="e">
        <f t="shared" ca="1" si="11"/>
        <v>#NAME?</v>
      </c>
      <c r="K25" s="13" t="e">
        <f t="shared" ca="1" si="11"/>
        <v>#NAME?</v>
      </c>
      <c r="L25" s="98" t="e">
        <f t="shared" ca="1" si="11"/>
        <v>#NAME?</v>
      </c>
      <c r="N25" s="36">
        <v>10</v>
      </c>
      <c r="O25" s="32">
        <v>-1.6000000000000001E-3</v>
      </c>
      <c r="P25" s="110">
        <f t="shared" si="4"/>
        <v>0.43478260869565216</v>
      </c>
    </row>
    <row r="26" spans="2:16" s="7" customFormat="1" ht="14" x14ac:dyDescent="0.3">
      <c r="B26" s="50" t="s">
        <v>14</v>
      </c>
      <c r="C26" s="14"/>
      <c r="D26" s="15"/>
      <c r="E26" s="15"/>
      <c r="F26" s="43" t="e">
        <f ca="1">_xll.RiskPert(3%,4%,6%)</f>
        <v>#NAME?</v>
      </c>
      <c r="G26" s="43" t="e">
        <f ca="1">_xll.RiskCumul($O$11,$O$12,$O$16:$O$37,$P$16:$P$37)+F26</f>
        <v>#NAME?</v>
      </c>
      <c r="H26" s="43" t="e">
        <f ca="1">_xll.RiskCumul($O$11,$O$12,$O$16:$O$37,$P$16:$P$37)+G26</f>
        <v>#NAME?</v>
      </c>
      <c r="I26" s="43" t="e">
        <f ca="1">_xll.RiskCumul($O$11,$O$12,$O$16:$O$37,$P$16:$P$37)+H26</f>
        <v>#NAME?</v>
      </c>
      <c r="J26" s="43" t="e">
        <f ca="1">_xll.RiskCumul($O$11,$O$12,$O$16:$O$37,$P$16:$P$37)+I26</f>
        <v>#NAME?</v>
      </c>
      <c r="K26" s="43" t="e">
        <f ca="1">_xll.RiskCumul($O$11,$O$12,$O$16:$O$37,$P$16:$P$37)+J26</f>
        <v>#NAME?</v>
      </c>
      <c r="L26" s="99" t="e">
        <f ca="1">_xll.RiskCumul($O$11,$O$12,$O$16:$O$37,$P$16:$P$37)+K26</f>
        <v>#NAME?</v>
      </c>
      <c r="M26" s="27"/>
      <c r="N26" s="36">
        <v>11</v>
      </c>
      <c r="O26" s="32">
        <v>-1.2999999999999999E-3</v>
      </c>
      <c r="P26" s="110">
        <f t="shared" si="4"/>
        <v>0.47826086956521741</v>
      </c>
    </row>
    <row r="27" spans="2:16" s="7" customFormat="1" ht="14" x14ac:dyDescent="0.3">
      <c r="B27" s="100" t="s">
        <v>15</v>
      </c>
      <c r="C27" s="16">
        <v>0.46</v>
      </c>
      <c r="D27" s="17">
        <v>0.46</v>
      </c>
      <c r="E27" s="17">
        <v>0.46</v>
      </c>
      <c r="F27" s="17">
        <v>0.46</v>
      </c>
      <c r="G27" s="44" t="e">
        <f ca="1">IF(conservatives=1,_xll.RiskPert(32%,35%,46%),46%)</f>
        <v>#NAME?</v>
      </c>
      <c r="H27" s="17" t="e">
        <f ca="1">G27</f>
        <v>#NAME?</v>
      </c>
      <c r="I27" s="17" t="e">
        <f ca="1">H27</f>
        <v>#NAME?</v>
      </c>
      <c r="J27" s="17" t="e">
        <f ca="1">I27</f>
        <v>#NAME?</v>
      </c>
      <c r="K27" s="17" t="e">
        <f ca="1">J27</f>
        <v>#NAME?</v>
      </c>
      <c r="L27" s="101" t="e">
        <f ca="1">K27</f>
        <v>#NAME?</v>
      </c>
      <c r="M27" s="45"/>
      <c r="N27" s="36">
        <v>12</v>
      </c>
      <c r="O27" s="32">
        <v>-8.9999999999999998E-4</v>
      </c>
      <c r="P27" s="110">
        <f t="shared" si="4"/>
        <v>0.52173913043478259</v>
      </c>
    </row>
    <row r="28" spans="2:16" ht="14" x14ac:dyDescent="0.3">
      <c r="B28" s="161" t="s">
        <v>16</v>
      </c>
      <c r="C28" s="162"/>
      <c r="D28" s="162"/>
      <c r="E28" s="162"/>
      <c r="F28" s="162"/>
      <c r="G28" s="162"/>
      <c r="H28" s="162"/>
      <c r="I28" s="162"/>
      <c r="J28" s="162"/>
      <c r="K28" s="162"/>
      <c r="L28" s="163"/>
      <c r="N28" s="36">
        <v>13</v>
      </c>
      <c r="O28" s="32">
        <v>-5.9999999999999995E-4</v>
      </c>
      <c r="P28" s="110">
        <f t="shared" si="4"/>
        <v>0.56521739130434778</v>
      </c>
    </row>
    <row r="29" spans="2:16" ht="14" x14ac:dyDescent="0.3">
      <c r="B29" s="164"/>
      <c r="C29" s="165"/>
      <c r="D29" s="165"/>
      <c r="E29" s="165"/>
      <c r="F29" s="165"/>
      <c r="G29" s="165"/>
      <c r="H29" s="165"/>
      <c r="I29" s="165"/>
      <c r="J29" s="165"/>
      <c r="K29" s="165"/>
      <c r="L29" s="166"/>
      <c r="N29" s="36">
        <v>14</v>
      </c>
      <c r="O29" s="32">
        <v>2.9999999999999997E-4</v>
      </c>
      <c r="P29" s="110">
        <f t="shared" si="4"/>
        <v>0.60869565217391308</v>
      </c>
    </row>
    <row r="30" spans="2:16" s="7" customFormat="1" ht="14" x14ac:dyDescent="0.3">
      <c r="B30" s="80" t="s">
        <v>17</v>
      </c>
      <c r="C30" s="18"/>
      <c r="D30" s="19"/>
      <c r="E30" s="46" t="e">
        <f ca="1">_xll.RiskCollect()+_xll.RiskPert(45,58,65)</f>
        <v>#NAME?</v>
      </c>
      <c r="F30" s="19" t="e">
        <f ca="1">E30*(1+F26)</f>
        <v>#NAME?</v>
      </c>
      <c r="G30" s="19" t="e">
        <f t="shared" ref="G30:L30" ca="1" si="12">F30*(1+G26)</f>
        <v>#NAME?</v>
      </c>
      <c r="H30" s="19" t="e">
        <f t="shared" ca="1" si="12"/>
        <v>#NAME?</v>
      </c>
      <c r="I30" s="19" t="e">
        <f t="shared" ca="1" si="12"/>
        <v>#NAME?</v>
      </c>
      <c r="J30" s="19" t="e">
        <f t="shared" ca="1" si="12"/>
        <v>#NAME?</v>
      </c>
      <c r="K30" s="19" t="e">
        <f t="shared" ca="1" si="12"/>
        <v>#NAME?</v>
      </c>
      <c r="L30" s="102" t="e">
        <f t="shared" ca="1" si="12"/>
        <v>#NAME?</v>
      </c>
      <c r="N30" s="36">
        <v>15</v>
      </c>
      <c r="O30" s="32">
        <v>1.5E-3</v>
      </c>
      <c r="P30" s="110">
        <f t="shared" si="4"/>
        <v>0.65217391304347827</v>
      </c>
    </row>
    <row r="31" spans="2:16" s="7" customFormat="1" ht="14" x14ac:dyDescent="0.3">
      <c r="B31" s="80" t="s">
        <v>24</v>
      </c>
      <c r="C31" s="18"/>
      <c r="D31" s="19"/>
      <c r="E31" s="47" t="e">
        <f ca="1">_xll.RiskCollect()+_xll.RiskPert(2500,3000,5000)</f>
        <v>#NAME?</v>
      </c>
      <c r="F31" s="25" t="e">
        <f ca="1">MIN(20000,E31*(1+growth))</f>
        <v>#NAME?</v>
      </c>
      <c r="G31" s="25" t="e">
        <f t="shared" ref="G31:L31" ca="1" si="13">MIN(20000,F31*(1+growth))</f>
        <v>#NAME?</v>
      </c>
      <c r="H31" s="25" t="e">
        <f t="shared" ca="1" si="13"/>
        <v>#NAME?</v>
      </c>
      <c r="I31" s="25" t="e">
        <f t="shared" ca="1" si="13"/>
        <v>#NAME?</v>
      </c>
      <c r="J31" s="25" t="e">
        <f t="shared" ca="1" si="13"/>
        <v>#NAME?</v>
      </c>
      <c r="K31" s="25" t="e">
        <f t="shared" ca="1" si="13"/>
        <v>#NAME?</v>
      </c>
      <c r="L31" s="103" t="e">
        <f t="shared" ca="1" si="13"/>
        <v>#NAME?</v>
      </c>
      <c r="N31" s="36">
        <v>16</v>
      </c>
      <c r="O31" s="32">
        <v>1.9E-3</v>
      </c>
      <c r="P31" s="110">
        <f t="shared" si="4"/>
        <v>0.69565217391304346</v>
      </c>
    </row>
    <row r="32" spans="2:16" s="7" customFormat="1" ht="14" x14ac:dyDescent="0.3">
      <c r="B32" s="104" t="s">
        <v>18</v>
      </c>
      <c r="C32" s="22"/>
      <c r="D32" s="23"/>
      <c r="E32" s="26" t="e">
        <f ca="1">E31/(AVERAGE(C24:E24)+1)</f>
        <v>#NAME?</v>
      </c>
      <c r="F32" s="26" t="e">
        <f t="shared" ref="F32:L32" ca="1" si="14">F31/(AVERAGE(D24:F24)+1)</f>
        <v>#NAME?</v>
      </c>
      <c r="G32" s="26" t="e">
        <f t="shared" ca="1" si="14"/>
        <v>#NAME?</v>
      </c>
      <c r="H32" s="26" t="e">
        <f t="shared" ca="1" si="14"/>
        <v>#NAME?</v>
      </c>
      <c r="I32" s="26" t="e">
        <f t="shared" ca="1" si="14"/>
        <v>#NAME?</v>
      </c>
      <c r="J32" s="26" t="e">
        <f t="shared" ca="1" si="14"/>
        <v>#NAME?</v>
      </c>
      <c r="K32" s="26" t="e">
        <f t="shared" ca="1" si="14"/>
        <v>#NAME?</v>
      </c>
      <c r="L32" s="105" t="e">
        <f t="shared" ca="1" si="14"/>
        <v>#NAME?</v>
      </c>
      <c r="N32" s="36">
        <v>17</v>
      </c>
      <c r="O32" s="32">
        <v>2.5000000000000001E-3</v>
      </c>
      <c r="P32" s="110">
        <f t="shared" si="4"/>
        <v>0.73913043478260865</v>
      </c>
    </row>
    <row r="33" spans="2:16" ht="14" x14ac:dyDescent="0.3">
      <c r="B33" s="161" t="s">
        <v>19</v>
      </c>
      <c r="C33" s="162"/>
      <c r="D33" s="162"/>
      <c r="E33" s="162"/>
      <c r="F33" s="162"/>
      <c r="G33" s="162"/>
      <c r="H33" s="162"/>
      <c r="I33" s="162"/>
      <c r="J33" s="162"/>
      <c r="K33" s="162"/>
      <c r="L33" s="163"/>
      <c r="N33" s="36">
        <v>18</v>
      </c>
      <c r="O33" s="32">
        <v>2.8999999999999998E-3</v>
      </c>
      <c r="P33" s="110">
        <f t="shared" si="4"/>
        <v>0.78260869565217395</v>
      </c>
    </row>
    <row r="34" spans="2:16" ht="14" x14ac:dyDescent="0.3">
      <c r="B34" s="164"/>
      <c r="C34" s="165"/>
      <c r="D34" s="165"/>
      <c r="E34" s="165"/>
      <c r="F34" s="165"/>
      <c r="G34" s="165"/>
      <c r="H34" s="165"/>
      <c r="I34" s="165"/>
      <c r="J34" s="165"/>
      <c r="K34" s="165"/>
      <c r="L34" s="166"/>
      <c r="N34" s="36">
        <v>19</v>
      </c>
      <c r="O34" s="32">
        <v>3.0999999999999999E-3</v>
      </c>
      <c r="P34" s="110">
        <f t="shared" si="4"/>
        <v>0.82608695652173914</v>
      </c>
    </row>
    <row r="35" spans="2:16" s="7" customFormat="1" ht="14" x14ac:dyDescent="0.3">
      <c r="B35" s="84" t="s">
        <v>20</v>
      </c>
      <c r="C35" s="67" t="e">
        <f ca="1">5/8*combined</f>
        <v>#NAME?</v>
      </c>
      <c r="D35" s="85" t="e">
        <f ca="1">2/8*combined</f>
        <v>#NAME?</v>
      </c>
      <c r="E35" s="85" t="e">
        <f ca="1">combined/8</f>
        <v>#NAME?</v>
      </c>
      <c r="F35" s="85">
        <v>0</v>
      </c>
      <c r="G35" s="85">
        <v>0</v>
      </c>
      <c r="H35" s="85">
        <v>0</v>
      </c>
      <c r="I35" s="85">
        <v>0</v>
      </c>
      <c r="J35" s="85">
        <v>0</v>
      </c>
      <c r="K35" s="85">
        <v>0</v>
      </c>
      <c r="L35" s="106">
        <v>0</v>
      </c>
      <c r="N35" s="36">
        <v>20</v>
      </c>
      <c r="O35" s="32">
        <v>4.3E-3</v>
      </c>
      <c r="P35" s="110">
        <f t="shared" si="4"/>
        <v>0.86956521739130432</v>
      </c>
    </row>
    <row r="36" spans="2:16" s="7" customFormat="1" ht="14" x14ac:dyDescent="0.3">
      <c r="B36" s="84" t="s">
        <v>21</v>
      </c>
      <c r="C36" s="67">
        <v>125000</v>
      </c>
      <c r="D36" s="85">
        <v>145000</v>
      </c>
      <c r="E36" s="85">
        <v>55000</v>
      </c>
      <c r="F36" s="67">
        <v>35000</v>
      </c>
      <c r="G36" s="67">
        <v>0</v>
      </c>
      <c r="H36" s="67">
        <v>0</v>
      </c>
      <c r="I36" s="67">
        <v>0</v>
      </c>
      <c r="J36" s="67">
        <v>0</v>
      </c>
      <c r="K36" s="67">
        <v>0</v>
      </c>
      <c r="L36" s="106">
        <v>0</v>
      </c>
      <c r="N36" s="36">
        <v>21</v>
      </c>
      <c r="O36" s="32">
        <v>6.3E-3</v>
      </c>
      <c r="P36" s="110">
        <f t="shared" si="4"/>
        <v>0.91304347826086951</v>
      </c>
    </row>
    <row r="37" spans="2:16" s="7" customFormat="1" ht="14" x14ac:dyDescent="0.3">
      <c r="B37" s="87" t="s">
        <v>22</v>
      </c>
      <c r="C37" s="71">
        <v>0</v>
      </c>
      <c r="D37" s="88">
        <v>10000</v>
      </c>
      <c r="E37" s="88">
        <v>20000</v>
      </c>
      <c r="F37" s="88">
        <v>20000</v>
      </c>
      <c r="G37" s="88">
        <v>20000</v>
      </c>
      <c r="H37" s="88">
        <v>20000</v>
      </c>
      <c r="I37" s="88">
        <v>20000</v>
      </c>
      <c r="J37" s="88">
        <v>25000</v>
      </c>
      <c r="K37" s="88">
        <v>25000</v>
      </c>
      <c r="L37" s="89">
        <v>25000</v>
      </c>
      <c r="N37" s="37">
        <v>22</v>
      </c>
      <c r="O37" s="33">
        <v>7.1999999999999998E-3</v>
      </c>
      <c r="P37" s="111">
        <f t="shared" si="4"/>
        <v>0.95652173913043481</v>
      </c>
    </row>
    <row r="38" spans="2:16" ht="13" thickBot="1" x14ac:dyDescent="0.3">
      <c r="B38" s="90" t="s">
        <v>23</v>
      </c>
      <c r="C38" s="91" t="e">
        <f ca="1">SUM(C35:C37)</f>
        <v>#NAME?</v>
      </c>
      <c r="D38" s="91" t="e">
        <f t="shared" ref="D38:L38" ca="1" si="15">SUM(D35:D37)</f>
        <v>#NAME?</v>
      </c>
      <c r="E38" s="91" t="e">
        <f t="shared" ca="1" si="15"/>
        <v>#NAME?</v>
      </c>
      <c r="F38" s="91">
        <f t="shared" si="15"/>
        <v>55000</v>
      </c>
      <c r="G38" s="91">
        <f t="shared" si="15"/>
        <v>20000</v>
      </c>
      <c r="H38" s="91">
        <f t="shared" si="15"/>
        <v>20000</v>
      </c>
      <c r="I38" s="91">
        <f t="shared" si="15"/>
        <v>20000</v>
      </c>
      <c r="J38" s="91">
        <f t="shared" si="15"/>
        <v>25000</v>
      </c>
      <c r="K38" s="91">
        <f t="shared" si="15"/>
        <v>25000</v>
      </c>
      <c r="L38" s="92">
        <f t="shared" si="15"/>
        <v>25000</v>
      </c>
    </row>
    <row r="39" spans="2:16" x14ac:dyDescent="0.25">
      <c r="B39" s="8"/>
      <c r="C39" s="6"/>
      <c r="D39" s="3"/>
      <c r="E39" s="3"/>
      <c r="F39" s="3"/>
      <c r="G39" s="3"/>
      <c r="H39" s="3"/>
      <c r="I39" s="3"/>
      <c r="J39" s="3"/>
      <c r="K39" s="3"/>
      <c r="L39" s="3"/>
    </row>
    <row r="40" spans="2:16" x14ac:dyDescent="0.25">
      <c r="B40" s="112" t="s">
        <v>25</v>
      </c>
      <c r="C40" s="113" t="e">
        <f ca="1">_xll.RiskPert(70,80,120)*1000</f>
        <v>#NAME?</v>
      </c>
      <c r="D40" s="112" t="s">
        <v>44</v>
      </c>
      <c r="E40" s="119" t="e">
        <f ca="1">_xll.RiskPert(6%,10%,25%)</f>
        <v>#NAME?</v>
      </c>
      <c r="F40" s="28"/>
      <c r="G40" s="3"/>
      <c r="H40" s="3"/>
      <c r="I40" s="3"/>
      <c r="J40" s="3"/>
      <c r="K40" s="3"/>
      <c r="L40" s="3"/>
    </row>
    <row r="41" spans="2:16" ht="13.5" x14ac:dyDescent="0.35">
      <c r="B41" s="114" t="s">
        <v>26</v>
      </c>
      <c r="C41" s="115" t="e">
        <f ca="1">_xll.RiskPert(70,100,140)*1000</f>
        <v>#NAME?</v>
      </c>
      <c r="D41" s="120" t="s">
        <v>47</v>
      </c>
      <c r="E41" s="121">
        <v>0.02</v>
      </c>
      <c r="F41" s="3"/>
      <c r="G41" s="3"/>
      <c r="H41" s="3"/>
      <c r="I41" s="3"/>
      <c r="J41" s="3"/>
      <c r="K41" s="3"/>
      <c r="L41" s="3"/>
    </row>
    <row r="42" spans="2:16" ht="13.5" x14ac:dyDescent="0.35">
      <c r="B42" s="114" t="s">
        <v>27</v>
      </c>
      <c r="C42" s="115" t="e">
        <f ca="1">_xll.RiskCollect()+_xll.RiskDuniform(C40:C41)</f>
        <v>#NAME?</v>
      </c>
      <c r="D42" s="122" t="s">
        <v>48</v>
      </c>
      <c r="E42" s="123">
        <f>LN(1+rf)</f>
        <v>1.980262729617973E-2</v>
      </c>
      <c r="F42" s="3"/>
      <c r="G42" s="3"/>
      <c r="H42" s="3"/>
      <c r="I42" s="3"/>
      <c r="J42" s="3"/>
      <c r="K42" s="3"/>
      <c r="L42" s="3"/>
    </row>
    <row r="43" spans="2:16" x14ac:dyDescent="0.25">
      <c r="B43" s="114" t="s">
        <v>28</v>
      </c>
      <c r="C43" s="116" t="e">
        <f ca="1">_xll.RiskCollect()+_xll.RiskBinomial(1,20%)</f>
        <v>#NAME?</v>
      </c>
      <c r="D43" s="3"/>
      <c r="E43" s="3"/>
      <c r="F43" s="3"/>
      <c r="G43" s="3"/>
      <c r="H43" s="3"/>
      <c r="I43" s="3"/>
      <c r="J43" s="3"/>
      <c r="K43" s="3"/>
      <c r="L43" s="3"/>
    </row>
    <row r="44" spans="2:16" x14ac:dyDescent="0.25">
      <c r="B44" s="117" t="s">
        <v>29</v>
      </c>
      <c r="C44" s="118" t="e">
        <f ca="1">_xll.RiskCollect()+_xll.RiskPert(10%,20%,40%)</f>
        <v>#NAME?</v>
      </c>
      <c r="D44" s="124" t="s">
        <v>45</v>
      </c>
      <c r="E44" s="125" t="e">
        <f ca="1">NPV(0.02,F57:L57)+E57</f>
        <v>#NAME?</v>
      </c>
      <c r="F44" s="3"/>
      <c r="G44" s="3"/>
      <c r="H44" s="3"/>
      <c r="I44" s="3"/>
      <c r="J44" s="3"/>
      <c r="K44" s="3"/>
      <c r="L44" s="3"/>
    </row>
    <row r="45" spans="2:16" x14ac:dyDescent="0.25">
      <c r="B45" s="8"/>
      <c r="C45" s="6"/>
      <c r="D45" s="3"/>
      <c r="E45" s="3"/>
      <c r="F45" s="3"/>
      <c r="G45" s="3"/>
      <c r="H45" s="3"/>
      <c r="I45" s="3"/>
      <c r="J45" s="3"/>
      <c r="K45" s="3"/>
      <c r="L45" s="3"/>
    </row>
    <row r="46" spans="2:16" ht="13" thickBot="1" x14ac:dyDescent="0.3">
      <c r="B46" s="4" t="s">
        <v>42</v>
      </c>
      <c r="C46" s="6"/>
      <c r="D46" s="3"/>
      <c r="E46" s="3"/>
      <c r="F46" s="3"/>
      <c r="G46" s="3"/>
      <c r="H46" s="3"/>
      <c r="I46" s="3"/>
      <c r="J46" s="3"/>
      <c r="K46" s="3"/>
      <c r="L46" s="3"/>
    </row>
    <row r="47" spans="2:16" ht="13.5" thickBot="1" x14ac:dyDescent="0.35">
      <c r="B47" s="95" t="s">
        <v>1</v>
      </c>
      <c r="C47" s="96">
        <f ca="1">YEAR(TODAY())+1</f>
        <v>2018</v>
      </c>
      <c r="D47" s="96">
        <f t="shared" ref="D47:L47" ca="1" si="16">C47+1</f>
        <v>2019</v>
      </c>
      <c r="E47" s="96">
        <f t="shared" ca="1" si="16"/>
        <v>2020</v>
      </c>
      <c r="F47" s="96">
        <f t="shared" ca="1" si="16"/>
        <v>2021</v>
      </c>
      <c r="G47" s="96">
        <f t="shared" ca="1" si="16"/>
        <v>2022</v>
      </c>
      <c r="H47" s="96">
        <f t="shared" ca="1" si="16"/>
        <v>2023</v>
      </c>
      <c r="I47" s="96">
        <f t="shared" ca="1" si="16"/>
        <v>2024</v>
      </c>
      <c r="J47" s="96">
        <f t="shared" ca="1" si="16"/>
        <v>2025</v>
      </c>
      <c r="K47" s="96">
        <f t="shared" ca="1" si="16"/>
        <v>2026</v>
      </c>
      <c r="L47" s="97">
        <f t="shared" ca="1" si="16"/>
        <v>2027</v>
      </c>
    </row>
    <row r="48" spans="2:16" ht="13" thickTop="1" x14ac:dyDescent="0.25">
      <c r="B48" s="161" t="s">
        <v>2</v>
      </c>
      <c r="C48" s="162"/>
      <c r="D48" s="162"/>
      <c r="E48" s="162"/>
      <c r="F48" s="162"/>
      <c r="G48" s="162"/>
      <c r="H48" s="162"/>
      <c r="I48" s="162"/>
      <c r="J48" s="162"/>
      <c r="K48" s="162"/>
      <c r="L48" s="163"/>
    </row>
    <row r="49" spans="2:12" x14ac:dyDescent="0.25">
      <c r="B49" s="164"/>
      <c r="C49" s="165"/>
      <c r="D49" s="165"/>
      <c r="E49" s="165"/>
      <c r="F49" s="165"/>
      <c r="G49" s="165"/>
      <c r="H49" s="165"/>
      <c r="I49" s="165"/>
      <c r="J49" s="165"/>
      <c r="K49" s="165"/>
      <c r="L49" s="166"/>
    </row>
    <row r="50" spans="2:12" x14ac:dyDescent="0.25">
      <c r="B50" s="66" t="s">
        <v>3</v>
      </c>
      <c r="C50" s="67">
        <f>C66*C68</f>
        <v>0</v>
      </c>
      <c r="D50" s="67">
        <f t="shared" ref="D50:L50" si="17">D66*D68</f>
        <v>0</v>
      </c>
      <c r="E50" s="67" t="e">
        <f t="shared" ca="1" si="17"/>
        <v>#NAME?</v>
      </c>
      <c r="F50" s="67" t="e">
        <f t="shared" ca="1" si="17"/>
        <v>#NAME?</v>
      </c>
      <c r="G50" s="67" t="e">
        <f t="shared" ca="1" si="17"/>
        <v>#NAME?</v>
      </c>
      <c r="H50" s="67" t="e">
        <f t="shared" ca="1" si="17"/>
        <v>#NAME?</v>
      </c>
      <c r="I50" s="67" t="e">
        <f t="shared" ca="1" si="17"/>
        <v>#NAME?</v>
      </c>
      <c r="J50" s="67" t="e">
        <f t="shared" ca="1" si="17"/>
        <v>#NAME?</v>
      </c>
      <c r="K50" s="67" t="e">
        <f t="shared" ca="1" si="17"/>
        <v>#NAME?</v>
      </c>
      <c r="L50" s="68" t="e">
        <f t="shared" ca="1" si="17"/>
        <v>#NAME?</v>
      </c>
    </row>
    <row r="51" spans="2:12" x14ac:dyDescent="0.25">
      <c r="B51" s="66" t="s">
        <v>4</v>
      </c>
      <c r="C51" s="67">
        <f>C61*C68</f>
        <v>0</v>
      </c>
      <c r="D51" s="67">
        <f t="shared" ref="D51:L51" si="18">D61*D68</f>
        <v>0</v>
      </c>
      <c r="E51" s="67" t="e">
        <f t="shared" ca="1" si="18"/>
        <v>#NAME?</v>
      </c>
      <c r="F51" s="67" t="e">
        <f t="shared" ca="1" si="18"/>
        <v>#NAME?</v>
      </c>
      <c r="G51" s="67" t="e">
        <f t="shared" ca="1" si="18"/>
        <v>#NAME?</v>
      </c>
      <c r="H51" s="67" t="e">
        <f t="shared" ca="1" si="18"/>
        <v>#NAME?</v>
      </c>
      <c r="I51" s="67" t="e">
        <f t="shared" ca="1" si="18"/>
        <v>#NAME?</v>
      </c>
      <c r="J51" s="67" t="e">
        <f t="shared" ca="1" si="18"/>
        <v>#NAME?</v>
      </c>
      <c r="K51" s="67" t="e">
        <f t="shared" ca="1" si="18"/>
        <v>#NAME?</v>
      </c>
      <c r="L51" s="68" t="e">
        <f t="shared" ca="1" si="18"/>
        <v>#NAME?</v>
      </c>
    </row>
    <row r="52" spans="2:12" x14ac:dyDescent="0.25">
      <c r="B52" s="66" t="s">
        <v>5</v>
      </c>
      <c r="C52" s="67">
        <f t="shared" ref="C52:L52" si="19">C50-C51</f>
        <v>0</v>
      </c>
      <c r="D52" s="67">
        <f t="shared" si="19"/>
        <v>0</v>
      </c>
      <c r="E52" s="67" t="e">
        <f t="shared" ca="1" si="19"/>
        <v>#NAME?</v>
      </c>
      <c r="F52" s="67" t="e">
        <f t="shared" ca="1" si="19"/>
        <v>#NAME?</v>
      </c>
      <c r="G52" s="67" t="e">
        <f t="shared" ca="1" si="19"/>
        <v>#NAME?</v>
      </c>
      <c r="H52" s="67" t="e">
        <f t="shared" ca="1" si="19"/>
        <v>#NAME?</v>
      </c>
      <c r="I52" s="67" t="e">
        <f t="shared" ca="1" si="19"/>
        <v>#NAME?</v>
      </c>
      <c r="J52" s="67" t="e">
        <f t="shared" ca="1" si="19"/>
        <v>#NAME?</v>
      </c>
      <c r="K52" s="67" t="e">
        <f t="shared" ca="1" si="19"/>
        <v>#NAME?</v>
      </c>
      <c r="L52" s="68" t="e">
        <f t="shared" ca="1" si="19"/>
        <v>#NAME?</v>
      </c>
    </row>
    <row r="53" spans="2:12" x14ac:dyDescent="0.25">
      <c r="B53" s="66" t="s">
        <v>6</v>
      </c>
      <c r="C53" s="67">
        <f>C74</f>
        <v>0</v>
      </c>
      <c r="D53" s="67">
        <f t="shared" ref="D53:L53" si="20">D74</f>
        <v>0</v>
      </c>
      <c r="E53" s="67">
        <f t="shared" si="20"/>
        <v>0</v>
      </c>
      <c r="F53" s="67">
        <f t="shared" si="20"/>
        <v>0</v>
      </c>
      <c r="G53" s="67">
        <f t="shared" si="20"/>
        <v>0</v>
      </c>
      <c r="H53" s="67">
        <f t="shared" si="20"/>
        <v>0</v>
      </c>
      <c r="I53" s="67">
        <f t="shared" si="20"/>
        <v>0</v>
      </c>
      <c r="J53" s="67">
        <f t="shared" si="20"/>
        <v>0</v>
      </c>
      <c r="K53" s="67">
        <f t="shared" si="20"/>
        <v>0</v>
      </c>
      <c r="L53" s="68">
        <f t="shared" si="20"/>
        <v>0</v>
      </c>
    </row>
    <row r="54" spans="2:12" x14ac:dyDescent="0.25">
      <c r="B54" s="69" t="s">
        <v>7</v>
      </c>
      <c r="C54" s="67">
        <f t="shared" ref="C54:L54" si="21">C52-C53</f>
        <v>0</v>
      </c>
      <c r="D54" s="67">
        <f t="shared" si="21"/>
        <v>0</v>
      </c>
      <c r="E54" s="67" t="e">
        <f t="shared" ca="1" si="21"/>
        <v>#NAME?</v>
      </c>
      <c r="F54" s="67" t="e">
        <f t="shared" ca="1" si="21"/>
        <v>#NAME?</v>
      </c>
      <c r="G54" s="67" t="e">
        <f t="shared" ca="1" si="21"/>
        <v>#NAME?</v>
      </c>
      <c r="H54" s="67" t="e">
        <f t="shared" ca="1" si="21"/>
        <v>#NAME?</v>
      </c>
      <c r="I54" s="67" t="e">
        <f t="shared" ca="1" si="21"/>
        <v>#NAME?</v>
      </c>
      <c r="J54" s="67" t="e">
        <f t="shared" ca="1" si="21"/>
        <v>#NAME?</v>
      </c>
      <c r="K54" s="67" t="e">
        <f t="shared" ca="1" si="21"/>
        <v>#NAME?</v>
      </c>
      <c r="L54" s="68" t="e">
        <f t="shared" ca="1" si="21"/>
        <v>#NAME?</v>
      </c>
    </row>
    <row r="55" spans="2:12" x14ac:dyDescent="0.25">
      <c r="B55" s="69" t="s">
        <v>8</v>
      </c>
      <c r="C55" s="67">
        <f>C54</f>
        <v>0</v>
      </c>
      <c r="D55" s="67">
        <f t="shared" ref="D55:L55" si="22">C55+D54-MAX((C56/C63),0)</f>
        <v>0</v>
      </c>
      <c r="E55" s="67" t="e">
        <f t="shared" ca="1" si="22"/>
        <v>#NAME?</v>
      </c>
      <c r="F55" s="67" t="e">
        <f t="shared" ca="1" si="22"/>
        <v>#NAME?</v>
      </c>
      <c r="G55" s="67" t="e">
        <f t="shared" ca="1" si="22"/>
        <v>#NAME?</v>
      </c>
      <c r="H55" s="67" t="e">
        <f t="shared" ca="1" si="22"/>
        <v>#NAME?</v>
      </c>
      <c r="I55" s="67" t="e">
        <f t="shared" ca="1" si="22"/>
        <v>#NAME?</v>
      </c>
      <c r="J55" s="67" t="e">
        <f t="shared" ca="1" si="22"/>
        <v>#NAME?</v>
      </c>
      <c r="K55" s="67" t="e">
        <f t="shared" ca="1" si="22"/>
        <v>#NAME?</v>
      </c>
      <c r="L55" s="68" t="e">
        <f t="shared" ca="1" si="22"/>
        <v>#NAME?</v>
      </c>
    </row>
    <row r="56" spans="2:12" x14ac:dyDescent="0.25">
      <c r="B56" s="70" t="s">
        <v>9</v>
      </c>
      <c r="C56" s="71">
        <f t="shared" ref="C56:L56" si="23">MAX(C63*C55,0)</f>
        <v>0</v>
      </c>
      <c r="D56" s="71">
        <f t="shared" si="23"/>
        <v>0</v>
      </c>
      <c r="E56" s="71" t="e">
        <f t="shared" ca="1" si="23"/>
        <v>#NAME?</v>
      </c>
      <c r="F56" s="71" t="e">
        <f t="shared" ca="1" si="23"/>
        <v>#NAME?</v>
      </c>
      <c r="G56" s="71" t="e">
        <f t="shared" ca="1" si="23"/>
        <v>#NAME?</v>
      </c>
      <c r="H56" s="71" t="e">
        <f t="shared" ca="1" si="23"/>
        <v>#NAME?</v>
      </c>
      <c r="I56" s="71" t="e">
        <f t="shared" ca="1" si="23"/>
        <v>#NAME?</v>
      </c>
      <c r="J56" s="71" t="e">
        <f t="shared" ca="1" si="23"/>
        <v>#NAME?</v>
      </c>
      <c r="K56" s="71" t="e">
        <f t="shared" ca="1" si="23"/>
        <v>#NAME?</v>
      </c>
      <c r="L56" s="72" t="e">
        <f t="shared" ca="1" si="23"/>
        <v>#NAME?</v>
      </c>
    </row>
    <row r="57" spans="2:12" x14ac:dyDescent="0.25">
      <c r="B57" s="69" t="s">
        <v>10</v>
      </c>
      <c r="C57" s="73">
        <f t="shared" ref="C57:L57" si="24">C54-C56</f>
        <v>0</v>
      </c>
      <c r="D57" s="73">
        <f t="shared" si="24"/>
        <v>0</v>
      </c>
      <c r="E57" s="73" t="e">
        <f t="shared" ca="1" si="24"/>
        <v>#NAME?</v>
      </c>
      <c r="F57" s="73" t="e">
        <f t="shared" ca="1" si="24"/>
        <v>#NAME?</v>
      </c>
      <c r="G57" s="73" t="e">
        <f t="shared" ca="1" si="24"/>
        <v>#NAME?</v>
      </c>
      <c r="H57" s="73" t="e">
        <f t="shared" ca="1" si="24"/>
        <v>#NAME?</v>
      </c>
      <c r="I57" s="73" t="e">
        <f t="shared" ca="1" si="24"/>
        <v>#NAME?</v>
      </c>
      <c r="J57" s="73" t="e">
        <f t="shared" ca="1" si="24"/>
        <v>#NAME?</v>
      </c>
      <c r="K57" s="73" t="e">
        <f t="shared" ca="1" si="24"/>
        <v>#NAME?</v>
      </c>
      <c r="L57" s="74" t="e">
        <f t="shared" ca="1" si="24"/>
        <v>#NAME?</v>
      </c>
    </row>
    <row r="58" spans="2:12" x14ac:dyDescent="0.25">
      <c r="B58" s="161" t="s">
        <v>11</v>
      </c>
      <c r="C58" s="162"/>
      <c r="D58" s="162"/>
      <c r="E58" s="162"/>
      <c r="F58" s="162"/>
      <c r="G58" s="162"/>
      <c r="H58" s="162"/>
      <c r="I58" s="162"/>
      <c r="J58" s="162"/>
      <c r="K58" s="162"/>
      <c r="L58" s="163"/>
    </row>
    <row r="59" spans="2:12" x14ac:dyDescent="0.25">
      <c r="B59" s="164"/>
      <c r="C59" s="165"/>
      <c r="D59" s="165"/>
      <c r="E59" s="165"/>
      <c r="F59" s="165"/>
      <c r="G59" s="165"/>
      <c r="H59" s="165"/>
      <c r="I59" s="165"/>
      <c r="J59" s="165"/>
      <c r="K59" s="165"/>
      <c r="L59" s="166"/>
    </row>
    <row r="60" spans="2:12" x14ac:dyDescent="0.25">
      <c r="B60" s="50" t="s">
        <v>46</v>
      </c>
      <c r="C60" s="11"/>
      <c r="D60" s="12"/>
      <c r="E60" s="12" t="e">
        <f ca="1">IF(E66&lt;63,0,1)</f>
        <v>#NAME?</v>
      </c>
      <c r="F60" s="21" t="e">
        <f t="shared" ref="F60:L60" ca="1" si="25">IF(F66&lt;63,0,1)</f>
        <v>#NAME?</v>
      </c>
      <c r="G60" s="21" t="e">
        <f t="shared" ca="1" si="25"/>
        <v>#NAME?</v>
      </c>
      <c r="H60" s="21" t="e">
        <f t="shared" ca="1" si="25"/>
        <v>#NAME?</v>
      </c>
      <c r="I60" s="21" t="e">
        <f t="shared" ca="1" si="25"/>
        <v>#NAME?</v>
      </c>
      <c r="J60" s="21" t="e">
        <f t="shared" ca="1" si="25"/>
        <v>#NAME?</v>
      </c>
      <c r="K60" s="21" t="e">
        <f t="shared" ca="1" si="25"/>
        <v>#NAME?</v>
      </c>
      <c r="L60" s="75" t="e">
        <f t="shared" ca="1" si="25"/>
        <v>#NAME?</v>
      </c>
    </row>
    <row r="61" spans="2:12" x14ac:dyDescent="0.25">
      <c r="B61" s="50" t="s">
        <v>13</v>
      </c>
      <c r="C61" s="11"/>
      <c r="D61" s="12"/>
      <c r="E61" s="42" t="e">
        <f ca="1">_xll.RiskCollect()+_xll.RiskPert(45,52,57)</f>
        <v>#NAME?</v>
      </c>
      <c r="F61" s="13" t="e">
        <f ca="1">E61*(1+F62)</f>
        <v>#NAME?</v>
      </c>
      <c r="G61" s="13" t="e">
        <f t="shared" ref="G61:L61" ca="1" si="26">F61*(1+G62)</f>
        <v>#NAME?</v>
      </c>
      <c r="H61" s="13" t="e">
        <f t="shared" ca="1" si="26"/>
        <v>#NAME?</v>
      </c>
      <c r="I61" s="13" t="e">
        <f t="shared" ca="1" si="26"/>
        <v>#NAME?</v>
      </c>
      <c r="J61" s="13" t="e">
        <f t="shared" ca="1" si="26"/>
        <v>#NAME?</v>
      </c>
      <c r="K61" s="13" t="e">
        <f t="shared" ca="1" si="26"/>
        <v>#NAME?</v>
      </c>
      <c r="L61" s="98" t="e">
        <f t="shared" ca="1" si="26"/>
        <v>#NAME?</v>
      </c>
    </row>
    <row r="62" spans="2:12" x14ac:dyDescent="0.25">
      <c r="B62" s="50" t="s">
        <v>43</v>
      </c>
      <c r="C62" s="14"/>
      <c r="D62" s="15"/>
      <c r="E62" s="15"/>
      <c r="F62" s="43">
        <f t="shared" ref="F62:L62" si="27">rf</f>
        <v>0.02</v>
      </c>
      <c r="G62" s="43">
        <f t="shared" si="27"/>
        <v>0.02</v>
      </c>
      <c r="H62" s="43">
        <f t="shared" si="27"/>
        <v>0.02</v>
      </c>
      <c r="I62" s="43">
        <f t="shared" si="27"/>
        <v>0.02</v>
      </c>
      <c r="J62" s="43">
        <f t="shared" si="27"/>
        <v>0.02</v>
      </c>
      <c r="K62" s="43">
        <f t="shared" si="27"/>
        <v>0.02</v>
      </c>
      <c r="L62" s="99">
        <f t="shared" si="27"/>
        <v>0.02</v>
      </c>
    </row>
    <row r="63" spans="2:12" x14ac:dyDescent="0.25">
      <c r="B63" s="100" t="s">
        <v>15</v>
      </c>
      <c r="C63" s="16">
        <f>C27</f>
        <v>0.46</v>
      </c>
      <c r="D63" s="17">
        <f t="shared" ref="D63:L63" si="28">D27</f>
        <v>0.46</v>
      </c>
      <c r="E63" s="17">
        <f t="shared" si="28"/>
        <v>0.46</v>
      </c>
      <c r="F63" s="17">
        <f t="shared" si="28"/>
        <v>0.46</v>
      </c>
      <c r="G63" s="44" t="e">
        <f t="shared" ca="1" si="28"/>
        <v>#NAME?</v>
      </c>
      <c r="H63" s="17" t="e">
        <f t="shared" ca="1" si="28"/>
        <v>#NAME?</v>
      </c>
      <c r="I63" s="17" t="e">
        <f t="shared" ca="1" si="28"/>
        <v>#NAME?</v>
      </c>
      <c r="J63" s="17" t="e">
        <f t="shared" ca="1" si="28"/>
        <v>#NAME?</v>
      </c>
      <c r="K63" s="17" t="e">
        <f t="shared" ca="1" si="28"/>
        <v>#NAME?</v>
      </c>
      <c r="L63" s="101" t="e">
        <f t="shared" ca="1" si="28"/>
        <v>#NAME?</v>
      </c>
    </row>
    <row r="64" spans="2:12" x14ac:dyDescent="0.25">
      <c r="B64" s="161" t="s">
        <v>16</v>
      </c>
      <c r="C64" s="162"/>
      <c r="D64" s="162"/>
      <c r="E64" s="162"/>
      <c r="F64" s="162"/>
      <c r="G64" s="162"/>
      <c r="H64" s="162"/>
      <c r="I64" s="162"/>
      <c r="J64" s="162"/>
      <c r="K64" s="162"/>
      <c r="L64" s="163"/>
    </row>
    <row r="65" spans="2:12" x14ac:dyDescent="0.25">
      <c r="B65" s="164"/>
      <c r="C65" s="165"/>
      <c r="D65" s="165"/>
      <c r="E65" s="165"/>
      <c r="F65" s="165"/>
      <c r="G65" s="165"/>
      <c r="H65" s="165"/>
      <c r="I65" s="165"/>
      <c r="J65" s="165"/>
      <c r="K65" s="165"/>
      <c r="L65" s="166"/>
    </row>
    <row r="66" spans="2:12" x14ac:dyDescent="0.25">
      <c r="B66" s="80" t="s">
        <v>17</v>
      </c>
      <c r="C66" s="18"/>
      <c r="D66" s="19"/>
      <c r="E66" s="46" t="e">
        <f ca="1">_xll.RiskPert(45,53,65)</f>
        <v>#NAME?</v>
      </c>
      <c r="F66" s="19" t="e">
        <f ca="1">E66*(1+F62)</f>
        <v>#NAME?</v>
      </c>
      <c r="G66" s="19" t="e">
        <f t="shared" ref="G66:L66" ca="1" si="29">F66*(1+G62)</f>
        <v>#NAME?</v>
      </c>
      <c r="H66" s="19" t="e">
        <f t="shared" ca="1" si="29"/>
        <v>#NAME?</v>
      </c>
      <c r="I66" s="19" t="e">
        <f t="shared" ca="1" si="29"/>
        <v>#NAME?</v>
      </c>
      <c r="J66" s="19" t="e">
        <f t="shared" ca="1" si="29"/>
        <v>#NAME?</v>
      </c>
      <c r="K66" s="19" t="e">
        <f t="shared" ca="1" si="29"/>
        <v>#NAME?</v>
      </c>
      <c r="L66" s="102" t="e">
        <f t="shared" ca="1" si="29"/>
        <v>#NAME?</v>
      </c>
    </row>
    <row r="67" spans="2:12" x14ac:dyDescent="0.25">
      <c r="B67" s="80" t="s">
        <v>24</v>
      </c>
      <c r="C67" s="18"/>
      <c r="D67" s="19"/>
      <c r="E67" s="47" t="e">
        <f ca="1">_xll.RiskPert(200,300,700)</f>
        <v>#NAME?</v>
      </c>
      <c r="F67" s="25" t="e">
        <f t="shared" ref="F67:L67" ca="1" si="30">MIN(20000,E67*(1+$E$40))</f>
        <v>#NAME?</v>
      </c>
      <c r="G67" s="25" t="e">
        <f t="shared" ca="1" si="30"/>
        <v>#NAME?</v>
      </c>
      <c r="H67" s="25" t="e">
        <f t="shared" ca="1" si="30"/>
        <v>#NAME?</v>
      </c>
      <c r="I67" s="25" t="e">
        <f t="shared" ca="1" si="30"/>
        <v>#NAME?</v>
      </c>
      <c r="J67" s="25" t="e">
        <f t="shared" ca="1" si="30"/>
        <v>#NAME?</v>
      </c>
      <c r="K67" s="25" t="e">
        <f t="shared" ca="1" si="30"/>
        <v>#NAME?</v>
      </c>
      <c r="L67" s="103" t="e">
        <f t="shared" ca="1" si="30"/>
        <v>#NAME?</v>
      </c>
    </row>
    <row r="68" spans="2:12" x14ac:dyDescent="0.25">
      <c r="B68" s="104" t="s">
        <v>18</v>
      </c>
      <c r="C68" s="22"/>
      <c r="D68" s="23"/>
      <c r="E68" s="26" t="e">
        <f ca="1">E67*E60*0.5</f>
        <v>#NAME?</v>
      </c>
      <c r="F68" s="26" t="e">
        <f t="shared" ref="F68:L68" ca="1" si="31">F67*F60*0.5</f>
        <v>#NAME?</v>
      </c>
      <c r="G68" s="26" t="e">
        <f t="shared" ca="1" si="31"/>
        <v>#NAME?</v>
      </c>
      <c r="H68" s="26" t="e">
        <f t="shared" ca="1" si="31"/>
        <v>#NAME?</v>
      </c>
      <c r="I68" s="26" t="e">
        <f t="shared" ca="1" si="31"/>
        <v>#NAME?</v>
      </c>
      <c r="J68" s="26" t="e">
        <f t="shared" ca="1" si="31"/>
        <v>#NAME?</v>
      </c>
      <c r="K68" s="26" t="e">
        <f t="shared" ca="1" si="31"/>
        <v>#NAME?</v>
      </c>
      <c r="L68" s="105" t="e">
        <f t="shared" ca="1" si="31"/>
        <v>#NAME?</v>
      </c>
    </row>
    <row r="69" spans="2:12" x14ac:dyDescent="0.25">
      <c r="B69" s="161" t="s">
        <v>19</v>
      </c>
      <c r="C69" s="162"/>
      <c r="D69" s="162"/>
      <c r="E69" s="162"/>
      <c r="F69" s="162"/>
      <c r="G69" s="162"/>
      <c r="H69" s="162"/>
      <c r="I69" s="162"/>
      <c r="J69" s="162"/>
      <c r="K69" s="162"/>
      <c r="L69" s="163"/>
    </row>
    <row r="70" spans="2:12" x14ac:dyDescent="0.25">
      <c r="B70" s="164"/>
      <c r="C70" s="165"/>
      <c r="D70" s="165"/>
      <c r="E70" s="165"/>
      <c r="F70" s="165"/>
      <c r="G70" s="165"/>
      <c r="H70" s="165"/>
      <c r="I70" s="165"/>
      <c r="J70" s="165"/>
      <c r="K70" s="165"/>
      <c r="L70" s="166"/>
    </row>
    <row r="71" spans="2:12" x14ac:dyDescent="0.25">
      <c r="B71" s="84" t="s">
        <v>20</v>
      </c>
      <c r="C71" s="67"/>
      <c r="D71" s="85"/>
      <c r="E71" s="85"/>
      <c r="F71" s="85">
        <v>0</v>
      </c>
      <c r="G71" s="85">
        <v>0</v>
      </c>
      <c r="H71" s="85">
        <v>0</v>
      </c>
      <c r="I71" s="85">
        <v>0</v>
      </c>
      <c r="J71" s="85">
        <v>0</v>
      </c>
      <c r="K71" s="85">
        <v>0</v>
      </c>
      <c r="L71" s="106">
        <v>0</v>
      </c>
    </row>
    <row r="72" spans="2:12" x14ac:dyDescent="0.25">
      <c r="B72" s="84" t="s">
        <v>21</v>
      </c>
      <c r="C72" s="67"/>
      <c r="D72" s="85"/>
      <c r="E72" s="85"/>
      <c r="F72" s="67"/>
      <c r="G72" s="67">
        <v>0</v>
      </c>
      <c r="H72" s="67">
        <v>0</v>
      </c>
      <c r="I72" s="67">
        <v>0</v>
      </c>
      <c r="J72" s="67">
        <v>0</v>
      </c>
      <c r="K72" s="67">
        <v>0</v>
      </c>
      <c r="L72" s="106">
        <v>0</v>
      </c>
    </row>
    <row r="73" spans="2:12" x14ac:dyDescent="0.25">
      <c r="B73" s="87" t="s">
        <v>22</v>
      </c>
      <c r="C73" s="71"/>
      <c r="D73" s="88"/>
      <c r="E73" s="88"/>
      <c r="F73" s="88">
        <v>0</v>
      </c>
      <c r="G73" s="88">
        <v>0</v>
      </c>
      <c r="H73" s="88">
        <v>0</v>
      </c>
      <c r="I73" s="88">
        <v>0</v>
      </c>
      <c r="J73" s="88">
        <v>0</v>
      </c>
      <c r="K73" s="88">
        <v>0</v>
      </c>
      <c r="L73" s="89">
        <v>0</v>
      </c>
    </row>
    <row r="74" spans="2:12" ht="13" thickBot="1" x14ac:dyDescent="0.3">
      <c r="B74" s="90" t="s">
        <v>23</v>
      </c>
      <c r="C74" s="91">
        <f t="shared" ref="C74:L74" si="32">SUM(C71:C73)</f>
        <v>0</v>
      </c>
      <c r="D74" s="91">
        <f t="shared" si="32"/>
        <v>0</v>
      </c>
      <c r="E74" s="91">
        <f t="shared" si="32"/>
        <v>0</v>
      </c>
      <c r="F74" s="91">
        <f t="shared" si="32"/>
        <v>0</v>
      </c>
      <c r="G74" s="91">
        <f t="shared" si="32"/>
        <v>0</v>
      </c>
      <c r="H74" s="91">
        <f t="shared" si="32"/>
        <v>0</v>
      </c>
      <c r="I74" s="91">
        <f t="shared" si="32"/>
        <v>0</v>
      </c>
      <c r="J74" s="91">
        <f t="shared" si="32"/>
        <v>0</v>
      </c>
      <c r="K74" s="91">
        <f t="shared" si="32"/>
        <v>0</v>
      </c>
      <c r="L74" s="92">
        <f t="shared" si="32"/>
        <v>0</v>
      </c>
    </row>
    <row r="77" spans="2:12" x14ac:dyDescent="0.25">
      <c r="B77" s="2"/>
      <c r="C77" s="2"/>
    </row>
    <row r="78" spans="2:12" x14ac:dyDescent="0.25">
      <c r="B78" s="2"/>
      <c r="C78" s="2"/>
    </row>
    <row r="79" spans="2:12" x14ac:dyDescent="0.25">
      <c r="B79" s="2"/>
      <c r="C79" s="2"/>
    </row>
  </sheetData>
  <mergeCells count="11">
    <mergeCell ref="B12:L13"/>
    <mergeCell ref="B48:L49"/>
    <mergeCell ref="B22:L23"/>
    <mergeCell ref="B28:L29"/>
    <mergeCell ref="B33:L34"/>
    <mergeCell ref="B64:L65"/>
    <mergeCell ref="B69:L70"/>
    <mergeCell ref="P14:P15"/>
    <mergeCell ref="N14:N15"/>
    <mergeCell ref="O14:O15"/>
    <mergeCell ref="B58:L59"/>
  </mergeCells>
  <phoneticPr fontId="11" type="noConversion"/>
  <pageMargins left="0.75" right="0.75" top="1" bottom="1" header="0.5" footer="0.5"/>
  <pageSetup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6</vt:i4>
      </vt:variant>
    </vt:vector>
  </HeadingPairs>
  <TitlesOfParts>
    <vt:vector size="9" baseType="lpstr">
      <vt:lpstr>Problem description</vt:lpstr>
      <vt:lpstr>Static model</vt:lpstr>
      <vt:lpstr>Real Option Model</vt:lpstr>
      <vt:lpstr>combined</vt:lpstr>
      <vt:lpstr>conservatives</vt:lpstr>
      <vt:lpstr>contrf</vt:lpstr>
      <vt:lpstr>growth</vt:lpstr>
      <vt:lpstr>n</vt:lpstr>
      <vt:lpstr>rf</vt:lpstr>
    </vt:vector>
  </TitlesOfParts>
  <Manager/>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EpiX Analytics</dc:creator>
  <cp:keywords/>
  <dc:description/>
  <cp:lastModifiedBy>EpixAnalytics</cp:lastModifiedBy>
  <cp:lastPrinted>1999-11-16T16:07:22Z</cp:lastPrinted>
  <dcterms:created xsi:type="dcterms:W3CDTF">1999-11-16T21:35:41Z</dcterms:created>
  <dcterms:modified xsi:type="dcterms:W3CDTF">2017-09-22T16:20:36Z</dcterms:modified>
  <cp:category/>
</cp:coreProperties>
</file>