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480" yWindow="60" windowWidth="10550" windowHeight="6030" firstSheet="1" activeTab="1"/>
  </bookViews>
  <sheets>
    <sheet name="CB_DATA_" sheetId="3" state="veryHidden" r:id="rId1"/>
    <sheet name="Market growth model" sheetId="1" r:id="rId2"/>
    <sheet name="Result" sheetId="2" r:id="rId3"/>
  </sheets>
  <definedNames>
    <definedName name="CB_0033e642999c4d988e786eac64459899" localSheetId="1" hidden="1">'Market growth model'!$C$8</definedName>
    <definedName name="CB_0339fbf9ae0f4f289194f3853d783964" localSheetId="1" hidden="1">'Market growth model'!$H$24</definedName>
    <definedName name="CB_097b5348a0ed44c5b86aa3773e240ed7" localSheetId="1" hidden="1">'Market growth model'!$E$25</definedName>
    <definedName name="CB_097cad69dce446fc903b2f01c268ed1a" localSheetId="1" hidden="1">'Market growth model'!$T$25</definedName>
    <definedName name="CB_147ae281a1cb4d8882a99e3f23516635" localSheetId="1" hidden="1">'Market growth model'!$C$18</definedName>
    <definedName name="CB_15b774aa8c7a48b09ffb168f53e54789" localSheetId="1" hidden="1">'Market growth model'!$I$11</definedName>
    <definedName name="CB_1cda344e6a3f434a8871c2cc1d9e6154" localSheetId="1" hidden="1">'Market growth model'!$T$22</definedName>
    <definedName name="CB_1ecef14a2328402292f73a8cea2cbd59" localSheetId="1" hidden="1">'Market growth model'!$H$11</definedName>
    <definedName name="CB_2733d45ec4954a41b1a68dad8b4ec3ba" localSheetId="1" hidden="1">'Market growth model'!$H$25</definedName>
    <definedName name="CB_2f34a28da713400983b1c5e622c617c9" localSheetId="1" hidden="1">'Market growth model'!$E$29</definedName>
    <definedName name="CB_3251a27cffd34f089e580b670fee63b2" localSheetId="1" hidden="1">'Market growth model'!$H$27</definedName>
    <definedName name="CB_3263d849b6d44093a024febf52e2b186" localSheetId="1" hidden="1">'Market growth model'!$T$29</definedName>
    <definedName name="CB_39583a93a62744c79a65d44eb497fbd8" localSheetId="1" hidden="1">'Market growth model'!$C$17</definedName>
    <definedName name="CB_461dfb70925d429b822e4e108dbd64fc" localSheetId="1" hidden="1">'Market growth model'!$C$12</definedName>
    <definedName name="CB_4f9b8cbbcf0d428ba84ab8993b7f3b23" localSheetId="1" hidden="1">'Market growth model'!$E$28</definedName>
    <definedName name="CB_50ddde44c88b4bbd95449918ad5c6bf3" localSheetId="1" hidden="1">'Market growth model'!$E$9</definedName>
    <definedName name="CB_55983140f2594d56930fd43fb42cb25c" localSheetId="1" hidden="1">'Market growth model'!$H$28</definedName>
    <definedName name="CB_625b5f5a18884d0a8994d6d35f0daff4" localSheetId="1" hidden="1">'Market growth model'!$I$10</definedName>
    <definedName name="CB_6774a65d17e1454a859788044ec02e0b" localSheetId="1" hidden="1">'Market growth model'!$E$30</definedName>
    <definedName name="CB_720946492a384a27a1af5c4257fd2432" localSheetId="1" hidden="1">'Market growth model'!$H$9</definedName>
    <definedName name="CB_72403ef5fdb0418e83b9a5eabe3dc56c" localSheetId="1" hidden="1">'Market growth model'!$H$26</definedName>
    <definedName name="CB_7440ae25b191410b8104e0275606ef82" localSheetId="1" hidden="1">'Market growth model'!$T$24</definedName>
    <definedName name="CB_8046149d720e42eb8e7ae3967a361bb3" localSheetId="1" hidden="1">'Market growth model'!$C$10</definedName>
    <definedName name="CB_840d3ddc69bf496498f9db32b977f745" localSheetId="1" hidden="1">'Market growth model'!$W$18</definedName>
    <definedName name="CB_8f99fdda868b451887ebb7b93bcdb5db" localSheetId="1" hidden="1">'Market growth model'!$H$29</definedName>
    <definedName name="CB_93b2f745a14b4c0683e2f75a9040ba70" localSheetId="1" hidden="1">'Market growth model'!$H$21</definedName>
    <definedName name="CB_9dc5de35b2964c1d947716f105c24881" localSheetId="1" hidden="1">'Market growth model'!$T$30</definedName>
    <definedName name="CB_9f48622d4b144789a5a3f5de3c791a48" localSheetId="1" hidden="1">'Market growth model'!$H$30</definedName>
    <definedName name="CB_a0d03c02f0f1496bbf54dc26b911fb34" localSheetId="1" hidden="1">'Market growth model'!$E$23</definedName>
    <definedName name="CB_a1cd0e3a834447d4b243ed0dd0c1eeea" localSheetId="1" hidden="1">'Market growth model'!$H$22</definedName>
    <definedName name="CB_aadd7c3ee1144636b8edba0ef5c30ee6" localSheetId="1" hidden="1">'Market growth model'!$T$26</definedName>
    <definedName name="CB_b22053fad0c34fa289a041bae6f731f5" localSheetId="1" hidden="1">'Market growth model'!$E$27</definedName>
    <definedName name="CB_b261f89610c3486187b83157a2fa648b" localSheetId="1" hidden="1">'Market growth model'!$I$9</definedName>
    <definedName name="CB_bdaae550fd024e6fa41b1f68c209f335" localSheetId="1" hidden="1">'Market growth model'!$C$11</definedName>
    <definedName name="CB_bff25a19b0884d52a6a840ab131d10ff" localSheetId="1" hidden="1">'Market growth model'!$D$9</definedName>
    <definedName name="CB_c6f64557ae904e7ab75b00f3779aa16e" localSheetId="1" hidden="1">'Market growth model'!$E$26</definedName>
    <definedName name="CB_cc67877f46574f54897316c136cd289b" localSheetId="1" hidden="1">'Market growth model'!$E$22</definedName>
    <definedName name="CB_cc7d9794ba9742bdb3432ad7fe1723c3" localSheetId="1" hidden="1">'Market growth model'!$H$23</definedName>
    <definedName name="CB_ce8315cc7bc94d729ff4e4b0092d174f" localSheetId="1" hidden="1">'Market growth model'!$E$24</definedName>
    <definedName name="CB_d4fe2b0b8f174a95a59362046dccb088" localSheetId="1" hidden="1">'Market growth model'!$T$23</definedName>
    <definedName name="CB_d68b5699df3e4497b0baeb243d1022d8" localSheetId="1" hidden="1">'Market growth model'!$H$10</definedName>
    <definedName name="CB_e8ac2748786f4d34ad32e7a9e58516b7" localSheetId="1" hidden="1">'Market growth model'!$T$28</definedName>
    <definedName name="CB_f6e9a8b225264fcf9ec74d48f0114d46" localSheetId="1" hidden="1">'Market growth model'!$T$21</definedName>
    <definedName name="CB_f6f4c4b4b8844a0b986d492c065564b9" localSheetId="1" hidden="1">'Market growth model'!$T$27</definedName>
    <definedName name="CBCR_01d48e58c1e94d3ab8f9f51244813a19" localSheetId="1" hidden="1">'Market growth model'!$G$30</definedName>
    <definedName name="CBCR_028a093e533245dab95f1690e23037f0" localSheetId="1" hidden="1">'Market growth model'!$G$26</definedName>
    <definedName name="CBCR_0ab167ec7b6b4821bb82d20dee71afcc" localSheetId="1" hidden="1">'Market growth model'!$C$30</definedName>
    <definedName name="CBCR_0adecbf546784bc6a32c041ffc184351" localSheetId="1" hidden="1">'Market growth model'!$S$27</definedName>
    <definedName name="CBCR_17865c9cb9b94039a926bd089317d2aa" localSheetId="1" hidden="1">'Market growth model'!$C$25</definedName>
    <definedName name="CBCR_1ec5821bf1ce4e46abe46897d250b0c9" localSheetId="1" hidden="1">'Market growth model'!$C$24</definedName>
    <definedName name="CBCR_1f489bf72b7542fdad40e8d48def348e" localSheetId="1" hidden="1">'Market growth model'!$D$23</definedName>
    <definedName name="CBCR_2868235504804095bf5505bd18f25dfe" localSheetId="1" hidden="1">'Market growth model'!$G$21</definedName>
    <definedName name="CBCR_31837a40d04d4797b78f7dd5348db264" localSheetId="1" hidden="1">'Market growth model'!$S$30</definedName>
    <definedName name="CBCR_3354498ad5344078adce13e25eacdd27" localSheetId="1" hidden="1">'Market growth model'!$D$22</definedName>
    <definedName name="CBCR_33a21c2ff0784b868ebf606c4fe118bf" localSheetId="1" hidden="1">'Market growth model'!$R$21</definedName>
    <definedName name="CBCR_3525b5e25f12498793e8099d60077f6b" localSheetId="1" hidden="1">'Market growth model'!$D$26</definedName>
    <definedName name="CBCR_3a584774faf94ac0b74714024919ccc7" localSheetId="1" hidden="1">'Market growth model'!$G$23</definedName>
    <definedName name="CBCR_3af108907aea40e990d4b4eba80ab2d2" localSheetId="1" hidden="1">'Market growth model'!$C$27</definedName>
    <definedName name="CBCR_3b8bcfe3478c42d897469ac092ba9a86" localSheetId="1" hidden="1">'Market growth model'!$Q$30</definedName>
    <definedName name="CBCR_3d3e44c5e9354b289ef56fd087c61158" localSheetId="1" hidden="1">'Market growth model'!$R$30</definedName>
    <definedName name="CBCR_41110a177e5c483781a5e812eda55610" localSheetId="1" hidden="1">'Market growth model'!$D$29</definedName>
    <definedName name="CBCR_430c7b9b63104f54be53fe1e2d3e6790" localSheetId="1" hidden="1">'Market growth model'!$D$28</definedName>
    <definedName name="CBCR_43c30fef230845cfbe78dca3a1f96488" localSheetId="1" hidden="1">'Market growth model'!$S$28</definedName>
    <definedName name="CBCR_472bf0b529654b03a7ecfd19f170ba24" localSheetId="1" hidden="1">'Market growth model'!$Q$27</definedName>
    <definedName name="CBCR_4b888164ddca4caaafedf4d8a6a044bd" localSheetId="1" hidden="1">'Market growth model'!$C$23</definedName>
    <definedName name="CBCR_55ade8ffdd854b28a0db0b0131074886" localSheetId="1" hidden="1">'Market growth model'!$D$30</definedName>
    <definedName name="CBCR_567774173c55491c9fd49a7d87827a8d" localSheetId="1" hidden="1">'Market growth model'!$Q$21</definedName>
    <definedName name="CBCR_5919ae11dcae4697a42a30313f65e4a1" localSheetId="1" hidden="1">'Market growth model'!$G$25</definedName>
    <definedName name="CBCR_5e2c3ee58161486c831900cb49a58482" localSheetId="1" hidden="1">'Market growth model'!$Q$22</definedName>
    <definedName name="CBCR_693b518701bd4c7589d912d770411e6c" localSheetId="1" hidden="1">'Market growth model'!$G$22</definedName>
    <definedName name="CBCR_7535ce1ad6634c9daef6ce1a8a45a527" localSheetId="1" hidden="1">'Market growth model'!$C$26</definedName>
    <definedName name="CBCR_774f899cd11c48ab9e5e8ed6fbcd3375" localSheetId="1" hidden="1">'Market growth model'!$Q$25</definedName>
    <definedName name="CBCR_7acbf21c0e6345a786dc0bae0f5cead8" localSheetId="1" hidden="1">'Market growth model'!$G$24</definedName>
    <definedName name="CBCR_7bb2689564ef4080b654931f9148062e" localSheetId="1" hidden="1">'Market growth model'!$D$27</definedName>
    <definedName name="CBCR_7d2626a8afb54359b41c79b5bceea312" localSheetId="1" hidden="1">'Market growth model'!$S$24</definedName>
    <definedName name="CBCR_8216bdbdddb5438cbeafa5b4ab194cbd" localSheetId="1" hidden="1">'Market growth model'!$Q$29</definedName>
    <definedName name="CBCR_836084bb22ff4d439fdd3df91b658cf9" localSheetId="1" hidden="1">'Market growth model'!$D$24</definedName>
    <definedName name="CBCR_8474edad7b3b4334b6b900b701a452ee" localSheetId="1" hidden="1">'Market growth model'!$Q$26</definedName>
    <definedName name="CBCR_93879db790e84fc38a729906a5c6a72c" localSheetId="1" hidden="1">'Market growth model'!$R$26</definedName>
    <definedName name="CBCR_96eb4d04ab3443208e0ee203186bca57" localSheetId="1" hidden="1">'Market growth model'!$C$28</definedName>
    <definedName name="CBCR_97c419423fa04636afe696613b7e772a" localSheetId="1" hidden="1">'Market growth model'!$S$25</definedName>
    <definedName name="CBCR_9aab0b94a5a643d9a86a33935bdfe3f2" localSheetId="1" hidden="1">'Market growth model'!$C$22</definedName>
    <definedName name="CBCR_9b886dc10d844e7aa31bfc8664dbf8e5" localSheetId="1" hidden="1">'Market growth model'!$S$29</definedName>
    <definedName name="CBCR_9e2928335a94448f9206654da843626c" localSheetId="1" hidden="1">'Market growth model'!$R$28</definedName>
    <definedName name="CBCR_af631ff07a0045aeb95e2a0341012c59" localSheetId="1" hidden="1">'Market growth model'!$G$27</definedName>
    <definedName name="CBCR_b37d27d88e4748d39d5bf78f2f8bbb91" localSheetId="1" hidden="1">'Market growth model'!$R$24</definedName>
    <definedName name="CBCR_b4ac47c54a6f4940b29e3a80aa67d228" localSheetId="1" hidden="1">'Market growth model'!$Q$24</definedName>
    <definedName name="CBCR_be44f64930b246e88b3eb378cbc2ddd3" localSheetId="1" hidden="1">'Market growth model'!$Q$23</definedName>
    <definedName name="CBCR_be5b00cae3864cc0bf6b8fa90138ba6b" localSheetId="1" hidden="1">'Market growth model'!$C$29</definedName>
    <definedName name="CBCR_c289d131cc604d6d93b42f05f8961c63" localSheetId="1" hidden="1">'Market growth model'!$R$25</definedName>
    <definedName name="CBCR_c3fd19e1743d41b38279533e08bc49e3" localSheetId="1" hidden="1">'Market growth model'!$R$29</definedName>
    <definedName name="CBCR_cc963fab9ebe40cca054fe3927e8caa8" localSheetId="1" hidden="1">'Market growth model'!$D$25</definedName>
    <definedName name="CBCR_d215a0287425473daed25cfff4e16fc5" localSheetId="1" hidden="1">'Market growth model'!$S$21</definedName>
    <definedName name="CBCR_dd4ca352455841238e78e464195a32e0" localSheetId="1" hidden="1">'Market growth model'!$R$27</definedName>
    <definedName name="CBCR_e16d90e01c6445e1936cf3e51d81e663" localSheetId="1" hidden="1">'Market growth model'!$G$29</definedName>
    <definedName name="CBCR_e4e3dadba495403ca993a5b735557382" localSheetId="1" hidden="1">'Market growth model'!$S$26</definedName>
    <definedName name="CBCR_e609c953df5744268e431471797dfb3e" localSheetId="1" hidden="1">'Market growth model'!$S$23</definedName>
    <definedName name="CBCR_e64684b3c53c4011a535aa7383f5947d" localSheetId="1" hidden="1">'Market growth model'!$G$28</definedName>
    <definedName name="CBCR_e734032e13ee429c9a61a82f956ab713" localSheetId="1" hidden="1">'Market growth model'!$R$22</definedName>
    <definedName name="CBCR_f0aa64e8149f4bdfbd1e79da79bc4662" localSheetId="1" hidden="1">'Market growth model'!$S$22</definedName>
    <definedName name="CBCR_f5cab33ea46845e383d6dc33b9a8009e" localSheetId="1" hidden="1">'Market growth model'!$Q$28</definedName>
    <definedName name="CBCR_fdb8bfafa5544116af7fabebcc9b33f8" localSheetId="1" hidden="1">'Market growth model'!$R$23</definedName>
    <definedName name="CBWorkbookPriority" localSheetId="0" hidden="1">-1575076482</definedName>
    <definedName name="CBx_31b7ca177b744124b448c3cad4804afa" localSheetId="0" hidden="1">"'CB_DATA_'!$A$1"</definedName>
    <definedName name="CBx_5a1175369386412ab48b9fdf8c848605" localSheetId="0" hidden="1">"'Market growth model'!$A$1"</definedName>
    <definedName name="CBx_Sheet_Guid" localSheetId="0" hidden="1">"'31b7ca17-7b74-4124-b448-c3cad4804afa"</definedName>
    <definedName name="CBx_Sheet_Guid" localSheetId="1" hidden="1">"'5a117536-9386-412a-b48b-9fdf8c848605"</definedName>
    <definedName name="CBx_StorageType" localSheetId="0" hidden="1">1</definedName>
    <definedName name="CBx_StorageType" localSheetId="1" hidden="1">1</definedName>
    <definedName name="CostSuperlaunch">'Market growth model'!$C$13</definedName>
    <definedName name="Expert_A">'Market growth model'!$I$9</definedName>
    <definedName name="Expert_B">'Market growth model'!$I$10</definedName>
    <definedName name="Expert_C">'Market growth model'!$I$11</definedName>
    <definedName name="IfSuperlaunch">'Market growth model'!$C$17</definedName>
    <definedName name="Max">'Market growth model'!$I$12</definedName>
    <definedName name="Normal_Capex">'Market growth model'!$W$18</definedName>
    <definedName name="ra">'Market growth model'!$H$15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10000</definedName>
    <definedName name="RiskNumSimulations">2</definedName>
    <definedName name="RiskPauseOnError">FALSE</definedName>
    <definedName name="RiskRealTimeResults">FALSE</definedName>
    <definedName name="RiskReportGraphFormat">0</definedName>
    <definedName name="RiskResultsUpdateFreq">10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FALSE</definedName>
    <definedName name="RiskUseDifferentSeedForEachSim">FALSE</definedName>
    <definedName name="RiskUseFixedSeed">TRUE</definedName>
    <definedName name="RiskUseMultipleCPUs">FALSE</definedName>
  </definedNames>
  <calcPr calcId="171027" calcMode="manual"/>
</workbook>
</file>

<file path=xl/calcChain.xml><?xml version="1.0" encoding="utf-8"?>
<calcChain xmlns="http://schemas.openxmlformats.org/spreadsheetml/2006/main">
  <c r="C9" i="1" l="1"/>
  <c r="C14" i="1" s="1"/>
  <c r="I21" i="1" s="1"/>
  <c r="B21" i="1"/>
  <c r="B22" i="1" s="1"/>
  <c r="N30" i="1"/>
  <c r="N29" i="1"/>
  <c r="N28" i="1"/>
  <c r="N27" i="1"/>
  <c r="N26" i="1"/>
  <c r="N25" i="1"/>
  <c r="N24" i="1"/>
  <c r="N23" i="1"/>
  <c r="N22" i="1"/>
  <c r="N21" i="1"/>
  <c r="C22" i="1"/>
  <c r="D22" i="1"/>
  <c r="I12" i="1"/>
  <c r="H12" i="1" s="1"/>
  <c r="F22" i="1" s="1"/>
  <c r="W21" i="1"/>
  <c r="G21" i="1"/>
  <c r="B4" i="1"/>
  <c r="M22" i="1"/>
  <c r="M23" i="1" s="1"/>
  <c r="X22" i="1"/>
  <c r="X23" i="1"/>
  <c r="X24" i="1" s="1"/>
  <c r="X25" i="1" s="1"/>
  <c r="X26" i="1" s="1"/>
  <c r="X27" i="1" s="1"/>
  <c r="X28" i="1" s="1"/>
  <c r="X29" i="1" s="1"/>
  <c r="X30" i="1" s="1"/>
  <c r="J21" i="1" l="1"/>
  <c r="K21" i="1" s="1"/>
  <c r="L21" i="1" s="1"/>
  <c r="D23" i="1"/>
  <c r="G22" i="1"/>
  <c r="C23" i="1"/>
  <c r="F23" i="1"/>
  <c r="M24" i="1"/>
  <c r="J22" i="1"/>
  <c r="B23" i="1"/>
  <c r="I22" i="1" l="1"/>
  <c r="O21" i="1"/>
  <c r="P21" i="1" s="1"/>
  <c r="B24" i="1"/>
  <c r="J23" i="1"/>
  <c r="C24" i="1"/>
  <c r="F24" i="1"/>
  <c r="D24" i="1"/>
  <c r="G23" i="1"/>
  <c r="U21" i="1"/>
  <c r="Q21" i="1"/>
  <c r="S21" i="1"/>
  <c r="R21" i="1"/>
  <c r="M25" i="1"/>
  <c r="K22" i="1"/>
  <c r="L22" i="1" s="1"/>
  <c r="V21" i="1" l="1"/>
  <c r="Y21" i="1" s="1"/>
  <c r="Z21" i="1" s="1"/>
  <c r="I23" i="1"/>
  <c r="K23" i="1" s="1"/>
  <c r="L23" i="1" s="1"/>
  <c r="O22" i="1"/>
  <c r="M26" i="1"/>
  <c r="G24" i="1"/>
  <c r="C25" i="1"/>
  <c r="F25" i="1"/>
  <c r="D25" i="1"/>
  <c r="B25" i="1"/>
  <c r="J24" i="1"/>
  <c r="S22" i="1" l="1"/>
  <c r="Q22" i="1"/>
  <c r="U22" i="1"/>
  <c r="R22" i="1"/>
  <c r="J25" i="1"/>
  <c r="B26" i="1"/>
  <c r="O23" i="1"/>
  <c r="I24" i="1"/>
  <c r="K24" i="1" s="1"/>
  <c r="L24" i="1" s="1"/>
  <c r="P23" i="1"/>
  <c r="P22" i="1"/>
  <c r="V22" i="1" s="1"/>
  <c r="Y22" i="1" s="1"/>
  <c r="Z22" i="1" s="1"/>
  <c r="G25" i="1"/>
  <c r="C26" i="1"/>
  <c r="F26" i="1"/>
  <c r="D26" i="1"/>
  <c r="M27" i="1"/>
  <c r="F27" i="1" l="1"/>
  <c r="D27" i="1"/>
  <c r="G26" i="1"/>
  <c r="C27" i="1"/>
  <c r="M28" i="1"/>
  <c r="O24" i="1"/>
  <c r="I25" i="1"/>
  <c r="K25" i="1" s="1"/>
  <c r="L25" i="1" s="1"/>
  <c r="P24" i="1"/>
  <c r="R23" i="1"/>
  <c r="U23" i="1"/>
  <c r="Q23" i="1"/>
  <c r="S23" i="1"/>
  <c r="J26" i="1"/>
  <c r="B27" i="1"/>
  <c r="V23" i="1"/>
  <c r="Y23" i="1" s="1"/>
  <c r="Z23" i="1" s="1"/>
  <c r="O25" i="1" l="1"/>
  <c r="I26" i="1"/>
  <c r="K26" i="1" s="1"/>
  <c r="L26" i="1" s="1"/>
  <c r="P25" i="1"/>
  <c r="B28" i="1"/>
  <c r="J27" i="1"/>
  <c r="U24" i="1"/>
  <c r="Q24" i="1"/>
  <c r="R24" i="1"/>
  <c r="S24" i="1"/>
  <c r="V24" i="1"/>
  <c r="Y24" i="1" s="1"/>
  <c r="Z24" i="1" s="1"/>
  <c r="M29" i="1"/>
  <c r="C28" i="1"/>
  <c r="F28" i="1"/>
  <c r="D28" i="1"/>
  <c r="G27" i="1"/>
  <c r="M30" i="1" l="1"/>
  <c r="B29" i="1"/>
  <c r="J28" i="1"/>
  <c r="C29" i="1"/>
  <c r="F29" i="1"/>
  <c r="D29" i="1"/>
  <c r="G28" i="1"/>
  <c r="I27" i="1"/>
  <c r="K27" i="1" s="1"/>
  <c r="L27" i="1" s="1"/>
  <c r="O26" i="1"/>
  <c r="U25" i="1"/>
  <c r="V25" i="1" s="1"/>
  <c r="Y25" i="1" s="1"/>
  <c r="Z25" i="1" s="1"/>
  <c r="R25" i="1"/>
  <c r="Q25" i="1"/>
  <c r="S25" i="1"/>
  <c r="R26" i="1" l="1"/>
  <c r="S26" i="1"/>
  <c r="Q26" i="1"/>
  <c r="U26" i="1"/>
  <c r="O27" i="1"/>
  <c r="I28" i="1"/>
  <c r="K28" i="1" s="1"/>
  <c r="L28" i="1" s="1"/>
  <c r="P27" i="1"/>
  <c r="C30" i="1"/>
  <c r="F30" i="1"/>
  <c r="G30" i="1" s="1"/>
  <c r="G29" i="1"/>
  <c r="D30" i="1"/>
  <c r="B30" i="1"/>
  <c r="J30" i="1" s="1"/>
  <c r="J29" i="1"/>
  <c r="P26" i="1"/>
  <c r="V26" i="1" l="1"/>
  <c r="Y26" i="1" s="1"/>
  <c r="Z26" i="1" s="1"/>
  <c r="Q27" i="1"/>
  <c r="U27" i="1"/>
  <c r="S27" i="1"/>
  <c r="R27" i="1"/>
  <c r="V27" i="1"/>
  <c r="Y27" i="1" s="1"/>
  <c r="Z27" i="1" s="1"/>
  <c r="O28" i="1"/>
  <c r="I29" i="1"/>
  <c r="K29" i="1" s="1"/>
  <c r="L29" i="1" s="1"/>
  <c r="P28" i="1"/>
  <c r="O29" i="1" l="1"/>
  <c r="I30" i="1"/>
  <c r="K30" i="1" s="1"/>
  <c r="L30" i="1" s="1"/>
  <c r="P29" i="1"/>
  <c r="U28" i="1"/>
  <c r="V28" i="1" s="1"/>
  <c r="Y28" i="1" s="1"/>
  <c r="Z28" i="1" s="1"/>
  <c r="R28" i="1"/>
  <c r="S28" i="1"/>
  <c r="Q28" i="1"/>
  <c r="O30" i="1" l="1"/>
  <c r="P30" i="1" s="1"/>
  <c r="U29" i="1"/>
  <c r="V29" i="1" s="1"/>
  <c r="Y29" i="1" s="1"/>
  <c r="Z29" i="1" s="1"/>
  <c r="R29" i="1"/>
  <c r="S29" i="1"/>
  <c r="Q29" i="1"/>
  <c r="S30" i="1" l="1"/>
  <c r="R30" i="1"/>
  <c r="U30" i="1"/>
  <c r="V30" i="1" s="1"/>
  <c r="Y30" i="1" s="1"/>
  <c r="Z30" i="1" s="1"/>
  <c r="C18" i="1" s="1"/>
  <c r="Q30" i="1"/>
</calcChain>
</file>

<file path=xl/comments1.xml><?xml version="1.0" encoding="utf-8"?>
<comments xmlns="http://schemas.openxmlformats.org/spreadsheetml/2006/main">
  <authors>
    <author>Timour Koupeev</author>
    <author>A satisfied Microsoft Office user</author>
  </authors>
  <commentList>
    <comment ref="C17" authorId="0" shapeId="0">
      <text>
        <r>
          <rPr>
            <b/>
            <sz val="8"/>
            <color indexed="81"/>
            <rFont val="Tahoma"/>
            <family val="2"/>
          </rPr>
          <t>EpiX Analytics:</t>
        </r>
        <r>
          <rPr>
            <sz val="8"/>
            <color indexed="81"/>
            <rFont val="Tahoma"/>
            <family val="2"/>
          </rPr>
          <t xml:space="preserve">
0=launch
1=super-launch</t>
        </r>
      </text>
    </comment>
    <comment ref="F20" authorId="1" shapeId="0">
      <text>
        <r>
          <rPr>
            <sz val="8"/>
            <color indexed="81"/>
            <rFont val="Tahoma"/>
            <family val="2"/>
          </rPr>
          <t>Calculated multiplicaitvely.
Linear growth.</t>
        </r>
      </text>
    </comment>
    <comment ref="G20" authorId="1" shapeId="0">
      <text>
        <r>
          <rPr>
            <sz val="8"/>
            <color indexed="81"/>
            <rFont val="Tahoma"/>
            <family val="2"/>
          </rPr>
          <t xml:space="preserve">Expected inflation
</t>
        </r>
      </text>
    </comment>
    <comment ref="I20" authorId="1" shapeId="0">
      <text>
        <r>
          <rPr>
            <sz val="8"/>
            <color indexed="81"/>
            <rFont val="Tahoma"/>
            <family val="2"/>
          </rPr>
          <t xml:space="preserve">Start with base units from last year
</t>
        </r>
      </text>
    </comment>
    <comment ref="M20" authorId="1" shapeId="0">
      <text>
        <r>
          <rPr>
            <sz val="8"/>
            <color indexed="81"/>
            <rFont val="Tahoma"/>
            <family val="2"/>
          </rPr>
          <t xml:space="preserve">Last year's price inflated (US inflation).
</t>
        </r>
      </text>
    </comment>
    <comment ref="N20" authorId="1" shapeId="0">
      <text>
        <r>
          <rPr>
            <sz val="8"/>
            <color indexed="81"/>
            <rFont val="Tahoma"/>
            <family val="2"/>
          </rPr>
          <t xml:space="preserve">Own brand grows to sustainable level in years 1-5
</t>
        </r>
      </text>
    </comment>
  </commentList>
</comments>
</file>

<file path=xl/sharedStrings.xml><?xml version="1.0" encoding="utf-8"?>
<sst xmlns="http://schemas.openxmlformats.org/spreadsheetml/2006/main" count="64" uniqueCount="63">
  <si>
    <t xml:space="preserve">Sales </t>
  </si>
  <si>
    <t>Min</t>
  </si>
  <si>
    <t>Most likely</t>
  </si>
  <si>
    <t>Max</t>
  </si>
  <si>
    <t>Own brand end</t>
  </si>
  <si>
    <t>Initial units %, vol.</t>
  </si>
  <si>
    <t>Inflation:</t>
  </si>
  <si>
    <t>A</t>
  </si>
  <si>
    <t>B</t>
  </si>
  <si>
    <t>C</t>
  </si>
  <si>
    <t>Sample:</t>
  </si>
  <si>
    <t>Year</t>
  </si>
  <si>
    <t>Exchange rate</t>
  </si>
  <si>
    <t>Inflation UK</t>
  </si>
  <si>
    <t>Inflation US</t>
  </si>
  <si>
    <t>Units growth fraction</t>
  </si>
  <si>
    <t>US Price</t>
  </si>
  <si>
    <t>Own brand%</t>
  </si>
  <si>
    <t>OB min</t>
  </si>
  <si>
    <t>OB likely</t>
  </si>
  <si>
    <t>OB max</t>
  </si>
  <si>
    <t>OB cost (£)</t>
  </si>
  <si>
    <t>Own brand profit ($)</t>
  </si>
  <si>
    <t>Total profit</t>
  </si>
  <si>
    <t>Capex</t>
  </si>
  <si>
    <t>Fixed costs</t>
  </si>
  <si>
    <t>Cashflow(£)</t>
  </si>
  <si>
    <t>DCF (£)</t>
  </si>
  <si>
    <t>Market growth model</t>
  </si>
  <si>
    <t>Cost of production</t>
  </si>
  <si>
    <t>Cost Superlaunch $</t>
  </si>
  <si>
    <t>Own brand start</t>
  </si>
  <si>
    <t>Cost - proprietary, $</t>
  </si>
  <si>
    <t>Initial volume</t>
  </si>
  <si>
    <t>Sales growth lambda</t>
  </si>
  <si>
    <t>NPV £</t>
  </si>
  <si>
    <t>Eventual volume 000s</t>
  </si>
  <si>
    <t>Base units 000s</t>
  </si>
  <si>
    <t>Units growth 000s</t>
  </si>
  <si>
    <t>Total units 000s</t>
  </si>
  <si>
    <t>Own brand volume 000s</t>
  </si>
  <si>
    <t>Proprietary profit</t>
  </si>
  <si>
    <t>Discount rate</t>
  </si>
  <si>
    <t>Launch (0) or Superlaunch (1)</t>
  </si>
  <si>
    <t>Instead of using the Triangular distribution, one could also use the Pert-distribution</t>
  </si>
  <si>
    <t>Expected US</t>
  </si>
  <si>
    <t>Average</t>
  </si>
  <si>
    <t>Stdev</t>
  </si>
  <si>
    <t>NA</t>
  </si>
  <si>
    <t>"Normal Capex"</t>
  </si>
  <si>
    <t>Which one?</t>
  </si>
  <si>
    <t>Crystal Ball Data</t>
  </si>
  <si>
    <t>Workbook Variables</t>
  </si>
  <si>
    <t>Last Var Column</t>
  </si>
  <si>
    <t xml:space="preserve">    Name:</t>
  </si>
  <si>
    <t xml:space="preserve">    Value:</t>
  </si>
  <si>
    <t>Worksheet Data</t>
  </si>
  <si>
    <t>Last Data Column Used</t>
  </si>
  <si>
    <t>Sheet Ref</t>
  </si>
  <si>
    <t>Sheet Guid</t>
  </si>
  <si>
    <t>Deleted sheet count</t>
  </si>
  <si>
    <t>Last row used</t>
  </si>
  <si>
    <t>Data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</si>
</sst>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0.00000"/>
    <numFmt numFmtId="168" formatCode="0.000"/>
    <numFmt numFmtId="169" formatCode="#,##0.00_ ;\-#,##0.00\ "/>
    <numFmt numFmtId="170" formatCode="_-* #,##0.000_-;\-* #,##0.000_-;_-* &quot;-&quot;??_-;_-@_-"/>
  </numFmts>
  <fonts count="21" x14ac:knownFonts="1">
    <font>
      <sz val="11"/>
      <name val="Arial"/>
    </font>
    <font>
      <sz val="11"/>
      <name val="Arial"/>
      <family val="2"/>
    </font>
    <font>
      <sz val="9"/>
      <name val="Arial"/>
      <family val="2"/>
    </font>
    <font>
      <sz val="7"/>
      <name val="Arial"/>
      <family val="2"/>
    </font>
    <font>
      <sz val="9"/>
      <color indexed="10"/>
      <name val="Arial"/>
      <family val="2"/>
    </font>
    <font>
      <b/>
      <sz val="9"/>
      <name val="Arial"/>
      <family val="2"/>
    </font>
    <font>
      <sz val="8"/>
      <color indexed="81"/>
      <name val="Tahoma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8"/>
      <color indexed="81"/>
      <name val="Tahoma"/>
      <family val="2"/>
    </font>
    <font>
      <b/>
      <sz val="9"/>
      <color indexed="10"/>
      <name val="Arial"/>
      <family val="2"/>
    </font>
    <font>
      <sz val="11"/>
      <name val="Arial"/>
      <family val="2"/>
    </font>
    <font>
      <i/>
      <sz val="8"/>
      <name val="Arial"/>
      <family val="2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sz val="8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9"/>
      </patternFill>
    </fill>
    <fill>
      <patternFill patternType="solid">
        <fgColor indexed="13"/>
        <bgColor indexed="9"/>
      </patternFill>
    </fill>
    <fill>
      <patternFill patternType="solid">
        <fgColor indexed="11"/>
        <bgColor indexed="9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quotePrefix="1" applyFont="1"/>
    <xf numFmtId="0" fontId="5" fillId="0" borderId="0" xfId="0" applyFont="1" applyAlignment="1">
      <alignment wrapText="1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8" fillId="0" borderId="0" xfId="0" applyFont="1"/>
    <xf numFmtId="0" fontId="0" fillId="0" borderId="0" xfId="0" applyFill="1"/>
    <xf numFmtId="0" fontId="10" fillId="0" borderId="0" xfId="0" applyFont="1"/>
    <xf numFmtId="0" fontId="10" fillId="0" borderId="0" xfId="0" applyFont="1" applyFill="1"/>
    <xf numFmtId="0" fontId="11" fillId="0" borderId="0" xfId="0" applyFont="1"/>
    <xf numFmtId="0" fontId="5" fillId="2" borderId="1" xfId="0" applyFont="1" applyFill="1" applyBorder="1" applyAlignment="1">
      <alignment horizontal="center" vertical="distributed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2" fillId="0" borderId="2" xfId="2" applyFont="1" applyBorder="1" applyAlignment="1">
      <alignment horizontal="center"/>
    </xf>
    <xf numFmtId="9" fontId="2" fillId="0" borderId="3" xfId="2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5" fontId="2" fillId="0" borderId="2" xfId="2" applyNumberFormat="1" applyFont="1" applyBorder="1" applyAlignment="1">
      <alignment horizontal="center"/>
    </xf>
    <xf numFmtId="165" fontId="2" fillId="0" borderId="3" xfId="2" applyNumberFormat="1" applyFont="1" applyBorder="1" applyAlignment="1">
      <alignment horizontal="center"/>
    </xf>
    <xf numFmtId="169" fontId="2" fillId="0" borderId="2" xfId="1" applyNumberFormat="1" applyFont="1" applyBorder="1" applyAlignment="1">
      <alignment horizontal="center"/>
    </xf>
    <xf numFmtId="169" fontId="2" fillId="0" borderId="3" xfId="1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12" fillId="0" borderId="6" xfId="0" applyFont="1" applyFill="1" applyBorder="1"/>
    <xf numFmtId="1" fontId="10" fillId="0" borderId="1" xfId="0" applyNumberFormat="1" applyFont="1" applyFill="1" applyBorder="1" applyAlignment="1">
      <alignment horizontal="center"/>
    </xf>
    <xf numFmtId="166" fontId="12" fillId="0" borderId="1" xfId="1" applyNumberFormat="1" applyFont="1" applyFill="1" applyBorder="1" applyAlignment="1">
      <alignment horizontal="center"/>
    </xf>
    <xf numFmtId="165" fontId="12" fillId="0" borderId="1" xfId="2" applyNumberFormat="1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0" fillId="3" borderId="1" xfId="0" applyFont="1" applyFill="1" applyBorder="1"/>
    <xf numFmtId="0" fontId="10" fillId="3" borderId="9" xfId="0" applyFont="1" applyFill="1" applyBorder="1"/>
    <xf numFmtId="0" fontId="10" fillId="0" borderId="1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66" fontId="2" fillId="0" borderId="2" xfId="1" applyNumberFormat="1" applyFont="1" applyBorder="1" applyAlignment="1">
      <alignment horizontal="center"/>
    </xf>
    <xf numFmtId="166" fontId="2" fillId="0" borderId="3" xfId="1" applyNumberFormat="1" applyFont="1" applyBorder="1" applyAlignment="1">
      <alignment horizontal="center"/>
    </xf>
    <xf numFmtId="10" fontId="12" fillId="0" borderId="6" xfId="0" applyNumberFormat="1" applyFont="1" applyFill="1" applyBorder="1"/>
    <xf numFmtId="1" fontId="2" fillId="4" borderId="2" xfId="0" applyNumberFormat="1" applyFont="1" applyFill="1" applyBorder="1" applyAlignment="1">
      <alignment horizontal="center"/>
    </xf>
    <xf numFmtId="170" fontId="2" fillId="0" borderId="2" xfId="1" applyNumberFormat="1" applyFont="1" applyBorder="1" applyAlignment="1">
      <alignment horizontal="center"/>
    </xf>
    <xf numFmtId="0" fontId="16" fillId="0" borderId="0" xfId="0" applyFont="1"/>
    <xf numFmtId="166" fontId="14" fillId="5" borderId="11" xfId="1" applyNumberFormat="1" applyFont="1" applyFill="1" applyBorder="1"/>
    <xf numFmtId="10" fontId="12" fillId="0" borderId="0" xfId="0" applyNumberFormat="1" applyFont="1" applyFill="1" applyBorder="1"/>
    <xf numFmtId="0" fontId="18" fillId="0" borderId="0" xfId="0" applyFont="1"/>
    <xf numFmtId="0" fontId="17" fillId="6" borderId="12" xfId="0" applyFont="1" applyFill="1" applyBorder="1" applyAlignment="1">
      <alignment horizontal="center"/>
    </xf>
    <xf numFmtId="1" fontId="12" fillId="7" borderId="1" xfId="0" applyNumberFormat="1" applyFont="1" applyFill="1" applyBorder="1" applyAlignment="1">
      <alignment horizontal="center"/>
    </xf>
    <xf numFmtId="165" fontId="12" fillId="0" borderId="0" xfId="2" applyNumberFormat="1" applyFont="1" applyFill="1" applyBorder="1" applyAlignment="1">
      <alignment horizontal="center"/>
    </xf>
    <xf numFmtId="167" fontId="12" fillId="0" borderId="0" xfId="0" applyNumberFormat="1" applyFont="1" applyFill="1" applyBorder="1" applyAlignment="1">
      <alignment horizontal="center"/>
    </xf>
    <xf numFmtId="166" fontId="12" fillId="0" borderId="0" xfId="1" applyNumberFormat="1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67" fontId="12" fillId="7" borderId="1" xfId="0" applyNumberFormat="1" applyFont="1" applyFill="1" applyBorder="1" applyAlignment="1">
      <alignment horizontal="center"/>
    </xf>
    <xf numFmtId="165" fontId="12" fillId="7" borderId="1" xfId="2" applyNumberFormat="1" applyFont="1" applyFill="1" applyBorder="1" applyAlignment="1">
      <alignment horizontal="center"/>
    </xf>
    <xf numFmtId="10" fontId="12" fillId="7" borderId="4" xfId="2" applyNumberFormat="1" applyFont="1" applyFill="1" applyBorder="1" applyAlignment="1">
      <alignment horizontal="center"/>
    </xf>
    <xf numFmtId="10" fontId="12" fillId="7" borderId="6" xfId="2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7" borderId="10" xfId="2" applyNumberFormat="1" applyFont="1" applyFill="1" applyBorder="1" applyAlignment="1">
      <alignment horizontal="center"/>
    </xf>
    <xf numFmtId="165" fontId="2" fillId="7" borderId="2" xfId="2" applyNumberFormat="1" applyFont="1" applyFill="1" applyBorder="1" applyAlignment="1">
      <alignment horizontal="center"/>
    </xf>
    <xf numFmtId="165" fontId="2" fillId="7" borderId="3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8" fontId="2" fillId="0" borderId="13" xfId="0" applyNumberFormat="1" applyFont="1" applyBorder="1" applyAlignment="1">
      <alignment horizontal="center"/>
    </xf>
    <xf numFmtId="168" fontId="2" fillId="0" borderId="4" xfId="0" applyNumberFormat="1" applyFont="1" applyBorder="1" applyAlignment="1">
      <alignment horizontal="center"/>
    </xf>
    <xf numFmtId="168" fontId="2" fillId="0" borderId="14" xfId="0" applyNumberFormat="1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170" fontId="2" fillId="7" borderId="2" xfId="1" applyNumberFormat="1" applyFont="1" applyFill="1" applyBorder="1" applyAlignment="1">
      <alignment horizontal="center"/>
    </xf>
    <xf numFmtId="170" fontId="2" fillId="7" borderId="3" xfId="1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2" fontId="2" fillId="7" borderId="3" xfId="0" applyNumberFormat="1" applyFont="1" applyFill="1" applyBorder="1" applyAlignment="1">
      <alignment horizontal="center"/>
    </xf>
    <xf numFmtId="0" fontId="2" fillId="7" borderId="0" xfId="0" applyFont="1" applyFill="1"/>
    <xf numFmtId="165" fontId="12" fillId="7" borderId="9" xfId="2" applyNumberFormat="1" applyFont="1" applyFill="1" applyBorder="1" applyAlignment="1">
      <alignment horizontal="center"/>
    </xf>
    <xf numFmtId="165" fontId="12" fillId="7" borderId="6" xfId="2" applyNumberFormat="1" applyFont="1" applyFill="1" applyBorder="1" applyAlignment="1">
      <alignment horizontal="center"/>
    </xf>
    <xf numFmtId="10" fontId="10" fillId="0" borderId="5" xfId="2" applyNumberFormat="1" applyFont="1" applyFill="1" applyBorder="1" applyAlignment="1">
      <alignment horizontal="center"/>
    </xf>
    <xf numFmtId="10" fontId="12" fillId="7" borderId="2" xfId="2" applyNumberFormat="1" applyFont="1" applyFill="1" applyBorder="1" applyAlignment="1">
      <alignment horizontal="center"/>
    </xf>
    <xf numFmtId="10" fontId="10" fillId="0" borderId="3" xfId="2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3" fontId="0" fillId="0" borderId="0" xfId="0" applyNumberFormat="1"/>
    <xf numFmtId="4" fontId="0" fillId="0" borderId="0" xfId="0" applyNumberFormat="1"/>
    <xf numFmtId="10" fontId="12" fillId="7" borderId="1" xfId="2" applyNumberFormat="1" applyFont="1" applyFill="1" applyBorder="1" applyAlignment="1">
      <alignment horizontal="center"/>
    </xf>
    <xf numFmtId="0" fontId="20" fillId="0" borderId="0" xfId="0" applyFont="1"/>
    <xf numFmtId="0" fontId="10" fillId="8" borderId="15" xfId="0" applyFont="1" applyFill="1" applyBorder="1" applyAlignment="1">
      <alignment horizontal="left" vertical="distributed" wrapText="1"/>
    </xf>
    <xf numFmtId="0" fontId="15" fillId="0" borderId="16" xfId="0" applyFont="1" applyBorder="1"/>
    <xf numFmtId="0" fontId="15" fillId="0" borderId="17" xfId="0" applyFont="1" applyBorder="1"/>
    <xf numFmtId="0" fontId="15" fillId="0" borderId="18" xfId="0" applyFont="1" applyBorder="1"/>
    <xf numFmtId="0" fontId="15" fillId="0" borderId="19" xfId="0" applyFont="1" applyBorder="1"/>
    <xf numFmtId="0" fontId="15" fillId="0" borderId="20" xfId="0" applyFont="1" applyBorder="1"/>
    <xf numFmtId="0" fontId="9" fillId="2" borderId="9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units</a:t>
            </a:r>
          </a:p>
        </c:rich>
      </c:tx>
      <c:layout>
        <c:manualLayout>
          <c:xMode val="edge"/>
          <c:yMode val="edge"/>
          <c:x val="0.40785561925605218"/>
          <c:y val="2.68817204301075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95186218352026"/>
          <c:y val="0.14516205247213373"/>
          <c:w val="0.81571117310112162"/>
          <c:h val="0.71505751773310311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'Market growth model'!$B$21:$B$30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model'!$L$21:$L$30</c:f>
              <c:numCache>
                <c:formatCode>0.00</c:formatCode>
                <c:ptCount val="10"/>
                <c:pt idx="0">
                  <c:v>378.04449210788181</c:v>
                </c:pt>
                <c:pt idx="1">
                  <c:v>636.29163481148316</c:v>
                </c:pt>
                <c:pt idx="2">
                  <c:v>833.59851692699192</c:v>
                </c:pt>
                <c:pt idx="3">
                  <c:v>892.96361777928053</c:v>
                </c:pt>
                <c:pt idx="4">
                  <c:v>901.2712170441531</c:v>
                </c:pt>
                <c:pt idx="5">
                  <c:v>901.83922240121206</c:v>
                </c:pt>
                <c:pt idx="6">
                  <c:v>901.85857305455954</c:v>
                </c:pt>
                <c:pt idx="7">
                  <c:v>901.85890446137591</c:v>
                </c:pt>
                <c:pt idx="8">
                  <c:v>901.85890732685107</c:v>
                </c:pt>
                <c:pt idx="9">
                  <c:v>901.85890733938561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61-49F4-B19F-E8D51520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990416"/>
        <c:axId val="1"/>
      </c:scatterChart>
      <c:valAx>
        <c:axId val="581990416"/>
        <c:scaling>
          <c:orientation val="minMax"/>
          <c:max val="2013"/>
          <c:min val="200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200"/>
        </c:scaling>
        <c:delete val="0"/>
        <c:axPos val="l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19904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Exchange rate</a:t>
            </a:r>
          </a:p>
        </c:rich>
      </c:tx>
      <c:layout>
        <c:manualLayout>
          <c:xMode val="edge"/>
          <c:yMode val="edge"/>
          <c:x val="0.35315985130111527"/>
          <c:y val="2.67379679144385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11152416356875"/>
          <c:y val="0.13369018865461188"/>
          <c:w val="0.82156133828996269"/>
          <c:h val="0.74331744891964213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'Market growth model'!$B$21:$B$30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model'!$E$21:$E$30</c:f>
              <c:numCache>
                <c:formatCode>_-* #,##0.000_-;\-* #,##0.000_-;_-* "-"??_-;_-@_-</c:formatCode>
                <c:ptCount val="10"/>
                <c:pt idx="0">
                  <c:v>0.62</c:v>
                </c:pt>
                <c:pt idx="1">
                  <c:v>0.71666634420663244</c:v>
                </c:pt>
                <c:pt idx="2">
                  <c:v>0.79623163610371661</c:v>
                </c:pt>
                <c:pt idx="3">
                  <c:v>0.87983015482645477</c:v>
                </c:pt>
                <c:pt idx="4">
                  <c:v>0.97452067896154604</c:v>
                </c:pt>
                <c:pt idx="5">
                  <c:v>1.1037148083730721</c:v>
                </c:pt>
                <c:pt idx="6">
                  <c:v>1.2112716582561402</c:v>
                </c:pt>
                <c:pt idx="7">
                  <c:v>1.4314544507950451</c:v>
                </c:pt>
                <c:pt idx="8">
                  <c:v>1.5476463970620331</c:v>
                </c:pt>
                <c:pt idx="9">
                  <c:v>1.6909377266690211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A-4064-9971-0F40E68A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25784"/>
        <c:axId val="1"/>
      </c:scatterChart>
      <c:valAx>
        <c:axId val="693825784"/>
        <c:scaling>
          <c:orientation val="minMax"/>
          <c:max val="2013"/>
          <c:min val="200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_-* #,##0.000_-;\-* #,##0.00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38257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Proprietary profit</a:t>
            </a:r>
          </a:p>
        </c:rich>
      </c:tx>
      <c:layout>
        <c:manualLayout>
          <c:xMode val="edge"/>
          <c:yMode val="edge"/>
          <c:x val="0.33220410160594327"/>
          <c:y val="2.6595744680851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61049491938384"/>
          <c:y val="0.13829787234042556"/>
          <c:w val="0.74915378236523833"/>
          <c:h val="0.7393617021276595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'Market growth model'!$B$21:$B$30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model'!$P$21:$P$30</c:f>
              <c:numCache>
                <c:formatCode>_-* #,##0_-;\-* #,##0_-;_-* "-"??_-;_-@_-</c:formatCode>
                <c:ptCount val="10"/>
                <c:pt idx="0">
                  <c:v>1290759.488603818</c:v>
                </c:pt>
                <c:pt idx="1">
                  <c:v>2090351.8622088172</c:v>
                </c:pt>
                <c:pt idx="2">
                  <c:v>2630196.9153709598</c:v>
                </c:pt>
                <c:pt idx="3">
                  <c:v>2700751.0745325778</c:v>
                </c:pt>
                <c:pt idx="4">
                  <c:v>2603393.2215568917</c:v>
                </c:pt>
                <c:pt idx="5">
                  <c:v>2728301.4901178731</c:v>
                </c:pt>
                <c:pt idx="6">
                  <c:v>2665744.2888807198</c:v>
                </c:pt>
                <c:pt idx="7">
                  <c:v>3096169.675493883</c:v>
                </c:pt>
                <c:pt idx="8">
                  <c:v>3602446.0188293885</c:v>
                </c:pt>
                <c:pt idx="9">
                  <c:v>4188503.1880216212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65-4ADC-BF75-8949955BF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18312"/>
        <c:axId val="1"/>
      </c:scatterChart>
      <c:valAx>
        <c:axId val="596718312"/>
        <c:scaling>
          <c:orientation val="minMax"/>
          <c:max val="2013"/>
          <c:min val="200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000000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718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Own brand profit</a:t>
            </a:r>
          </a:p>
        </c:rich>
      </c:tx>
      <c:layout>
        <c:manualLayout>
          <c:xMode val="edge"/>
          <c:yMode val="edge"/>
          <c:x val="0.34394904458598724"/>
          <c:y val="2.645502645502645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471337579617839"/>
          <c:y val="0.13756684837367919"/>
          <c:w val="0.76433121019108297"/>
          <c:h val="0.74074456816596479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'Market growth model'!$B$21:$B$30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model'!$U$21:$U$30</c:f>
              <c:numCache>
                <c:formatCode>_-* #,##0_-;\-* #,##0_-;_-* "-"??_-;_-@_-</c:formatCode>
                <c:ptCount val="10"/>
                <c:pt idx="0">
                  <c:v>854705.82541369123</c:v>
                </c:pt>
                <c:pt idx="1">
                  <c:v>2348786.6521498337</c:v>
                </c:pt>
                <c:pt idx="2">
                  <c:v>4216306.7407233389</c:v>
                </c:pt>
                <c:pt idx="3">
                  <c:v>5655278.4194562938</c:v>
                </c:pt>
                <c:pt idx="4">
                  <c:v>7295949.1880475776</c:v>
                </c:pt>
                <c:pt idx="5">
                  <c:v>7987591.9031755552</c:v>
                </c:pt>
                <c:pt idx="6">
                  <c:v>8998918.4843042903</c:v>
                </c:pt>
                <c:pt idx="7">
                  <c:v>10042314.401562439</c:v>
                </c:pt>
                <c:pt idx="8">
                  <c:v>10880223.853392001</c:v>
                </c:pt>
                <c:pt idx="9">
                  <c:v>11911015.51167573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14-4E20-B13F-C78A2B980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719624"/>
        <c:axId val="1"/>
      </c:scatterChart>
      <c:valAx>
        <c:axId val="596719624"/>
        <c:scaling>
          <c:orientation val="minMax"/>
          <c:max val="2013"/>
          <c:min val="200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8000000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96719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profit</a:t>
            </a:r>
          </a:p>
        </c:rich>
      </c:tx>
      <c:layout>
        <c:manualLayout>
          <c:xMode val="edge"/>
          <c:yMode val="edge"/>
          <c:x val="0.36554710073005575"/>
          <c:y val="2.63157894736842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848784320805542"/>
          <c:y val="0.13157928551420006"/>
          <c:w val="0.72689224759603066"/>
          <c:h val="0.7473703417206560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'Market growth model'!$B$21:$B$30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model'!$V$21:$V$30</c:f>
              <c:numCache>
                <c:formatCode>_-* #,##0_-;\-* #,##0_-;_-* "-"??_-;_-@_-</c:formatCode>
                <c:ptCount val="10"/>
                <c:pt idx="0">
                  <c:v>2145465.3140175091</c:v>
                </c:pt>
                <c:pt idx="1">
                  <c:v>4439138.5143586509</c:v>
                </c:pt>
                <c:pt idx="2">
                  <c:v>6846503.6560942987</c:v>
                </c:pt>
                <c:pt idx="3">
                  <c:v>8356029.4939888716</c:v>
                </c:pt>
                <c:pt idx="4">
                  <c:v>9899342.4096044693</c:v>
                </c:pt>
                <c:pt idx="5">
                  <c:v>10715893.393293429</c:v>
                </c:pt>
                <c:pt idx="6">
                  <c:v>11664662.773185011</c:v>
                </c:pt>
                <c:pt idx="7">
                  <c:v>13138484.077056322</c:v>
                </c:pt>
                <c:pt idx="8">
                  <c:v>14482669.87222139</c:v>
                </c:pt>
                <c:pt idx="9">
                  <c:v>16099518.699697351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F5-4F39-B9F2-03DF9A3C9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32160"/>
        <c:axId val="1"/>
      </c:scatterChart>
      <c:valAx>
        <c:axId val="583632160"/>
        <c:scaling>
          <c:orientation val="minMax"/>
          <c:max val="2013"/>
          <c:min val="200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8000000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321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DCF £</a:t>
            </a:r>
          </a:p>
        </c:rich>
      </c:tx>
      <c:layout>
        <c:manualLayout>
          <c:xMode val="edge"/>
          <c:yMode val="edge"/>
          <c:x val="0.44027303754266212"/>
          <c:y val="2.61780104712041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501706484641644"/>
          <c:y val="0.13612565445026178"/>
          <c:w val="0.73037542662116062"/>
          <c:h val="0.80628272251308908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'Market growth model'!$B$21:$B$30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xVal>
          <c:yVal>
            <c:numRef>
              <c:f>'Market growth model'!$Z$21:$Z$30</c:f>
              <c:numCache>
                <c:formatCode>_-* #,##0_-;\-* #,##0_-;_-* "-"??_-;_-@_-</c:formatCode>
                <c:ptCount val="10"/>
                <c:pt idx="0">
                  <c:v>-24776764.884300988</c:v>
                </c:pt>
                <c:pt idx="1">
                  <c:v>1351632.8759974169</c:v>
                </c:pt>
                <c:pt idx="2">
                  <c:v>2835474.5287720878</c:v>
                </c:pt>
                <c:pt idx="3">
                  <c:v>3787752.9943976966</c:v>
                </c:pt>
                <c:pt idx="4">
                  <c:v>4799259.7016062597</c:v>
                </c:pt>
                <c:pt idx="5">
                  <c:v>5482248.8269255003</c:v>
                </c:pt>
                <c:pt idx="6">
                  <c:v>6101007.0931720734</c:v>
                </c:pt>
                <c:pt idx="7">
                  <c:v>7628692.9232422188</c:v>
                </c:pt>
                <c:pt idx="8">
                  <c:v>8470433.8678510934</c:v>
                </c:pt>
                <c:pt idx="9">
                  <c:v>9591932.7667639088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2-4AAF-9704-199E17E62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630848"/>
        <c:axId val="1"/>
      </c:scatterChart>
      <c:valAx>
        <c:axId val="583630848"/>
        <c:scaling>
          <c:orientation val="minMax"/>
          <c:max val="2013"/>
          <c:min val="2004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_-* #,##0_-;\-* #,##0_-;_-* &quot;-&quot;??_-;_-@_-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83630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chart" Target="../charts/chart3.xml"/><Relationship Id="rId7" Type="http://schemas.openxmlformats.org/officeDocument/2006/relationships/hyperlink" Target="http://www.epixanalytics.com/" TargetMode="Externa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0</xdr:rowOff>
    </xdr:from>
    <xdr:to>
      <xdr:col>4</xdr:col>
      <xdr:colOff>38100</xdr:colOff>
      <xdr:row>43</xdr:row>
      <xdr:rowOff>63500</xdr:rowOff>
    </xdr:to>
    <xdr:graphicFrame macro="">
      <xdr:nvGraphicFramePr>
        <xdr:cNvPr id="1206" name="Chart 107">
          <a:extLst>
            <a:ext uri="{FF2B5EF4-FFF2-40B4-BE49-F238E27FC236}">
              <a16:creationId xmlns:a16="http://schemas.microsoft.com/office/drawing/2014/main" id="{036CC592-E7CF-40C3-AD66-1F10EBBF0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32</xdr:row>
      <xdr:rowOff>6350</xdr:rowOff>
    </xdr:from>
    <xdr:to>
      <xdr:col>7</xdr:col>
      <xdr:colOff>457200</xdr:colOff>
      <xdr:row>43</xdr:row>
      <xdr:rowOff>82550</xdr:rowOff>
    </xdr:to>
    <xdr:graphicFrame macro="">
      <xdr:nvGraphicFramePr>
        <xdr:cNvPr id="1207" name="Chart 112">
          <a:extLst>
            <a:ext uri="{FF2B5EF4-FFF2-40B4-BE49-F238E27FC236}">
              <a16:creationId xmlns:a16="http://schemas.microsoft.com/office/drawing/2014/main" id="{E33B3383-44CA-440D-A339-3E272FFBE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565150</xdr:colOff>
      <xdr:row>32</xdr:row>
      <xdr:rowOff>6350</xdr:rowOff>
    </xdr:from>
    <xdr:to>
      <xdr:col>11</xdr:col>
      <xdr:colOff>571500</xdr:colOff>
      <xdr:row>43</xdr:row>
      <xdr:rowOff>88900</xdr:rowOff>
    </xdr:to>
    <xdr:graphicFrame macro="">
      <xdr:nvGraphicFramePr>
        <xdr:cNvPr id="1208" name="Chart 113">
          <a:extLst>
            <a:ext uri="{FF2B5EF4-FFF2-40B4-BE49-F238E27FC236}">
              <a16:creationId xmlns:a16="http://schemas.microsoft.com/office/drawing/2014/main" id="{3DE38D27-945D-443E-88DC-49793C506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32</xdr:row>
      <xdr:rowOff>0</xdr:rowOff>
    </xdr:from>
    <xdr:to>
      <xdr:col>16</xdr:col>
      <xdr:colOff>622300</xdr:colOff>
      <xdr:row>43</xdr:row>
      <xdr:rowOff>88900</xdr:rowOff>
    </xdr:to>
    <xdr:graphicFrame macro="">
      <xdr:nvGraphicFramePr>
        <xdr:cNvPr id="1209" name="Chart 114">
          <a:extLst>
            <a:ext uri="{FF2B5EF4-FFF2-40B4-BE49-F238E27FC236}">
              <a16:creationId xmlns:a16="http://schemas.microsoft.com/office/drawing/2014/main" id="{18E83769-08D4-4B88-AC25-096F53281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57150</xdr:colOff>
      <xdr:row>32</xdr:row>
      <xdr:rowOff>0</xdr:rowOff>
    </xdr:from>
    <xdr:to>
      <xdr:col>20</xdr:col>
      <xdr:colOff>666750</xdr:colOff>
      <xdr:row>43</xdr:row>
      <xdr:rowOff>101600</xdr:rowOff>
    </xdr:to>
    <xdr:graphicFrame macro="">
      <xdr:nvGraphicFramePr>
        <xdr:cNvPr id="1210" name="Chart 115">
          <a:extLst>
            <a:ext uri="{FF2B5EF4-FFF2-40B4-BE49-F238E27FC236}">
              <a16:creationId xmlns:a16="http://schemas.microsoft.com/office/drawing/2014/main" id="{9A039302-1DE7-4C4D-A09E-F1BC71CC1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57150</xdr:colOff>
      <xdr:row>32</xdr:row>
      <xdr:rowOff>0</xdr:rowOff>
    </xdr:from>
    <xdr:to>
      <xdr:col>25</xdr:col>
      <xdr:colOff>25400</xdr:colOff>
      <xdr:row>43</xdr:row>
      <xdr:rowOff>107950</xdr:rowOff>
    </xdr:to>
    <xdr:graphicFrame macro="">
      <xdr:nvGraphicFramePr>
        <xdr:cNvPr id="1211" name="Chart 116">
          <a:extLst>
            <a:ext uri="{FF2B5EF4-FFF2-40B4-BE49-F238E27FC236}">
              <a16:creationId xmlns:a16="http://schemas.microsoft.com/office/drawing/2014/main" id="{17206DD8-8198-40D0-A8DB-A14E68EBCC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95250</xdr:colOff>
      <xdr:row>15</xdr:row>
      <xdr:rowOff>57150</xdr:rowOff>
    </xdr:from>
    <xdr:to>
      <xdr:col>6</xdr:col>
      <xdr:colOff>327034</xdr:colOff>
      <xdr:row>18</xdr:row>
      <xdr:rowOff>79410</xdr:rowOff>
    </xdr:to>
    <xdr:sp macro="" textlink="">
      <xdr:nvSpPr>
        <xdr:cNvPr id="1168" name="Text Box 144">
          <a:extLst>
            <a:ext uri="{FF2B5EF4-FFF2-40B4-BE49-F238E27FC236}">
              <a16:creationId xmlns:a16="http://schemas.microsoft.com/office/drawing/2014/main" id="{34B62FE4-E791-425B-B742-B40348617ECA}"/>
            </a:ext>
          </a:extLst>
        </xdr:cNvPr>
        <xdr:cNvSpPr txBox="1">
          <a:spLocks noChangeArrowheads="1"/>
        </xdr:cNvSpPr>
      </xdr:nvSpPr>
      <xdr:spPr bwMode="auto">
        <a:xfrm>
          <a:off x="2743200" y="2724150"/>
          <a:ext cx="2171700" cy="59055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100" b="0" i="0" strike="noStrike">
              <a:solidFill>
                <a:srgbClr val="000000"/>
              </a:solidFill>
              <a:latin typeface="Arial"/>
              <a:cs typeface="Arial"/>
            </a:rPr>
            <a:t>Use the Decision Table Tool to run this model. Select 'CBTools' and then select 'Decision Table'</a:t>
          </a:r>
        </a:p>
      </xdr:txBody>
    </xdr:sp>
    <xdr:clientData/>
  </xdr:twoCellAnchor>
  <xdr:twoCellAnchor editAs="oneCell">
    <xdr:from>
      <xdr:col>1</xdr:col>
      <xdr:colOff>0</xdr:colOff>
      <xdr:row>0</xdr:row>
      <xdr:rowOff>31750</xdr:rowOff>
    </xdr:from>
    <xdr:to>
      <xdr:col>2</xdr:col>
      <xdr:colOff>209550</xdr:colOff>
      <xdr:row>2</xdr:row>
      <xdr:rowOff>107950</xdr:rowOff>
    </xdr:to>
    <xdr:pic>
      <xdr:nvPicPr>
        <xdr:cNvPr id="2" name="Picture 126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AF943B9-A404-4E7C-BDAF-E407BAF1EF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0" y="31750"/>
          <a:ext cx="1885950" cy="1022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95250</xdr:rowOff>
    </xdr:from>
    <xdr:to>
      <xdr:col>7</xdr:col>
      <xdr:colOff>584200</xdr:colOff>
      <xdr:row>18</xdr:row>
      <xdr:rowOff>19050</xdr:rowOff>
    </xdr:to>
    <xdr:pic>
      <xdr:nvPicPr>
        <xdr:cNvPr id="2053" name="Picture 1">
          <a:extLst>
            <a:ext uri="{FF2B5EF4-FFF2-40B4-BE49-F238E27FC236}">
              <a16:creationId xmlns:a16="http://schemas.microsoft.com/office/drawing/2014/main" id="{1CA54305-4132-4718-A3C5-338E56B2C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0" y="95250"/>
          <a:ext cx="5822950" cy="312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25"/>
  <sheetViews>
    <sheetView workbookViewId="0"/>
  </sheetViews>
  <sheetFormatPr defaultRowHeight="14" x14ac:dyDescent="0.3"/>
  <cols>
    <col min="1" max="2" width="36.58203125" customWidth="1"/>
  </cols>
  <sheetData>
    <row r="1" spans="1:3" x14ac:dyDescent="0.3">
      <c r="A1" s="89" t="s">
        <v>51</v>
      </c>
    </row>
    <row r="3" spans="1:3" x14ac:dyDescent="0.3">
      <c r="A3" t="s">
        <v>52</v>
      </c>
      <c r="B3" t="s">
        <v>53</v>
      </c>
      <c r="C3">
        <v>0</v>
      </c>
    </row>
    <row r="4" spans="1:3" x14ac:dyDescent="0.3">
      <c r="A4" t="s">
        <v>54</v>
      </c>
    </row>
    <row r="5" spans="1:3" x14ac:dyDescent="0.3">
      <c r="A5" t="s">
        <v>55</v>
      </c>
    </row>
    <row r="7" spans="1:3" x14ac:dyDescent="0.3">
      <c r="A7" s="89" t="s">
        <v>56</v>
      </c>
      <c r="B7" t="s">
        <v>57</v>
      </c>
    </row>
    <row r="8" spans="1:3" x14ac:dyDescent="0.3">
      <c r="B8">
        <v>0</v>
      </c>
    </row>
    <row r="10" spans="1:3" x14ac:dyDescent="0.3">
      <c r="A10" t="s">
        <v>58</v>
      </c>
    </row>
    <row r="13" spans="1:3" x14ac:dyDescent="0.3">
      <c r="A13" t="s">
        <v>59</v>
      </c>
    </row>
    <row r="16" spans="1:3" x14ac:dyDescent="0.3">
      <c r="A16" t="s">
        <v>60</v>
      </c>
    </row>
    <row r="19" spans="1:1" x14ac:dyDescent="0.3">
      <c r="A19" t="s">
        <v>61</v>
      </c>
    </row>
    <row r="25" spans="1:1" x14ac:dyDescent="0.3">
      <c r="A25" s="89" t="s">
        <v>62</v>
      </c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N35"/>
  <sheetViews>
    <sheetView showGridLines="0" tabSelected="1" workbookViewId="0">
      <selection activeCell="W18" sqref="W18"/>
    </sheetView>
  </sheetViews>
  <sheetFormatPr defaultColWidth="9" defaultRowHeight="11.5" x14ac:dyDescent="0.25"/>
  <cols>
    <col min="1" max="1" width="2.58203125" style="1" customWidth="1"/>
    <col min="2" max="2" width="22" style="1" customWidth="1"/>
    <col min="3" max="3" width="10.08203125" style="1" customWidth="1"/>
    <col min="4" max="4" width="8.75" style="1" bestFit="1" customWidth="1"/>
    <col min="5" max="5" width="8.33203125" style="1" customWidth="1"/>
    <col min="6" max="6" width="8.25" style="1" bestFit="1" customWidth="1"/>
    <col min="7" max="7" width="12.75" style="1" customWidth="1"/>
    <col min="8" max="8" width="7.58203125" style="1" customWidth="1"/>
    <col min="9" max="9" width="9.5" style="1" customWidth="1"/>
    <col min="10" max="10" width="10" style="1" customWidth="1"/>
    <col min="11" max="11" width="9.75" style="1" customWidth="1"/>
    <col min="12" max="12" width="9.08203125" style="1" customWidth="1"/>
    <col min="13" max="13" width="8.75" style="1" customWidth="1"/>
    <col min="14" max="14" width="6.5" style="1" customWidth="1"/>
    <col min="15" max="15" width="9.75" style="1" customWidth="1"/>
    <col min="16" max="16" width="8.75" style="1" customWidth="1"/>
    <col min="17" max="17" width="5.75" style="1" customWidth="1"/>
    <col min="18" max="18" width="6.75" style="1" customWidth="1"/>
    <col min="19" max="19" width="5.83203125" style="1" customWidth="1"/>
    <col min="20" max="20" width="9.08203125" style="1" customWidth="1"/>
    <col min="21" max="21" width="10.75" style="1" bestFit="1" customWidth="1"/>
    <col min="22" max="22" width="9.58203125" style="1" customWidth="1"/>
    <col min="23" max="23" width="8.25" style="1" customWidth="1"/>
    <col min="24" max="24" width="9.75" style="1" customWidth="1"/>
    <col min="25" max="25" width="9.33203125" style="1" customWidth="1"/>
    <col min="26" max="26" width="9.5" style="1" customWidth="1"/>
    <col min="27" max="16384" width="9" style="1"/>
  </cols>
  <sheetData>
    <row r="1" spans="2:40" s="6" customFormat="1" ht="57.75" customHeight="1" x14ac:dyDescent="0.3"/>
    <row r="2" spans="2:40" s="6" customFormat="1" ht="17.25" customHeight="1" x14ac:dyDescent="0.4">
      <c r="E2" s="7" t="s">
        <v>28</v>
      </c>
      <c r="F2" s="7"/>
    </row>
    <row r="3" spans="2:40" s="6" customFormat="1" ht="15" customHeight="1" thickBot="1" x14ac:dyDescent="0.4">
      <c r="E3" s="8"/>
    </row>
    <row r="4" spans="2:40" s="6" customFormat="1" ht="12.75" customHeight="1" x14ac:dyDescent="0.3">
      <c r="B4" s="90" t="str">
        <f ca="1">CONCATENATE("Problem: You are asked to determine an NPV for 10 years of cashflow (with no residual value, e.g. lease end), discounted at 8.5% on revenue converted back to sterling, for a new store in Times Square, New York to be opened in ",YEAR(TODAY())+1)</f>
        <v>Problem: You are asked to determine an NPV for 10 years of cashflow (with no residual value, e.g. lease end), discounted at 8.5% on revenue converted back to sterling, for a new store in Times Square, New York to be opened in 2018</v>
      </c>
      <c r="C4" s="91"/>
      <c r="D4" s="91"/>
      <c r="E4" s="91"/>
      <c r="F4" s="91"/>
      <c r="G4" s="91"/>
      <c r="H4" s="91"/>
      <c r="I4" s="92"/>
    </row>
    <row r="5" spans="2:40" s="6" customFormat="1" ht="12.75" customHeight="1" thickBot="1" x14ac:dyDescent="0.35">
      <c r="B5" s="93"/>
      <c r="C5" s="94"/>
      <c r="D5" s="94"/>
      <c r="E5" s="94"/>
      <c r="F5" s="94"/>
      <c r="G5" s="94"/>
      <c r="H5" s="94"/>
      <c r="I5" s="95"/>
    </row>
    <row r="6" spans="2:40" ht="13" x14ac:dyDescent="0.3">
      <c r="B6" s="49" t="s">
        <v>44</v>
      </c>
      <c r="D6" s="10"/>
    </row>
    <row r="7" spans="2:40" ht="13" x14ac:dyDescent="0.3">
      <c r="D7" s="10"/>
    </row>
    <row r="8" spans="2:40" ht="13" x14ac:dyDescent="0.3">
      <c r="B8" s="38" t="s">
        <v>36</v>
      </c>
      <c r="C8" s="54">
        <v>901.85890733941346</v>
      </c>
      <c r="D8" s="56"/>
      <c r="E8" s="56"/>
      <c r="F8" s="10"/>
      <c r="G8" s="96" t="s">
        <v>6</v>
      </c>
      <c r="H8" s="98"/>
      <c r="I8" s="85" t="s">
        <v>50</v>
      </c>
      <c r="K8" s="24"/>
      <c r="L8" s="96" t="s">
        <v>29</v>
      </c>
      <c r="M8" s="97"/>
      <c r="N8" s="98"/>
    </row>
    <row r="9" spans="2:40" ht="14" x14ac:dyDescent="0.3">
      <c r="B9" s="38" t="s">
        <v>5</v>
      </c>
      <c r="C9" s="34">
        <f>(1-IfSuperlaunch)*D9+IfSuperlaunch*E9</f>
        <v>0.41918363175361445</v>
      </c>
      <c r="D9" s="80">
        <v>0.41918363175361445</v>
      </c>
      <c r="E9" s="81">
        <v>0.64786613469672816</v>
      </c>
      <c r="F9" s="10"/>
      <c r="G9" s="39" t="s">
        <v>7</v>
      </c>
      <c r="H9" s="61">
        <v>9.3669360623554881E-3</v>
      </c>
      <c r="I9" s="88">
        <v>0.3</v>
      </c>
      <c r="K9" s="29" t="s">
        <v>0</v>
      </c>
      <c r="L9" s="29" t="s">
        <v>1</v>
      </c>
      <c r="M9" s="29" t="s">
        <v>2</v>
      </c>
      <c r="N9" s="30" t="s">
        <v>3</v>
      </c>
      <c r="P9" s="2"/>
      <c r="Q9" s="2"/>
      <c r="AH9"/>
      <c r="AI9"/>
      <c r="AJ9"/>
      <c r="AK9"/>
      <c r="AL9"/>
      <c r="AM9"/>
      <c r="AN9"/>
    </row>
    <row r="10" spans="2:40" ht="14" x14ac:dyDescent="0.3">
      <c r="B10" s="38" t="s">
        <v>34</v>
      </c>
      <c r="C10" s="59">
        <v>1.4721702487620147</v>
      </c>
      <c r="D10" s="56"/>
      <c r="E10" s="56"/>
      <c r="F10" s="10"/>
      <c r="G10" s="40" t="s">
        <v>8</v>
      </c>
      <c r="H10" s="62">
        <v>2.4900081748795095E-3</v>
      </c>
      <c r="I10" s="83">
        <v>0.4</v>
      </c>
      <c r="K10" s="25">
        <v>200</v>
      </c>
      <c r="L10" s="25">
        <v>7.51</v>
      </c>
      <c r="M10" s="25">
        <v>7.71</v>
      </c>
      <c r="N10" s="26">
        <v>8.1999999999999993</v>
      </c>
      <c r="P10" s="2"/>
      <c r="Q10" s="2"/>
      <c r="AH10"/>
      <c r="AI10"/>
      <c r="AJ10"/>
      <c r="AK10"/>
      <c r="AL10"/>
      <c r="AM10"/>
      <c r="AN10"/>
    </row>
    <row r="11" spans="2:40" ht="14" x14ac:dyDescent="0.3">
      <c r="B11" s="38" t="s">
        <v>31</v>
      </c>
      <c r="C11" s="60">
        <v>0.3446630010747509</v>
      </c>
      <c r="D11" s="55"/>
      <c r="E11" s="55"/>
      <c r="F11" s="10"/>
      <c r="G11" s="40" t="s">
        <v>9</v>
      </c>
      <c r="H11" s="62">
        <v>4.6948728763380491E-3</v>
      </c>
      <c r="I11" s="88">
        <v>0.5</v>
      </c>
      <c r="K11" s="25">
        <v>500</v>
      </c>
      <c r="L11" s="25">
        <v>6.35</v>
      </c>
      <c r="M11" s="25">
        <v>6.57</v>
      </c>
      <c r="N11" s="26">
        <v>6.94</v>
      </c>
      <c r="P11" s="2"/>
      <c r="Q11" s="2"/>
      <c r="AH11"/>
      <c r="AI11"/>
      <c r="AJ11"/>
      <c r="AK11"/>
      <c r="AL11"/>
      <c r="AM11"/>
      <c r="AN11"/>
    </row>
    <row r="12" spans="2:40" ht="14" x14ac:dyDescent="0.3">
      <c r="B12" s="38" t="s">
        <v>4</v>
      </c>
      <c r="C12" s="60">
        <v>0.52208662776559378</v>
      </c>
      <c r="D12" s="55"/>
      <c r="E12" s="55"/>
      <c r="G12" s="41" t="s">
        <v>10</v>
      </c>
      <c r="H12" s="82">
        <f>IF(Max=Expert_A,H9,IF(Max=Expert_B,H10,H11))</f>
        <v>4.6948728763380491E-3</v>
      </c>
      <c r="I12" s="84">
        <f>MAX(I9:I11)</f>
        <v>0.5</v>
      </c>
      <c r="K12" s="25">
        <v>800</v>
      </c>
      <c r="L12" s="25">
        <v>5.4</v>
      </c>
      <c r="M12" s="25">
        <v>5.59</v>
      </c>
      <c r="N12" s="26">
        <v>5.9</v>
      </c>
      <c r="P12" s="2"/>
      <c r="Q12" s="2"/>
      <c r="AH12"/>
      <c r="AI12"/>
      <c r="AJ12"/>
      <c r="AK12"/>
      <c r="AL12"/>
      <c r="AM12"/>
      <c r="AN12"/>
    </row>
    <row r="13" spans="2:40" ht="14" x14ac:dyDescent="0.3">
      <c r="B13" s="38" t="s">
        <v>30</v>
      </c>
      <c r="C13" s="33">
        <v>6000000</v>
      </c>
      <c r="D13" s="57"/>
      <c r="E13" s="57"/>
      <c r="J13" s="11"/>
      <c r="K13" s="27">
        <v>1100</v>
      </c>
      <c r="L13" s="27">
        <v>4.59</v>
      </c>
      <c r="M13" s="27">
        <v>4.74</v>
      </c>
      <c r="N13" s="28">
        <v>5.0199999999999996</v>
      </c>
      <c r="P13" s="2"/>
      <c r="Q13" s="2"/>
      <c r="AH13"/>
      <c r="AI13"/>
      <c r="AJ13"/>
      <c r="AK13"/>
      <c r="AL13"/>
      <c r="AM13"/>
      <c r="AN13"/>
    </row>
    <row r="14" spans="2:40" ht="14" x14ac:dyDescent="0.3">
      <c r="B14" s="38" t="s">
        <v>33</v>
      </c>
      <c r="C14" s="32">
        <f>C9*C8</f>
        <v>378.04449210788181</v>
      </c>
      <c r="D14" s="58"/>
      <c r="E14" s="58"/>
      <c r="F14" s="10"/>
      <c r="G14" s="37" t="s">
        <v>32</v>
      </c>
      <c r="H14" s="31">
        <v>14.01</v>
      </c>
      <c r="I14" s="11"/>
      <c r="K14" s="10"/>
      <c r="L14" s="10"/>
      <c r="M14" s="10"/>
      <c r="N14" s="10"/>
      <c r="O14" s="2"/>
      <c r="P14" s="2"/>
      <c r="AG14"/>
      <c r="AH14"/>
      <c r="AI14"/>
      <c r="AJ14"/>
      <c r="AK14"/>
      <c r="AL14"/>
      <c r="AM14"/>
    </row>
    <row r="15" spans="2:40" ht="14" x14ac:dyDescent="0.3">
      <c r="B15" s="10"/>
      <c r="C15" s="10"/>
      <c r="D15" s="10"/>
      <c r="E15" s="10"/>
      <c r="F15" s="10"/>
      <c r="G15" s="37" t="s">
        <v>42</v>
      </c>
      <c r="H15" s="46">
        <v>8.5000000000000006E-2</v>
      </c>
      <c r="N15" s="10"/>
      <c r="AG15"/>
      <c r="AH15"/>
      <c r="AI15"/>
      <c r="AJ15"/>
      <c r="AK15"/>
      <c r="AL15"/>
      <c r="AM15"/>
    </row>
    <row r="16" spans="2:40" ht="14.5" thickBot="1" x14ac:dyDescent="0.35">
      <c r="B16" s="10"/>
      <c r="C16" s="10"/>
      <c r="D16" s="10"/>
      <c r="E16" s="51"/>
      <c r="F16" s="51"/>
      <c r="L16" s="10"/>
      <c r="AE16"/>
      <c r="AF16"/>
      <c r="AG16"/>
      <c r="AH16"/>
      <c r="AI16"/>
      <c r="AJ16"/>
      <c r="AK16"/>
    </row>
    <row r="17" spans="2:37" ht="14" x14ac:dyDescent="0.3">
      <c r="B17" s="35" t="s">
        <v>43</v>
      </c>
      <c r="C17" s="53">
        <v>0</v>
      </c>
      <c r="D17" s="52"/>
      <c r="L17" s="10"/>
      <c r="W17" s="1" t="s">
        <v>49</v>
      </c>
      <c r="AE17"/>
      <c r="AF17"/>
      <c r="AG17"/>
      <c r="AH17"/>
      <c r="AI17"/>
      <c r="AJ17"/>
      <c r="AK17"/>
    </row>
    <row r="18" spans="2:37" ht="14.5" thickBot="1" x14ac:dyDescent="0.35">
      <c r="B18" s="36" t="s">
        <v>35</v>
      </c>
      <c r="C18" s="50">
        <f ca="1">SUM(Z21:Z30)</f>
        <v>25271670.694427267</v>
      </c>
      <c r="D18" s="10"/>
      <c r="I18" s="10"/>
      <c r="J18" s="10"/>
      <c r="K18" s="10"/>
      <c r="L18" s="10"/>
      <c r="M18" s="4"/>
      <c r="W18" s="79">
        <v>-43354803.861544237</v>
      </c>
      <c r="AE18"/>
      <c r="AF18"/>
      <c r="AG18"/>
      <c r="AH18"/>
      <c r="AI18"/>
      <c r="AJ18"/>
      <c r="AK18"/>
    </row>
    <row r="19" spans="2:37" ht="14" x14ac:dyDescent="0.3">
      <c r="B19" s="10"/>
      <c r="C19" s="10"/>
      <c r="D19" s="12"/>
      <c r="E19" s="12"/>
      <c r="I19" s="10"/>
      <c r="J19" s="10"/>
      <c r="K19" s="12"/>
      <c r="L19" s="10"/>
      <c r="U19" s="3"/>
      <c r="AE19"/>
      <c r="AF19"/>
      <c r="AG19"/>
      <c r="AH19"/>
      <c r="AI19"/>
      <c r="AJ19"/>
      <c r="AK19"/>
    </row>
    <row r="20" spans="2:37" s="5" customFormat="1" ht="26.65" customHeight="1" x14ac:dyDescent="0.3">
      <c r="B20" s="13" t="s">
        <v>11</v>
      </c>
      <c r="C20" s="13" t="s">
        <v>46</v>
      </c>
      <c r="D20" s="13" t="s">
        <v>47</v>
      </c>
      <c r="E20" s="13" t="s">
        <v>12</v>
      </c>
      <c r="F20" s="13" t="s">
        <v>13</v>
      </c>
      <c r="G20" s="13" t="s">
        <v>45</v>
      </c>
      <c r="H20" s="13" t="s">
        <v>14</v>
      </c>
      <c r="I20" s="13" t="s">
        <v>37</v>
      </c>
      <c r="J20" s="13" t="s">
        <v>15</v>
      </c>
      <c r="K20" s="13" t="s">
        <v>38</v>
      </c>
      <c r="L20" s="13" t="s">
        <v>39</v>
      </c>
      <c r="M20" s="13" t="s">
        <v>16</v>
      </c>
      <c r="N20" s="13" t="s">
        <v>17</v>
      </c>
      <c r="O20" s="13" t="s">
        <v>40</v>
      </c>
      <c r="P20" s="13" t="s">
        <v>41</v>
      </c>
      <c r="Q20" s="13" t="s">
        <v>18</v>
      </c>
      <c r="R20" s="13" t="s">
        <v>19</v>
      </c>
      <c r="S20" s="13" t="s">
        <v>20</v>
      </c>
      <c r="T20" s="13" t="s">
        <v>21</v>
      </c>
      <c r="U20" s="13" t="s">
        <v>22</v>
      </c>
      <c r="V20" s="13" t="s">
        <v>23</v>
      </c>
      <c r="W20" s="13" t="s">
        <v>24</v>
      </c>
      <c r="X20" s="13" t="s">
        <v>25</v>
      </c>
      <c r="Y20" s="13" t="s">
        <v>26</v>
      </c>
      <c r="Z20" s="13" t="s">
        <v>27</v>
      </c>
      <c r="AE20"/>
      <c r="AF20"/>
      <c r="AG20"/>
      <c r="AH20"/>
      <c r="AI20"/>
      <c r="AJ20"/>
      <c r="AK20"/>
    </row>
    <row r="21" spans="2:37" x14ac:dyDescent="0.25">
      <c r="B21" s="42">
        <f ca="1">YEAR(TODAY())+1</f>
        <v>2018</v>
      </c>
      <c r="C21" s="69" t="s">
        <v>48</v>
      </c>
      <c r="D21" s="69" t="s">
        <v>48</v>
      </c>
      <c r="E21" s="48">
        <v>0.62</v>
      </c>
      <c r="F21" s="20">
        <v>3.3000000000000002E-2</v>
      </c>
      <c r="G21" s="63">
        <f>F21-0.5%</f>
        <v>2.8000000000000001E-2</v>
      </c>
      <c r="H21" s="66">
        <v>2.8024835903844386E-2</v>
      </c>
      <c r="I21" s="18">
        <f>C14</f>
        <v>378.04449210788181</v>
      </c>
      <c r="J21" s="14">
        <f t="shared" ref="J21:J30" ca="1" si="0">1-EXP(-(B21-YEAR(TODAY())-1)/$C$10)</f>
        <v>0</v>
      </c>
      <c r="K21" s="14">
        <f t="shared" ref="K21:K30" ca="1" si="1">($C$8-I21)*J21</f>
        <v>0</v>
      </c>
      <c r="L21" s="18">
        <f ca="1">K21+I21</f>
        <v>378.04449210788181</v>
      </c>
      <c r="M21" s="18">
        <v>19.22</v>
      </c>
      <c r="N21" s="16">
        <f>C11</f>
        <v>0.3446630010747509</v>
      </c>
      <c r="O21" s="18">
        <f t="shared" ref="O21:O30" ca="1" si="2">L21*N21</f>
        <v>130.29794918968253</v>
      </c>
      <c r="P21" s="44">
        <f ca="1">(M21-($H$14))*1000*(L21-O21)</f>
        <v>1290759.488603818</v>
      </c>
      <c r="Q21" s="18">
        <f t="shared" ref="Q21:Q30" ca="1" si="3">TREND($L$10:$L$13,$K$10:$K$13,O21)</f>
        <v>7.6446023044560603</v>
      </c>
      <c r="R21" s="18">
        <f t="shared" ref="R21:R30" ca="1" si="4">TREND($M$10:$M$13,$K$10:$K$13,O21)</f>
        <v>7.8657844275046802</v>
      </c>
      <c r="S21" s="18">
        <f t="shared" ref="S21:S30" ca="1" si="5">TREND($N$10:$N$13,$K$10:$K$13,O21)</f>
        <v>8.3478158991910512</v>
      </c>
      <c r="T21" s="76">
        <v>7.8494318316441349</v>
      </c>
      <c r="U21" s="44">
        <f t="shared" ref="U21:U30" ca="1" si="6">O21*1000*(M21-(T21/E21))</f>
        <v>854705.82541369123</v>
      </c>
      <c r="V21" s="44">
        <f t="shared" ref="V21:V30" ca="1" si="7">P21+U21</f>
        <v>2145465.3140175091</v>
      </c>
      <c r="W21" s="47">
        <f>Normal_Capex-IfSuperlaunch*CostSuperlaunch</f>
        <v>-43354803.861544237</v>
      </c>
      <c r="X21" s="44">
        <v>-2150000</v>
      </c>
      <c r="Y21" s="44">
        <f t="shared" ref="Y21:Y30" ca="1" si="8">(+V21+W21+X21)*E21</f>
        <v>-26882789.89946657</v>
      </c>
      <c r="Z21" s="44">
        <f t="shared" ref="Z21:Z30" ca="1" si="9">+Y21/(1+ra)^(B21-YEAR(TODAY()))</f>
        <v>-24776764.884300988</v>
      </c>
    </row>
    <row r="22" spans="2:37" x14ac:dyDescent="0.25">
      <c r="B22" s="42">
        <f ca="1">B21+1</f>
        <v>2019</v>
      </c>
      <c r="C22" s="70">
        <f>E21*(F21/H21)</f>
        <v>0.73006671904163922</v>
      </c>
      <c r="D22" s="71">
        <f>0.03*E21*(F21/H21)</f>
        <v>2.1902001571249174E-2</v>
      </c>
      <c r="E22" s="74">
        <v>0.71666634420663244</v>
      </c>
      <c r="F22" s="20">
        <f t="shared" ref="F22:F30" si="10">F21+$H$12</f>
        <v>3.7694872876338048E-2</v>
      </c>
      <c r="G22" s="64">
        <f t="shared" ref="G22:G30" si="11">F22-0.5%</f>
        <v>3.2694872876338051E-2</v>
      </c>
      <c r="H22" s="67">
        <v>3.2042751911420274E-2</v>
      </c>
      <c r="I22" s="18">
        <f ca="1">L21</f>
        <v>378.04449210788181</v>
      </c>
      <c r="J22" s="18">
        <f t="shared" ca="1" si="0"/>
        <v>0.49301266859838766</v>
      </c>
      <c r="K22" s="22">
        <f t="shared" ca="1" si="1"/>
        <v>258.24714270360136</v>
      </c>
      <c r="L22" s="18">
        <f t="shared" ref="L22:L30" ca="1" si="12">K22+I22</f>
        <v>636.29163481148316</v>
      </c>
      <c r="M22" s="18">
        <f>+M21*(H22+1)</f>
        <v>19.835861691737499</v>
      </c>
      <c r="N22" s="16">
        <f>C11+(C12-C11)*0.25</f>
        <v>0.38901890774746162</v>
      </c>
      <c r="O22" s="18">
        <f t="shared" ca="1" si="2"/>
        <v>247.5294767832099</v>
      </c>
      <c r="P22" s="44">
        <f ca="1">(M22-($H$14*(1+H22)))*1000*(L22-O22)</f>
        <v>2090351.8622088172</v>
      </c>
      <c r="Q22" s="18">
        <f t="shared" ca="1" si="3"/>
        <v>7.2651629268116764</v>
      </c>
      <c r="R22" s="18">
        <f t="shared" ca="1" si="4"/>
        <v>7.479311158204685</v>
      </c>
      <c r="S22" s="18">
        <f t="shared" ca="1" si="5"/>
        <v>7.9343793785445458</v>
      </c>
      <c r="T22" s="77">
        <v>7.4153070493859481</v>
      </c>
      <c r="U22" s="44">
        <f t="shared" ca="1" si="6"/>
        <v>2348786.6521498337</v>
      </c>
      <c r="V22" s="44">
        <f t="shared" ca="1" si="7"/>
        <v>4439138.5143586509</v>
      </c>
      <c r="W22" s="14">
        <v>0</v>
      </c>
      <c r="X22" s="44">
        <f>X21*(1+H22)</f>
        <v>-2218891.9166095536</v>
      </c>
      <c r="Y22" s="44">
        <f t="shared" ca="1" si="8"/>
        <v>1591176.0124460591</v>
      </c>
      <c r="Z22" s="44">
        <f t="shared" ca="1" si="9"/>
        <v>1351632.8759974169</v>
      </c>
    </row>
    <row r="23" spans="2:37" x14ac:dyDescent="0.25">
      <c r="B23" s="42">
        <f t="shared" ref="B23:B30" ca="1" si="13">B22+1</f>
        <v>2020</v>
      </c>
      <c r="C23" s="70">
        <f t="shared" ref="C23:C30" si="14">E22*(F22/H22)</f>
        <v>0.84308135625488267</v>
      </c>
      <c r="D23" s="71">
        <f t="shared" ref="D23:D30" si="15">0.03*E22*(F22/H22)</f>
        <v>2.5292440687646481E-2</v>
      </c>
      <c r="E23" s="74">
        <v>0.79623163610371661</v>
      </c>
      <c r="F23" s="20">
        <f t="shared" si="10"/>
        <v>4.2389745752676095E-2</v>
      </c>
      <c r="G23" s="64">
        <f t="shared" si="11"/>
        <v>3.7389745752676097E-2</v>
      </c>
      <c r="H23" s="67">
        <v>3.5619084549277674E-2</v>
      </c>
      <c r="I23" s="18">
        <f t="shared" ref="I23:I30" ca="1" si="16">L22</f>
        <v>636.29163481148316</v>
      </c>
      <c r="J23" s="18">
        <f t="shared" ca="1" si="0"/>
        <v>0.74296384579827168</v>
      </c>
      <c r="K23" s="22">
        <f t="shared" ca="1" si="1"/>
        <v>197.30688211550878</v>
      </c>
      <c r="L23" s="18">
        <f t="shared" ca="1" si="12"/>
        <v>833.59851692699192</v>
      </c>
      <c r="M23" s="18">
        <f t="shared" ref="M23:M30" si="17">+M22*(H23+1)</f>
        <v>20.542396926443274</v>
      </c>
      <c r="N23" s="16">
        <f>C11+(C12-C11)*0.5</f>
        <v>0.43337481442017234</v>
      </c>
      <c r="O23" s="18">
        <f t="shared" ca="1" si="2"/>
        <v>361.260602574166</v>
      </c>
      <c r="P23" s="44">
        <f ca="1">(M23-($H$14*(1+H23)*(1+H22)))*1000*(L23-O23)</f>
        <v>2630196.9153709598</v>
      </c>
      <c r="Q23" s="18">
        <f t="shared" ca="1" si="3"/>
        <v>6.8970531830016153</v>
      </c>
      <c r="R23" s="18">
        <f t="shared" ca="1" si="4"/>
        <v>7.1043775468471662</v>
      </c>
      <c r="S23" s="18">
        <f t="shared" ca="1" si="5"/>
        <v>7.5332876082551072</v>
      </c>
      <c r="T23" s="77">
        <v>7.0636114052407155</v>
      </c>
      <c r="U23" s="44">
        <f t="shared" ca="1" si="6"/>
        <v>4216306.7407233389</v>
      </c>
      <c r="V23" s="44">
        <f t="shared" ca="1" si="7"/>
        <v>6846503.6560942987</v>
      </c>
      <c r="W23" s="14">
        <v>0</v>
      </c>
      <c r="X23" s="44">
        <f>X22*(1+H23)</f>
        <v>-2297926.815392978</v>
      </c>
      <c r="Y23" s="44">
        <f t="shared" ca="1" si="8"/>
        <v>3621720.7798150871</v>
      </c>
      <c r="Z23" s="44">
        <f t="shared" ca="1" si="9"/>
        <v>2835474.5287720878</v>
      </c>
    </row>
    <row r="24" spans="2:37" x14ac:dyDescent="0.25">
      <c r="B24" s="42">
        <f t="shared" ca="1" si="13"/>
        <v>2021</v>
      </c>
      <c r="C24" s="70">
        <f t="shared" si="14"/>
        <v>0.9475834946846865</v>
      </c>
      <c r="D24" s="71">
        <f t="shared" si="15"/>
        <v>2.8427504840540595E-2</v>
      </c>
      <c r="E24" s="74">
        <v>0.87983015482645477</v>
      </c>
      <c r="F24" s="20">
        <f t="shared" si="10"/>
        <v>4.7084618629014141E-2</v>
      </c>
      <c r="G24" s="64">
        <f t="shared" si="11"/>
        <v>4.2084618629014144E-2</v>
      </c>
      <c r="H24" s="67">
        <v>3.9970106780690989E-2</v>
      </c>
      <c r="I24" s="18">
        <f t="shared" ca="1" si="16"/>
        <v>833.59851692699192</v>
      </c>
      <c r="J24" s="18">
        <f t="shared" ca="1" si="0"/>
        <v>0.86968592610753248</v>
      </c>
      <c r="K24" s="22">
        <f t="shared" ca="1" si="1"/>
        <v>59.365100852288563</v>
      </c>
      <c r="L24" s="18">
        <f t="shared" ca="1" si="12"/>
        <v>892.96361777928053</v>
      </c>
      <c r="M24" s="18">
        <f t="shared" si="17"/>
        <v>21.363478725124551</v>
      </c>
      <c r="N24" s="16">
        <f>C11+(C12-C11)*0.75</f>
        <v>0.47773072109288306</v>
      </c>
      <c r="O24" s="18">
        <f t="shared" ca="1" si="2"/>
        <v>426.59615303140532</v>
      </c>
      <c r="P24" s="44">
        <f ca="1">(M24-($H$14*(1+H24)*(1+H23)*(1+H22)))*1000*(L24-O24)</f>
        <v>2700751.0745325778</v>
      </c>
      <c r="Q24" s="18">
        <f t="shared" ca="1" si="3"/>
        <v>6.685583784688351</v>
      </c>
      <c r="R24" s="18">
        <f t="shared" ca="1" si="4"/>
        <v>6.8889880155064676</v>
      </c>
      <c r="S24" s="18">
        <f t="shared" ca="1" si="5"/>
        <v>7.3028709003092427</v>
      </c>
      <c r="T24" s="77">
        <v>7.1325446621055857</v>
      </c>
      <c r="U24" s="44">
        <f t="shared" ca="1" si="6"/>
        <v>5655278.4194562938</v>
      </c>
      <c r="V24" s="44">
        <f t="shared" ca="1" si="7"/>
        <v>8356029.4939888716</v>
      </c>
      <c r="W24" s="14">
        <v>0</v>
      </c>
      <c r="X24" s="44">
        <f t="shared" ref="X24:X30" si="18">X23*(1+H24)</f>
        <v>-2389775.1955784485</v>
      </c>
      <c r="Y24" s="44">
        <f t="shared" ca="1" si="8"/>
        <v>5249290.4431044441</v>
      </c>
      <c r="Z24" s="44">
        <f t="shared" ca="1" si="9"/>
        <v>3787752.9943976966</v>
      </c>
    </row>
    <row r="25" spans="2:37" x14ac:dyDescent="0.25">
      <c r="B25" s="42">
        <f t="shared" ca="1" si="13"/>
        <v>2022</v>
      </c>
      <c r="C25" s="70">
        <f t="shared" si="14"/>
        <v>1.0364362428554392</v>
      </c>
      <c r="D25" s="71">
        <f t="shared" si="15"/>
        <v>3.1093087285663176E-2</v>
      </c>
      <c r="E25" s="74">
        <v>0.97452067896154604</v>
      </c>
      <c r="F25" s="20">
        <f t="shared" si="10"/>
        <v>5.1779491505352188E-2</v>
      </c>
      <c r="G25" s="64">
        <f t="shared" si="11"/>
        <v>4.677949150535219E-2</v>
      </c>
      <c r="H25" s="67">
        <v>4.3707425127343026E-2</v>
      </c>
      <c r="I25" s="18">
        <f t="shared" ca="1" si="16"/>
        <v>892.96361777928053</v>
      </c>
      <c r="J25" s="18">
        <f t="shared" ca="1" si="0"/>
        <v>0.93393241543318539</v>
      </c>
      <c r="K25" s="22">
        <f t="shared" ca="1" si="1"/>
        <v>8.3075992648725521</v>
      </c>
      <c r="L25" s="18">
        <f t="shared" ca="1" si="12"/>
        <v>901.2712170441531</v>
      </c>
      <c r="M25" s="18">
        <f t="shared" si="17"/>
        <v>22.297221371962518</v>
      </c>
      <c r="N25" s="16">
        <f>C12</f>
        <v>0.52208662776559378</v>
      </c>
      <c r="O25" s="18">
        <f t="shared" ca="1" si="2"/>
        <v>470.54165040877444</v>
      </c>
      <c r="P25" s="44">
        <f ca="1">(M25-($H$14*(1+H25)*(1+H24)*(1+H23)*(1+H22)))*1000*(L25-O25)</f>
        <v>2603393.2215568917</v>
      </c>
      <c r="Q25" s="18">
        <f t="shared" ca="1" si="3"/>
        <v>6.5433468581769327</v>
      </c>
      <c r="R25" s="18">
        <f t="shared" ca="1" si="4"/>
        <v>6.7441143591524071</v>
      </c>
      <c r="S25" s="18">
        <f t="shared" ca="1" si="5"/>
        <v>7.1478897795583878</v>
      </c>
      <c r="T25" s="77">
        <v>6.6187441100045019</v>
      </c>
      <c r="U25" s="44">
        <f t="shared" ca="1" si="6"/>
        <v>7295949.1880475776</v>
      </c>
      <c r="V25" s="44">
        <f t="shared" ca="1" si="7"/>
        <v>9899342.4096044693</v>
      </c>
      <c r="W25" s="14">
        <v>0</v>
      </c>
      <c r="X25" s="44">
        <f t="shared" si="18"/>
        <v>-2494226.1160103753</v>
      </c>
      <c r="Y25" s="44">
        <f t="shared" ca="1" si="8"/>
        <v>7216438.9582225233</v>
      </c>
      <c r="Z25" s="44">
        <f t="shared" ca="1" si="9"/>
        <v>4799259.7016062597</v>
      </c>
    </row>
    <row r="26" spans="2:37" x14ac:dyDescent="0.25">
      <c r="B26" s="42">
        <f t="shared" ca="1" si="13"/>
        <v>2023</v>
      </c>
      <c r="C26" s="70">
        <f t="shared" si="14"/>
        <v>1.1544991513698646</v>
      </c>
      <c r="D26" s="71">
        <f t="shared" si="15"/>
        <v>3.4634974541095938E-2</v>
      </c>
      <c r="E26" s="74">
        <v>1.1037148083730721</v>
      </c>
      <c r="F26" s="20">
        <f t="shared" si="10"/>
        <v>5.6474364381690234E-2</v>
      </c>
      <c r="G26" s="64">
        <f t="shared" si="11"/>
        <v>5.1474364381690237E-2</v>
      </c>
      <c r="H26" s="67">
        <v>4.7318976455644854E-2</v>
      </c>
      <c r="I26" s="18">
        <f t="shared" ca="1" si="16"/>
        <v>901.2712170441531</v>
      </c>
      <c r="J26" s="18">
        <f t="shared" ca="1" si="0"/>
        <v>0.96650457160832026</v>
      </c>
      <c r="K26" s="22">
        <f t="shared" ca="1" si="1"/>
        <v>0.56800535705898014</v>
      </c>
      <c r="L26" s="18">
        <f t="shared" ca="1" si="12"/>
        <v>901.83922240121206</v>
      </c>
      <c r="M26" s="18">
        <f t="shared" si="17"/>
        <v>23.352303065088712</v>
      </c>
      <c r="N26" s="16">
        <f>C12</f>
        <v>0.52208662776559378</v>
      </c>
      <c r="O26" s="18">
        <f t="shared" ca="1" si="2"/>
        <v>470.83819841019414</v>
      </c>
      <c r="P26" s="44">
        <f ca="1">(M26-($H$14*(1+H26)*(1+H25)*(1+H24)*(1+H23)*(1+H22)))*1000*(L26-O26)</f>
        <v>2728301.4901178731</v>
      </c>
      <c r="Q26" s="18">
        <f t="shared" ca="1" si="3"/>
        <v>6.5423870311456707</v>
      </c>
      <c r="R26" s="18">
        <f t="shared" ca="1" si="4"/>
        <v>6.7431367392410602</v>
      </c>
      <c r="S26" s="18">
        <f t="shared" ca="1" si="5"/>
        <v>7.1468439536067141</v>
      </c>
      <c r="T26" s="77">
        <v>7.0501785484236379</v>
      </c>
      <c r="U26" s="44">
        <f t="shared" ca="1" si="6"/>
        <v>7987591.9031755552</v>
      </c>
      <c r="V26" s="44">
        <f t="shared" ca="1" si="7"/>
        <v>10715893.393293429</v>
      </c>
      <c r="W26" s="14">
        <v>0</v>
      </c>
      <c r="X26" s="44">
        <f t="shared" si="18"/>
        <v>-2612250.3428689246</v>
      </c>
      <c r="Y26" s="44">
        <f t="shared" ca="1" si="8"/>
        <v>8944110.8365230598</v>
      </c>
      <c r="Z26" s="44">
        <f t="shared" ca="1" si="9"/>
        <v>5482248.8269255003</v>
      </c>
    </row>
    <row r="27" spans="2:37" x14ac:dyDescent="0.25">
      <c r="B27" s="42">
        <f t="shared" ca="1" si="13"/>
        <v>2024</v>
      </c>
      <c r="C27" s="70">
        <f t="shared" si="14"/>
        <v>1.3172641703261636</v>
      </c>
      <c r="D27" s="71">
        <f t="shared" si="15"/>
        <v>3.9517925109784906E-2</v>
      </c>
      <c r="E27" s="74">
        <v>1.2112716582561402</v>
      </c>
      <c r="F27" s="20">
        <f t="shared" si="10"/>
        <v>6.1169237258028281E-2</v>
      </c>
      <c r="G27" s="64">
        <f t="shared" si="11"/>
        <v>5.6169237258028283E-2</v>
      </c>
      <c r="H27" s="67">
        <v>5.223534965847914E-2</v>
      </c>
      <c r="I27" s="18">
        <f t="shared" ca="1" si="16"/>
        <v>901.83922240121206</v>
      </c>
      <c r="J27" s="18">
        <f t="shared" ca="1" si="0"/>
        <v>0.98301824214554845</v>
      </c>
      <c r="K27" s="22">
        <f t="shared" ca="1" si="1"/>
        <v>1.9350653347491777E-2</v>
      </c>
      <c r="L27" s="18">
        <f t="shared" ca="1" si="12"/>
        <v>901.85857305455954</v>
      </c>
      <c r="M27" s="18">
        <f t="shared" si="17"/>
        <v>24.572118781024393</v>
      </c>
      <c r="N27" s="16">
        <f>C12</f>
        <v>0.52208662776559378</v>
      </c>
      <c r="O27" s="18">
        <f t="shared" ca="1" si="2"/>
        <v>470.84830112754537</v>
      </c>
      <c r="P27" s="44">
        <f ca="1">(M27-($H$14*(1+H27)*(1+H26)*(1+H25)*(1+H24)*(1+H23)+(1+H22)))*1000*(L27-O27)</f>
        <v>2665744.2888807198</v>
      </c>
      <c r="Q27" s="18">
        <f t="shared" ca="1" si="3"/>
        <v>6.5423543320171778</v>
      </c>
      <c r="R27" s="18">
        <f t="shared" ca="1" si="4"/>
        <v>6.7431034339495257</v>
      </c>
      <c r="S27" s="18">
        <f t="shared" ca="1" si="5"/>
        <v>7.1468083246901895</v>
      </c>
      <c r="T27" s="77">
        <v>6.6135179781651523</v>
      </c>
      <c r="U27" s="44">
        <f t="shared" ca="1" si="6"/>
        <v>8998918.4843042903</v>
      </c>
      <c r="V27" s="44">
        <f t="shared" ca="1" si="7"/>
        <v>11664662.773185011</v>
      </c>
      <c r="W27" s="14">
        <v>0</v>
      </c>
      <c r="X27" s="44">
        <f t="shared" si="18"/>
        <v>-2748702.1529241647</v>
      </c>
      <c r="Y27" s="44">
        <f t="shared" ca="1" si="8"/>
        <v>10799650.4054498</v>
      </c>
      <c r="Z27" s="44">
        <f t="shared" ca="1" si="9"/>
        <v>6101007.0931720734</v>
      </c>
    </row>
    <row r="28" spans="2:37" x14ac:dyDescent="0.25">
      <c r="B28" s="42">
        <f t="shared" ca="1" si="13"/>
        <v>2025</v>
      </c>
      <c r="C28" s="70">
        <f t="shared" si="14"/>
        <v>1.4184372064554194</v>
      </c>
      <c r="D28" s="71">
        <f t="shared" si="15"/>
        <v>4.2553116193662581E-2</v>
      </c>
      <c r="E28" s="74">
        <v>1.4314544507950451</v>
      </c>
      <c r="F28" s="20">
        <f t="shared" si="10"/>
        <v>6.5864110134366327E-2</v>
      </c>
      <c r="G28" s="64">
        <f t="shared" si="11"/>
        <v>6.086411013436633E-2</v>
      </c>
      <c r="H28" s="67">
        <v>5.6116632613693637E-2</v>
      </c>
      <c r="I28" s="18">
        <f t="shared" ca="1" si="16"/>
        <v>901.85857305455954</v>
      </c>
      <c r="J28" s="18">
        <f t="shared" ca="1" si="0"/>
        <v>0.99139046390286323</v>
      </c>
      <c r="K28" s="22">
        <f t="shared" ca="1" si="1"/>
        <v>3.3140681640395319E-4</v>
      </c>
      <c r="L28" s="18">
        <f t="shared" ca="1" si="12"/>
        <v>901.85890446137591</v>
      </c>
      <c r="M28" s="18">
        <f t="shared" si="17"/>
        <v>25.951023343199182</v>
      </c>
      <c r="N28" s="16">
        <f>C12</f>
        <v>0.52208662776559378</v>
      </c>
      <c r="O28" s="18">
        <f t="shared" ca="1" si="2"/>
        <v>470.84847415061256</v>
      </c>
      <c r="P28" s="44">
        <f ca="1">(M28-($H$14*(1+H28)*(1+H27)*(1+H26)*(1+H25)*(1+H24)+(1+H23)*(1+H22)))*1000*(L28-O28)</f>
        <v>3096169.675493883</v>
      </c>
      <c r="Q28" s="18">
        <f t="shared" ca="1" si="3"/>
        <v>6.5423537719991831</v>
      </c>
      <c r="R28" s="18">
        <f t="shared" ca="1" si="4"/>
        <v>6.7431028635501473</v>
      </c>
      <c r="S28" s="18">
        <f t="shared" ca="1" si="5"/>
        <v>7.1468077144955053</v>
      </c>
      <c r="T28" s="77">
        <v>6.6174705710494548</v>
      </c>
      <c r="U28" s="44">
        <f t="shared" ca="1" si="6"/>
        <v>10042314.401562439</v>
      </c>
      <c r="V28" s="44">
        <f t="shared" ca="1" si="7"/>
        <v>13138484.077056322</v>
      </c>
      <c r="W28" s="14">
        <v>0</v>
      </c>
      <c r="X28" s="44">
        <f t="shared" si="18"/>
        <v>-2902950.0618042788</v>
      </c>
      <c r="Y28" s="44">
        <f t="shared" ca="1" si="8"/>
        <v>14651700.722396616</v>
      </c>
      <c r="Z28" s="44">
        <f t="shared" ca="1" si="9"/>
        <v>7628692.9232422188</v>
      </c>
    </row>
    <row r="29" spans="2:37" x14ac:dyDescent="0.25">
      <c r="B29" s="42">
        <f t="shared" ca="1" si="13"/>
        <v>2026</v>
      </c>
      <c r="C29" s="70">
        <f t="shared" si="14"/>
        <v>1.6800985591656306</v>
      </c>
      <c r="D29" s="71">
        <f t="shared" si="15"/>
        <v>5.0402956774968921E-2</v>
      </c>
      <c r="E29" s="74">
        <v>1.5476463970620331</v>
      </c>
      <c r="F29" s="20">
        <f t="shared" si="10"/>
        <v>7.0558983010704374E-2</v>
      </c>
      <c r="G29" s="64">
        <f t="shared" si="11"/>
        <v>6.5558983010704369E-2</v>
      </c>
      <c r="H29" s="67">
        <v>6.0130271596359856E-2</v>
      </c>
      <c r="I29" s="18">
        <f t="shared" ca="1" si="16"/>
        <v>901.85890446137591</v>
      </c>
      <c r="J29" s="18">
        <f t="shared" ca="1" si="0"/>
        <v>0.99563507426950681</v>
      </c>
      <c r="K29" s="22">
        <f t="shared" ca="1" si="1"/>
        <v>2.8654751285760835E-6</v>
      </c>
      <c r="L29" s="18">
        <f t="shared" ca="1" si="12"/>
        <v>901.85890732685107</v>
      </c>
      <c r="M29" s="18">
        <f t="shared" si="17"/>
        <v>27.511465425029225</v>
      </c>
      <c r="N29" s="16">
        <f>C12</f>
        <v>0.52208662776559378</v>
      </c>
      <c r="O29" s="18">
        <f t="shared" ca="1" si="2"/>
        <v>470.8484756466388</v>
      </c>
      <c r="P29" s="44">
        <f ca="1">(M29-($H$14*(1+H29)*(1+H28)*(1+H27)*(1+H26)*(1+H25)+(1+H24)*(1+H23)*(1+H22)))*1000*(L29-O29)</f>
        <v>3602446.0188293885</v>
      </c>
      <c r="Q29" s="18">
        <f t="shared" ca="1" si="3"/>
        <v>6.5423537671570458</v>
      </c>
      <c r="R29" s="18">
        <f t="shared" ca="1" si="4"/>
        <v>6.7431028586182471</v>
      </c>
      <c r="S29" s="18">
        <f t="shared" ca="1" si="5"/>
        <v>7.1468077092195195</v>
      </c>
      <c r="T29" s="77">
        <v>6.8154765164922742</v>
      </c>
      <c r="U29" s="44">
        <f t="shared" ca="1" si="6"/>
        <v>10880223.853392001</v>
      </c>
      <c r="V29" s="44">
        <f t="shared" ca="1" si="7"/>
        <v>14482669.87222139</v>
      </c>
      <c r="W29" s="14">
        <v>0</v>
      </c>
      <c r="X29" s="44">
        <f t="shared" si="18"/>
        <v>-3077505.2374512395</v>
      </c>
      <c r="Y29" s="44">
        <f t="shared" ca="1" si="8"/>
        <v>17651161.954901345</v>
      </c>
      <c r="Z29" s="44">
        <f t="shared" ca="1" si="9"/>
        <v>8470433.8678510934</v>
      </c>
    </row>
    <row r="30" spans="2:37" x14ac:dyDescent="0.25">
      <c r="B30" s="43">
        <f t="shared" ca="1" si="13"/>
        <v>2027</v>
      </c>
      <c r="C30" s="72">
        <f t="shared" si="14"/>
        <v>1.8160629070481127</v>
      </c>
      <c r="D30" s="73">
        <f t="shared" si="15"/>
        <v>5.4481887211443376E-2</v>
      </c>
      <c r="E30" s="75">
        <v>1.6909377266690211</v>
      </c>
      <c r="F30" s="21">
        <f t="shared" si="10"/>
        <v>7.525385588704242E-2</v>
      </c>
      <c r="G30" s="65">
        <f t="shared" si="11"/>
        <v>7.0253855887042416E-2</v>
      </c>
      <c r="H30" s="68">
        <v>6.383954583359093E-2</v>
      </c>
      <c r="I30" s="19">
        <f t="shared" ca="1" si="16"/>
        <v>901.85890732685107</v>
      </c>
      <c r="J30" s="19">
        <f t="shared" ca="1" si="0"/>
        <v>0.99778703795213097</v>
      </c>
      <c r="K30" s="23">
        <f t="shared" ca="1" si="1"/>
        <v>1.2534595463615741E-8</v>
      </c>
      <c r="L30" s="19">
        <f t="shared" ca="1" si="12"/>
        <v>901.85890733938561</v>
      </c>
      <c r="M30" s="19">
        <f t="shared" si="17"/>
        <v>29.267784882979633</v>
      </c>
      <c r="N30" s="17">
        <f>C12</f>
        <v>0.52208662776559378</v>
      </c>
      <c r="O30" s="19">
        <f t="shared" ca="1" si="2"/>
        <v>470.84847565318296</v>
      </c>
      <c r="P30" s="45">
        <f ca="1">(M30-($H$14*(1+H30)*(1+H29)*(1+H28)*(1+H27)*(1+H26)+(1+H25)*(1+H24)*(1+H23)*(1+H22)))*1000*(L30-O30)</f>
        <v>4188503.1880216212</v>
      </c>
      <c r="Q30" s="19">
        <f t="shared" ca="1" si="3"/>
        <v>6.5423537671358645</v>
      </c>
      <c r="R30" s="19">
        <f t="shared" ca="1" si="4"/>
        <v>6.7431028585966732</v>
      </c>
      <c r="S30" s="19">
        <f t="shared" ca="1" si="5"/>
        <v>7.146807709196441</v>
      </c>
      <c r="T30" s="78">
        <v>6.7144877844972459</v>
      </c>
      <c r="U30" s="45">
        <f t="shared" ca="1" si="6"/>
        <v>11911015.51167573</v>
      </c>
      <c r="V30" s="45">
        <f t="shared" ca="1" si="7"/>
        <v>16099518.699697351</v>
      </c>
      <c r="W30" s="15">
        <v>0</v>
      </c>
      <c r="X30" s="45">
        <f t="shared" si="18"/>
        <v>-3273971.7741106241</v>
      </c>
      <c r="Y30" s="45">
        <f t="shared" ca="1" si="8"/>
        <v>21687201.161638472</v>
      </c>
      <c r="Z30" s="45">
        <f t="shared" ca="1" si="9"/>
        <v>9591932.7667639088</v>
      </c>
    </row>
    <row r="31" spans="2:37" x14ac:dyDescent="0.25">
      <c r="C31" s="48"/>
    </row>
    <row r="32" spans="2:37" x14ac:dyDescent="0.25">
      <c r="C32" s="48"/>
    </row>
    <row r="35" spans="2:31" ht="14" x14ac:dyDescent="0.3">
      <c r="B35" s="9"/>
      <c r="X35"/>
      <c r="Y35"/>
      <c r="Z35"/>
      <c r="AA35"/>
      <c r="AB35"/>
      <c r="AC35"/>
      <c r="AD35"/>
      <c r="AE35"/>
    </row>
  </sheetData>
  <mergeCells count="3">
    <mergeCell ref="B4:I5"/>
    <mergeCell ref="L8:N8"/>
    <mergeCell ref="G8:H8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25:C37"/>
  <sheetViews>
    <sheetView showGridLines="0" workbookViewId="0">
      <selection activeCell="B21" sqref="B21"/>
    </sheetView>
  </sheetViews>
  <sheetFormatPr defaultRowHeight="14" x14ac:dyDescent="0.3"/>
  <cols>
    <col min="3" max="3" width="19.75" customWidth="1"/>
    <col min="4" max="4" width="9" customWidth="1"/>
  </cols>
  <sheetData>
    <row r="25" spans="3:3" x14ac:dyDescent="0.3">
      <c r="C25" s="86"/>
    </row>
    <row r="26" spans="3:3" x14ac:dyDescent="0.3">
      <c r="C26" s="86"/>
    </row>
    <row r="27" spans="3:3" x14ac:dyDescent="0.3">
      <c r="C27" s="86"/>
    </row>
    <row r="29" spans="3:3" x14ac:dyDescent="0.3">
      <c r="C29" s="86"/>
    </row>
    <row r="30" spans="3:3" x14ac:dyDescent="0.3">
      <c r="C30" s="86"/>
    </row>
    <row r="34" spans="3:3" x14ac:dyDescent="0.3">
      <c r="C34" s="86"/>
    </row>
    <row r="35" spans="3:3" x14ac:dyDescent="0.3">
      <c r="C35" s="86"/>
    </row>
    <row r="36" spans="3:3" x14ac:dyDescent="0.3">
      <c r="C36" s="86"/>
    </row>
    <row r="37" spans="3:3" x14ac:dyDescent="0.3">
      <c r="C37" s="87"/>
    </row>
  </sheetData>
  <phoneticPr fontId="19" type="noConversion"/>
  <pageMargins left="0.75" right="0.75" top="1" bottom="1" header="0.5" footer="0.5"/>
  <pageSetup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Market growth model</vt:lpstr>
      <vt:lpstr>Result</vt:lpstr>
      <vt:lpstr>CostSuperlaunch</vt:lpstr>
      <vt:lpstr>Expert_A</vt:lpstr>
      <vt:lpstr>Expert_B</vt:lpstr>
      <vt:lpstr>Expert_C</vt:lpstr>
      <vt:lpstr>IfSuperlaunch</vt:lpstr>
      <vt:lpstr>Max</vt:lpstr>
      <vt:lpstr>Normal_Capex</vt:lpstr>
      <vt:lpstr>ra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cp:lastPrinted>2004-08-24T04:11:28Z</cp:lastPrinted>
  <dcterms:created xsi:type="dcterms:W3CDTF">1999-08-04T08:14:20Z</dcterms:created>
  <dcterms:modified xsi:type="dcterms:W3CDTF">2017-09-22T16:23:02Z</dcterms:modified>
  <cp:category/>
</cp:coreProperties>
</file>